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\\geddta1.cfbl.fr\ZenSolutions$\doc\24\186\Z00FGT7N\"/>
    </mc:Choice>
  </mc:AlternateContent>
  <xr:revisionPtr revIDLastSave="0" documentId="13_ncr:1_{079F806E-12B9-42CF-959C-4B7B4DDE673C}" xr6:coauthVersionLast="47" xr6:coauthVersionMax="47" xr10:uidLastSave="{00000000-0000-0000-0000-000000000000}"/>
  <bookViews>
    <workbookView xWindow="28680" yWindow="-1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E265" i="6"/>
  <c r="E234" i="6"/>
  <c r="E203" i="6"/>
  <c r="E172" i="6"/>
  <c r="E141" i="6"/>
  <c r="E110" i="6"/>
  <c r="E79" i="6"/>
  <c r="E48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Q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EX18" i="2"/>
  <c r="FS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G57" i="2"/>
  <c r="EB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C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G87" i="2"/>
  <c r="EB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X98" i="2"/>
  <c r="FS98" i="2"/>
  <c r="HI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A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X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C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X130" i="2"/>
  <c r="EB130" i="2"/>
  <c r="HH130" i="2"/>
  <c r="HG130" i="2"/>
  <c r="FS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S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D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D155" i="2"/>
  <c r="DH156" i="2"/>
  <c r="AB156" i="2"/>
  <c r="EB156" i="2"/>
  <c r="EX156" i="2"/>
  <c r="HH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HH157" i="2"/>
  <c r="HG157" i="2"/>
  <c r="EX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W158" i="2" l="1"/>
  <c r="ED157" i="2"/>
  <c r="EV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EC160" i="2"/>
  <c r="FS160" i="2"/>
  <c r="HI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EX161" i="2"/>
  <c r="EA161" i="2"/>
  <c r="HH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D161" i="2"/>
  <c r="EY161" i="2"/>
  <c r="EC162" i="2"/>
  <c r="DI161" i="2"/>
  <c r="HH162" i="2"/>
  <c r="HG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B163" i="2"/>
  <c r="EA163" i="2"/>
  <c r="EV163" i="2"/>
  <c r="HI163" i="2"/>
  <c r="FS163" i="2"/>
  <c r="EC163" i="2"/>
  <c r="EX163" i="2"/>
  <c r="EY163" i="2" s="1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DI163" i="2"/>
  <c r="EA164" i="2"/>
  <c r="EX164" i="2"/>
  <c r="EV164" i="2"/>
  <c r="FR164" i="2"/>
  <c r="DH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FR167" i="2"/>
  <c r="EA167" i="2"/>
  <c r="DG167" i="2"/>
  <c r="HH167" i="2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W168" i="2"/>
  <c r="EC168" i="2"/>
  <c r="HH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EY171" i="2" s="1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W172" i="2"/>
  <c r="EA172" i="2"/>
  <c r="EB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B175" i="2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W178" i="2"/>
  <c r="ED177" i="2"/>
  <c r="FS178" i="2"/>
  <c r="EB178" i="2"/>
  <c r="EA178" i="2"/>
  <c r="ED178" i="2" s="1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A179" i="2"/>
  <c r="ED179" i="2" s="1"/>
  <c r="HH179" i="2"/>
  <c r="EV179" i="2"/>
  <c r="DF179" i="2"/>
  <c r="HG179" i="2"/>
  <c r="FS179" i="2"/>
  <c r="EX179" i="2"/>
  <c r="EY179" i="2" s="1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V185" i="2" l="1"/>
  <c r="EB185" i="2"/>
  <c r="EA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EB186" i="2"/>
  <c r="HH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EY188" i="2" s="1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EV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H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B192" i="2" l="1"/>
  <c r="EW192" i="2"/>
  <c r="HG192" i="2"/>
  <c r="EA192" i="2"/>
  <c r="EC192" i="2"/>
  <c r="EV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EY192" i="2"/>
  <c r="EB193" i="2"/>
  <c r="ED192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D193" i="2"/>
  <c r="EA194" i="2"/>
  <c r="CN193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FQ195" i="2" l="1"/>
  <c r="EB195" i="2"/>
  <c r="ED194" i="2"/>
  <c r="EY194" i="2"/>
  <c r="EA195" i="2"/>
  <c r="EX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Y196" i="2"/>
  <c r="EC197" i="2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A199" i="2" l="1"/>
  <c r="EB199" i="2"/>
  <c r="HH199" i="2"/>
  <c r="FS199" i="2"/>
  <c r="EW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FS201" i="2" l="1"/>
  <c r="ED200" i="2"/>
  <c r="DI200" i="2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W202" i="2"/>
  <c r="FZ6" i="2"/>
  <c r="EX202" i="2"/>
  <c r="FR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53" i="2" a="1"/>
  <c r="EI153" i="2" s="1"/>
  <c r="EI106" i="2" a="1"/>
  <c r="EI106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AH151" i="2" a="1"/>
  <c r="AH151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6" i="2" a="1"/>
  <c r="EI36" i="2" s="1"/>
  <c r="EI57" i="2" a="1"/>
  <c r="EI57" i="2" s="1"/>
  <c r="EI16" i="2" a="1"/>
  <c r="EI16" i="2" s="1"/>
  <c r="EI170" i="2" a="1"/>
  <c r="EI170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AX200" i="2"/>
  <c r="FR203" i="2" l="1"/>
  <c r="EI142" i="2" a="1"/>
  <c r="EI142" i="2" s="1"/>
  <c r="EI195" i="2" a="1"/>
  <c r="EI195" i="2" s="1"/>
  <c r="EI198" i="2" a="1"/>
  <c r="EI198" i="2" s="1"/>
  <c r="EI38" i="2" a="1"/>
  <c r="EI38" i="2" s="1"/>
  <c r="EI35" i="2" a="1"/>
  <c r="EI35" i="2" s="1"/>
  <c r="EI34" i="2" a="1"/>
  <c r="EI34" i="2" s="1"/>
  <c r="EI162" i="2" a="1"/>
  <c r="EI162" i="2" s="1"/>
  <c r="EI87" i="2" a="1"/>
  <c r="EI87" i="2" s="1"/>
  <c r="EI128" i="2" a="1"/>
  <c r="EI128" i="2" s="1"/>
  <c r="EI178" i="2" a="1"/>
  <c r="EI178" i="2" s="1"/>
  <c r="EI37" i="2" a="1"/>
  <c r="EI37" i="2" s="1"/>
  <c r="EI145" i="2" a="1"/>
  <c r="EI145" i="2" s="1"/>
  <c r="EI139" i="2" a="1"/>
  <c r="EI139" i="2" s="1"/>
  <c r="EI165" i="2" a="1"/>
  <c r="EI165" i="2" s="1"/>
  <c r="EI150" i="2" a="1"/>
  <c r="EI150" i="2" s="1"/>
  <c r="EI113" i="2" a="1"/>
  <c r="EI113" i="2" s="1"/>
  <c r="EI166" i="2" a="1"/>
  <c r="EI166" i="2" s="1"/>
  <c r="EI109" i="2" a="1"/>
  <c r="EI109" i="2" s="1"/>
  <c r="EI20" i="2" a="1"/>
  <c r="EI20" i="2" s="1"/>
  <c r="EI67" i="2" a="1"/>
  <c r="EI67" i="2" s="1"/>
  <c r="EI71" i="2" a="1"/>
  <c r="EI71" i="2" s="1"/>
  <c r="EI29" i="2" a="1"/>
  <c r="EI29" i="2" s="1"/>
  <c r="CS77" i="2" a="1"/>
  <c r="CS77" i="2" s="1"/>
  <c r="CS105" i="2" a="1"/>
  <c r="CS105" i="2" s="1"/>
  <c r="AH62" i="2" a="1"/>
  <c r="AH62" i="2" s="1"/>
  <c r="CS185" i="2" a="1"/>
  <c r="CS185" i="2" s="1"/>
  <c r="CS161" i="2" a="1"/>
  <c r="CS161" i="2" s="1"/>
  <c r="AH92" i="2" a="1"/>
  <c r="AH92" i="2" s="1"/>
  <c r="CS134" i="2" a="1"/>
  <c r="CS134" i="2" s="1"/>
  <c r="CS24" i="2" a="1"/>
  <c r="CS24" i="2" s="1"/>
  <c r="CS120" i="2" a="1"/>
  <c r="CS120" i="2" s="1"/>
  <c r="AH163" i="2" a="1"/>
  <c r="AH163" i="2" s="1"/>
  <c r="AH199" i="2" a="1"/>
  <c r="AH199" i="2" s="1"/>
  <c r="CS137" i="2" a="1"/>
  <c r="CS137" i="2" s="1"/>
  <c r="CS129" i="2" a="1"/>
  <c r="CS129" i="2" s="1"/>
  <c r="AH166" i="2" a="1"/>
  <c r="AH166" i="2" s="1"/>
  <c r="CS52" i="2" a="1"/>
  <c r="CS52" i="2" s="1"/>
  <c r="BX107" i="2" a="1"/>
  <c r="BX107" i="2" s="1"/>
  <c r="CS114" i="2" a="1"/>
  <c r="CS114" i="2" s="1"/>
  <c r="AH19" i="2" a="1"/>
  <c r="AH19" i="2" s="1"/>
  <c r="BP203" i="2"/>
  <c r="HH203" i="2"/>
  <c r="CS72" i="2" a="1"/>
  <c r="CS72" i="2" s="1"/>
  <c r="CS56" i="2" a="1"/>
  <c r="CS56" i="2" s="1"/>
  <c r="CS38" i="2" a="1"/>
  <c r="CS38" i="2" s="1"/>
  <c r="AH90" i="2" a="1"/>
  <c r="AH90" i="2" s="1"/>
  <c r="CS116" i="2" a="1"/>
  <c r="CS116" i="2" s="1"/>
  <c r="CS66" i="2" a="1"/>
  <c r="CS6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CN203" i="2" s="1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GE20" i="2" l="1"/>
  <c r="GE3" i="2"/>
  <c r="C14" i="4" s="1"/>
  <c r="E14" i="4" s="1"/>
  <c r="F14" i="4" s="1"/>
  <c r="G14" i="4" s="1"/>
  <c r="L14" i="4" s="1"/>
  <c r="GE191" i="2"/>
  <c r="GE184" i="2"/>
  <c r="GE162" i="2"/>
  <c r="GE136" i="2"/>
  <c r="GE79" i="2"/>
  <c r="GE19" i="2"/>
  <c r="GE97" i="2"/>
  <c r="GE174" i="2"/>
  <c r="GE11" i="2"/>
  <c r="GE144" i="2"/>
  <c r="GE31" i="2"/>
  <c r="GE13" i="2"/>
  <c r="GE57" i="2"/>
  <c r="GE96" i="2"/>
  <c r="GE28" i="2"/>
  <c r="GE117" i="2"/>
  <c r="GE112" i="2"/>
  <c r="GE99" i="2"/>
  <c r="GE10" i="2"/>
  <c r="GE30" i="2"/>
  <c r="GE155" i="2"/>
  <c r="GE123" i="2"/>
  <c r="GE140" i="2"/>
  <c r="GE171" i="2"/>
  <c r="GE103" i="2"/>
  <c r="GE24" i="2"/>
  <c r="GE89" i="2"/>
  <c r="GE188" i="2"/>
  <c r="GE189" i="2"/>
  <c r="GE59" i="2"/>
  <c r="GE148" i="2"/>
  <c r="GE32" i="2"/>
  <c r="GE61" i="2"/>
  <c r="GE18" i="2"/>
  <c r="GE110" i="2"/>
  <c r="GE132" i="2"/>
  <c r="GE104" i="2"/>
  <c r="GE91" i="2"/>
  <c r="GE4" i="2"/>
  <c r="GE83" i="2"/>
  <c r="GE60" i="2"/>
  <c r="GE62" i="2"/>
  <c r="GE68" i="2"/>
  <c r="GE203" i="2"/>
  <c r="GE22" i="2"/>
  <c r="GE49" i="2"/>
  <c r="GE106" i="2"/>
  <c r="GE86" i="2"/>
  <c r="GE143" i="2"/>
  <c r="GE21" i="2"/>
  <c r="GE108" i="2"/>
  <c r="GE101" i="2"/>
  <c r="GE128" i="2"/>
  <c r="GE186" i="2"/>
  <c r="GE118" i="2"/>
  <c r="GE142" i="2"/>
  <c r="GE25" i="2"/>
  <c r="GE168" i="2"/>
  <c r="GE67" i="2"/>
  <c r="GE80" i="2"/>
  <c r="GE27" i="2"/>
  <c r="GE90" i="2"/>
  <c r="GE129" i="2"/>
  <c r="GE107" i="2"/>
  <c r="GE34" i="2"/>
  <c r="GE125" i="2"/>
  <c r="GE15" i="2"/>
  <c r="GE33" i="2"/>
  <c r="GE200" i="2"/>
  <c r="GE38" i="2"/>
  <c r="GE169" i="2"/>
  <c r="GE39" i="2"/>
  <c r="GE29" i="2"/>
  <c r="GE182" i="2"/>
  <c r="GE130" i="2"/>
  <c r="GE138" i="2"/>
  <c r="GE50" i="2"/>
  <c r="GE199" i="2"/>
  <c r="GE82" i="2"/>
  <c r="GE6" i="2"/>
  <c r="GE145" i="2"/>
  <c r="GE114" i="2"/>
  <c r="GE157" i="2"/>
  <c r="GE196" i="2"/>
  <c r="GE65" i="2"/>
  <c r="GE193" i="2"/>
  <c r="GE116" i="2"/>
  <c r="GE192" i="2"/>
  <c r="GE158" i="2"/>
  <c r="GE95" i="2"/>
  <c r="GE190" i="2"/>
  <c r="GE179" i="2"/>
  <c r="GE74" i="2"/>
  <c r="GE46" i="2"/>
  <c r="GE139" i="2"/>
  <c r="GE194" i="2"/>
  <c r="GE85" i="2"/>
  <c r="GE185" i="2"/>
  <c r="GE26" i="2"/>
  <c r="GE44" i="2"/>
  <c r="GE16" i="2"/>
  <c r="GE84" i="2"/>
  <c r="GE43" i="2"/>
  <c r="GE141" i="2"/>
  <c r="GE105" i="2"/>
  <c r="GE135" i="2"/>
  <c r="GE197" i="2"/>
  <c r="GE173" i="2"/>
  <c r="GE137" i="2"/>
  <c r="GE66" i="2"/>
  <c r="GE12" i="2"/>
  <c r="GE98" i="2"/>
  <c r="GE37" i="2"/>
  <c r="GE55" i="2"/>
  <c r="GE167" i="2"/>
  <c r="GE64" i="2"/>
  <c r="GE109" i="2"/>
  <c r="GE175" i="2"/>
  <c r="GE187" i="2"/>
  <c r="GE7" i="2"/>
  <c r="GE156" i="2"/>
  <c r="GE181" i="2"/>
  <c r="GE8" i="2"/>
  <c r="GE73" i="2"/>
  <c r="GE100" i="2"/>
  <c r="GE160" i="2"/>
  <c r="GE154" i="2"/>
  <c r="GE122" i="2"/>
  <c r="GE176" i="2"/>
  <c r="GE131" i="2"/>
  <c r="GE134" i="2"/>
  <c r="GE14" i="2"/>
  <c r="GE172" i="2"/>
  <c r="GE150" i="2"/>
  <c r="GE45" i="2"/>
  <c r="GE88" i="2"/>
  <c r="GE163" i="2"/>
  <c r="GE36" i="2"/>
  <c r="GE198" i="2"/>
  <c r="GE71" i="2"/>
  <c r="GE76" i="2"/>
  <c r="GE41" i="2"/>
  <c r="GE69" i="2"/>
  <c r="GE23" i="2"/>
  <c r="GE170" i="2"/>
  <c r="GE178" i="2"/>
  <c r="GE81" i="2"/>
  <c r="GE164" i="2"/>
  <c r="GE202" i="2"/>
  <c r="GE92" i="2"/>
  <c r="GE53" i="2"/>
  <c r="GE153" i="2"/>
  <c r="GE94" i="2"/>
  <c r="GE72" i="2"/>
  <c r="GE152" i="2"/>
  <c r="GE147" i="2"/>
  <c r="GE201" i="2"/>
  <c r="GE151" i="2"/>
  <c r="GE119" i="2"/>
  <c r="GE87" i="2"/>
  <c r="GE48" i="2"/>
  <c r="GE149" i="2"/>
  <c r="GE126" i="2"/>
  <c r="GE165" i="2"/>
  <c r="GE52" i="2"/>
  <c r="GE5" i="2"/>
  <c r="GE161" i="2"/>
  <c r="GE56" i="2"/>
  <c r="GE78" i="2"/>
  <c r="GE35" i="2"/>
  <c r="GE127" i="2"/>
  <c r="GE75" i="2"/>
  <c r="GE40" i="2"/>
  <c r="GE42" i="2"/>
  <c r="GE177" i="2"/>
  <c r="GE54" i="2"/>
  <c r="GE93" i="2"/>
  <c r="GE159" i="2"/>
  <c r="GE115" i="2"/>
  <c r="GE63" i="2"/>
  <c r="GE77" i="2"/>
  <c r="GE17" i="2"/>
  <c r="GE146" i="2"/>
  <c r="GE133" i="2"/>
  <c r="GE195" i="2"/>
  <c r="GE51" i="2"/>
  <c r="GE58" i="2"/>
  <c r="GE180" i="2"/>
  <c r="GE70" i="2"/>
  <c r="GE113" i="2"/>
  <c r="GE111" i="2"/>
  <c r="GE102" i="2"/>
  <c r="GE47" i="2"/>
  <c r="GE183" i="2"/>
  <c r="GE9" i="2"/>
  <c r="GE120" i="2"/>
  <c r="GE124" i="2"/>
  <c r="GE166" i="2"/>
  <c r="GE121" i="2"/>
  <c r="FJ109" i="2"/>
  <c r="FJ156" i="2"/>
  <c r="FJ101" i="2"/>
  <c r="FJ78" i="2"/>
  <c r="FJ167" i="2"/>
  <c r="FJ110" i="2"/>
  <c r="FJ38" i="2"/>
  <c r="FJ76" i="2"/>
  <c r="FJ155" i="2"/>
  <c r="FJ15" i="2"/>
  <c r="FJ72" i="2"/>
  <c r="FJ130" i="2"/>
  <c r="FJ131" i="2"/>
  <c r="FJ154" i="2"/>
  <c r="FJ30" i="2"/>
  <c r="FJ194" i="2"/>
  <c r="FJ103" i="2"/>
  <c r="FJ88" i="2"/>
  <c r="FJ79" i="2"/>
  <c r="FJ125" i="2"/>
  <c r="FJ42" i="2"/>
  <c r="FJ11" i="2"/>
  <c r="FJ54" i="2"/>
  <c r="FJ22" i="2"/>
  <c r="FJ67" i="2"/>
  <c r="FJ98" i="2"/>
  <c r="FJ111" i="2"/>
  <c r="FJ124" i="2"/>
  <c r="FJ104" i="2"/>
  <c r="FJ182" i="2"/>
  <c r="FJ112" i="2"/>
  <c r="FJ144" i="2"/>
  <c r="FJ12" i="2"/>
  <c r="FJ90" i="2"/>
  <c r="FJ203" i="2"/>
  <c r="FJ26" i="2"/>
  <c r="FJ190" i="2"/>
  <c r="FJ187" i="2"/>
  <c r="FJ175" i="2"/>
  <c r="FJ184" i="2"/>
  <c r="FJ6" i="2"/>
  <c r="FJ75" i="2"/>
  <c r="FJ157" i="2"/>
  <c r="FJ173" i="2"/>
  <c r="FJ13" i="2"/>
  <c r="FJ178" i="2"/>
  <c r="FJ29" i="2"/>
  <c r="FJ196" i="2"/>
  <c r="FJ58" i="2"/>
  <c r="FJ53" i="2"/>
  <c r="FJ108" i="2"/>
  <c r="FJ135" i="2"/>
  <c r="FJ140" i="2"/>
  <c r="FJ70" i="2"/>
  <c r="FJ49" i="2"/>
  <c r="FJ71" i="2"/>
  <c r="FJ164" i="2"/>
  <c r="FJ35" i="2"/>
  <c r="FJ63" i="2"/>
  <c r="FJ74" i="2"/>
  <c r="FJ201" i="2"/>
  <c r="FJ132" i="2"/>
  <c r="FJ176" i="2"/>
  <c r="FJ27" i="2"/>
  <c r="FJ171" i="2"/>
  <c r="FJ106" i="2"/>
  <c r="FJ14" i="2"/>
  <c r="FJ9" i="2"/>
  <c r="FJ85" i="2"/>
  <c r="FJ107" i="2"/>
  <c r="FJ113" i="2"/>
  <c r="FJ183" i="2"/>
  <c r="FJ162" i="2"/>
  <c r="FJ199" i="2"/>
  <c r="FJ64" i="2"/>
  <c r="FJ4" i="2"/>
  <c r="FJ45" i="2"/>
  <c r="FJ198" i="2"/>
  <c r="FJ55" i="2"/>
  <c r="FJ81" i="2"/>
  <c r="FJ146" i="2"/>
  <c r="FJ142" i="2"/>
  <c r="FJ129" i="2"/>
  <c r="FJ24" i="2"/>
  <c r="FJ3" i="2"/>
  <c r="C13" i="4" s="1"/>
  <c r="E13" i="4" s="1"/>
  <c r="F13" i="4" s="1"/>
  <c r="G13" i="4" s="1"/>
  <c r="L13" i="4" s="1"/>
  <c r="FJ153" i="2"/>
  <c r="FJ44" i="2"/>
  <c r="FJ116" i="2"/>
  <c r="FJ114" i="2"/>
  <c r="FJ118" i="2"/>
  <c r="FJ73" i="2"/>
  <c r="FJ138" i="2"/>
  <c r="FJ119" i="2"/>
  <c r="FJ143" i="2"/>
  <c r="FJ180" i="2"/>
  <c r="FJ151" i="2"/>
  <c r="FJ95" i="2"/>
  <c r="FJ18" i="2"/>
  <c r="FJ100" i="2"/>
  <c r="FJ80" i="2"/>
  <c r="FJ200" i="2"/>
  <c r="FJ36" i="2"/>
  <c r="FJ50" i="2"/>
  <c r="FJ43" i="2"/>
  <c r="FJ21" i="2"/>
  <c r="FJ37" i="2"/>
  <c r="FJ191" i="2"/>
  <c r="FJ69" i="2"/>
  <c r="FJ163" i="2"/>
  <c r="FJ86" i="2"/>
  <c r="FJ62" i="2"/>
  <c r="FJ161" i="2"/>
  <c r="FJ57" i="2"/>
  <c r="FJ181" i="2"/>
  <c r="FJ128" i="2"/>
  <c r="FJ34" i="2"/>
  <c r="FJ185" i="2"/>
  <c r="FJ20" i="2"/>
  <c r="FJ96" i="2"/>
  <c r="FJ137" i="2"/>
  <c r="FJ133" i="2"/>
  <c r="FJ60" i="2"/>
  <c r="FJ188" i="2"/>
  <c r="FJ189" i="2"/>
  <c r="FJ41" i="2"/>
  <c r="FJ94" i="2"/>
  <c r="FJ32" i="2"/>
  <c r="FJ105" i="2"/>
  <c r="FJ31" i="2"/>
  <c r="FJ99" i="2"/>
  <c r="FJ68" i="2"/>
  <c r="FJ177" i="2"/>
  <c r="FJ66" i="2"/>
  <c r="FJ102" i="2"/>
  <c r="FJ186" i="2"/>
  <c r="FJ52" i="2"/>
  <c r="FJ59" i="2"/>
  <c r="FJ17" i="2"/>
  <c r="FJ56" i="2"/>
  <c r="FJ134" i="2"/>
  <c r="FJ84" i="2"/>
  <c r="FJ149" i="2"/>
  <c r="FJ121" i="2"/>
  <c r="FJ93" i="2"/>
  <c r="FJ193" i="2"/>
  <c r="FJ47" i="2"/>
  <c r="FJ172" i="2"/>
  <c r="FJ169" i="2"/>
  <c r="FJ77" i="2"/>
  <c r="FJ33" i="2"/>
  <c r="FJ83" i="2"/>
  <c r="FJ165" i="2"/>
  <c r="FJ82" i="2"/>
  <c r="FJ25" i="2"/>
  <c r="FJ123" i="2"/>
  <c r="FJ19" i="2"/>
  <c r="FJ202" i="2"/>
  <c r="FJ23" i="2"/>
  <c r="FJ89" i="2"/>
  <c r="FJ195" i="2"/>
  <c r="FJ48" i="2"/>
  <c r="FJ87" i="2"/>
  <c r="FJ28" i="2"/>
  <c r="FJ115" i="2"/>
  <c r="FJ139" i="2"/>
  <c r="FJ92" i="2"/>
  <c r="FJ40" i="2"/>
  <c r="FJ7" i="2"/>
  <c r="FJ179" i="2"/>
  <c r="FJ61" i="2"/>
  <c r="FJ160" i="2"/>
  <c r="FJ141" i="2"/>
  <c r="FJ145" i="2"/>
  <c r="FJ127" i="2"/>
  <c r="FJ147" i="2"/>
  <c r="FJ168" i="2"/>
  <c r="FJ197" i="2"/>
  <c r="FJ170" i="2"/>
  <c r="FJ126" i="2"/>
  <c r="FJ8" i="2"/>
  <c r="FJ159" i="2"/>
  <c r="FJ91" i="2"/>
  <c r="FJ97" i="2"/>
  <c r="FJ51" i="2"/>
  <c r="FJ65" i="2"/>
  <c r="FJ5" i="2"/>
  <c r="FJ150" i="2"/>
  <c r="FJ117" i="2"/>
  <c r="FJ120" i="2"/>
  <c r="FJ174" i="2"/>
  <c r="FJ10" i="2"/>
  <c r="FJ158" i="2"/>
  <c r="FJ39" i="2"/>
  <c r="FJ136" i="2"/>
  <c r="FJ16" i="2"/>
  <c r="FJ148" i="2"/>
  <c r="FJ192" i="2"/>
  <c r="FJ152" i="2"/>
  <c r="FJ46" i="2"/>
  <c r="FJ166" i="2"/>
  <c r="FJ122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<sst xmlns="http://schemas.openxmlformats.org/spreadsheetml/2006/main" count="1178" uniqueCount="324">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</sst>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3.015643224062297</c:v>
                </c:pt>
                <c:pt idx="2">
                  <c:v>4.0722529948595438</c:v>
                </c:pt>
                <c:pt idx="3">
                  <c:v>5.5006018745362235</c:v>
                </c:pt>
                <c:pt idx="4">
                  <c:v>7.4319811827349751</c:v>
                </c:pt>
                <c:pt idx="5">
                  <c:v>10.044218170589504</c:v>
                </c:pt>
                <c:pt idx="6">
                  <c:v>13.578225113429147</c:v>
                </c:pt>
                <c:pt idx="7">
                  <c:v>18.360451404377937</c:v>
                </c:pt>
                <c:pt idx="8">
                  <c:v>24.83335003064289</c:v>
                </c:pt>
                <c:pt idx="9">
                  <c:v>33.596726896246878</c:v>
                </c:pt>
                <c:pt idx="10">
                  <c:v>45.463870615269634</c:v>
                </c:pt>
                <c:pt idx="11">
                  <c:v>61.537759614262761</c:v>
                </c:pt>
                <c:pt idx="12">
                  <c:v>83.314545972184078</c:v>
                </c:pt>
                <c:pt idx="13">
                  <c:v>112.82410282766058</c:v>
                </c:pt>
                <c:pt idx="14">
                  <c:v>152.8209413414541</c:v>
                </c:pt>
                <c:pt idx="15">
                  <c:v>207.04359025710687</c:v>
                </c:pt>
                <c:pt idx="16">
                  <c:v>173.3902523967221</c:v>
                </c:pt>
                <c:pt idx="17">
                  <c:v>204.02410382923904</c:v>
                </c:pt>
                <c:pt idx="18">
                  <c:v>234.55138491384039</c:v>
                </c:pt>
                <c:pt idx="19">
                  <c:v>264.98792439409294</c:v>
                </c:pt>
                <c:pt idx="20">
                  <c:v>295.34560890488154</c:v>
                </c:pt>
                <c:pt idx="21">
                  <c:v>231.16419524801108</c:v>
                </c:pt>
                <c:pt idx="22">
                  <c:v>260.85942671475175</c:v>
                </c:pt>
                <c:pt idx="23">
                  <c:v>290.47829302179076</c:v>
                </c:pt>
                <c:pt idx="24">
                  <c:v>320.0296714282502</c:v>
                </c:pt>
                <c:pt idx="25">
                  <c:v>349.52066488969609</c:v>
                </c:pt>
                <c:pt idx="26">
                  <c:v>279.98860279382774</c:v>
                </c:pt>
                <c:pt idx="27">
                  <c:v>307.69314288991126</c:v>
                </c:pt>
                <c:pt idx="28">
                  <c:v>335.34226803283252</c:v>
                </c:pt>
                <c:pt idx="29">
                  <c:v>362.94118566705487</c:v>
                </c:pt>
                <c:pt idx="30">
                  <c:v>390.4942467667251</c:v>
                </c:pt>
                <c:pt idx="31">
                  <c:v>320.77699701276782</c:v>
                </c:pt>
                <c:pt idx="32">
                  <c:v>346.16378539221347</c:v>
                </c:pt>
                <c:pt idx="33">
                  <c:v>371.50970211515977</c:v>
                </c:pt>
                <c:pt idx="34">
                  <c:v>396.81792522211208</c:v>
                </c:pt>
                <c:pt idx="35">
                  <c:v>422.09119450330428</c:v>
                </c:pt>
                <c:pt idx="36">
                  <c:v>353.99540526070876</c:v>
                </c:pt>
                <c:pt idx="37">
                  <c:v>377.09553671098365</c:v>
                </c:pt>
                <c:pt idx="38">
                  <c:v>400.16486874659694</c:v>
                </c:pt>
                <c:pt idx="39">
                  <c:v>423.20542522400024</c:v>
                </c:pt>
                <c:pt idx="40">
                  <c:v>446.21899178570402</c:v>
                </c:pt>
                <c:pt idx="41">
                  <c:v>383.05177541071242</c:v>
                </c:pt>
                <c:pt idx="42">
                  <c:v>403.51120632532326</c:v>
                </c:pt>
                <c:pt idx="43">
                  <c:v>423.9482106076091</c:v>
                </c:pt>
                <c:pt idx="44">
                  <c:v>444.36402075569362</c:v>
                </c:pt>
                <c:pt idx="45">
                  <c:v>464.75974684356021</c:v>
                </c:pt>
                <c:pt idx="46">
                  <c:v>406.48522456571527</c:v>
                </c:pt>
                <c:pt idx="47">
                  <c:v>424.31959279145235</c:v>
                </c:pt>
                <c:pt idx="48">
                  <c:v>442.1378364455868</c:v>
                </c:pt>
                <c:pt idx="49">
                  <c:v>459.94069650633202</c:v>
                </c:pt>
                <c:pt idx="50">
                  <c:v>477.72885193803239</c:v>
                </c:pt>
                <c:pt idx="51">
                  <c:v>425.06233617824211</c:v>
                </c:pt>
                <c:pt idx="52">
                  <c:v>441.02465426855338</c:v>
                </c:pt>
                <c:pt idx="53">
                  <c:v>456.97459194094745</c:v>
                </c:pt>
                <c:pt idx="54">
                  <c:v>472.91264200880101</c:v>
                </c:pt>
                <c:pt idx="55">
                  <c:v>488.83926137072331</c:v>
                </c:pt>
                <c:pt idx="56">
                  <c:v>1.4960899118586383E-12</c:v>
                </c:pt>
                <c:pt idx="57">
                  <c:v>1.4960899118586383E-12</c:v>
                </c:pt>
                <c:pt idx="58">
                  <c:v>1.4960899118586383E-12</c:v>
                </c:pt>
                <c:pt idx="59">
                  <c:v>1.4960899118586383E-12</c:v>
                </c:pt>
                <c:pt idx="60">
                  <c:v>1.4960899118586383E-12</c:v>
                </c:pt>
                <c:pt idx="61">
                  <c:v>1.4960899118586383E-12</c:v>
                </c:pt>
                <c:pt idx="62">
                  <c:v>1.4960899118586383E-12</c:v>
                </c:pt>
                <c:pt idx="63">
                  <c:v>1.4960899118586383E-12</c:v>
                </c:pt>
                <c:pt idx="64">
                  <c:v>1.4960899118586383E-12</c:v>
                </c:pt>
                <c:pt idx="65">
                  <c:v>1.4960899118586383E-12</c:v>
                </c:pt>
                <c:pt idx="66">
                  <c:v>1.4960899118586383E-12</c:v>
                </c:pt>
                <c:pt idx="67">
                  <c:v>1.4960899118586383E-12</c:v>
                </c:pt>
                <c:pt idx="68">
                  <c:v>1.4960899118586383E-12</c:v>
                </c:pt>
                <c:pt idx="69">
                  <c:v>1.4960899118586383E-12</c:v>
                </c:pt>
                <c:pt idx="70">
                  <c:v>1.4960899118586383E-12</c:v>
                </c:pt>
                <c:pt idx="71">
                  <c:v>1.4960899118586383E-12</c:v>
                </c:pt>
                <c:pt idx="72">
                  <c:v>1.4960899118586383E-12</c:v>
                </c:pt>
                <c:pt idx="73">
                  <c:v>1.4960899118586383E-12</c:v>
                </c:pt>
                <c:pt idx="74">
                  <c:v>1.4960899118586383E-12</c:v>
                </c:pt>
                <c:pt idx="75">
                  <c:v>1.4960899118586383E-12</c:v>
                </c:pt>
                <c:pt idx="76">
                  <c:v>1.4960899118586383E-12</c:v>
                </c:pt>
                <c:pt idx="77">
                  <c:v>1.4960899118586383E-12</c:v>
                </c:pt>
                <c:pt idx="78">
                  <c:v>1.4960899118586383E-12</c:v>
                </c:pt>
                <c:pt idx="79">
                  <c:v>1.4960899118586383E-12</c:v>
                </c:pt>
                <c:pt idx="80">
                  <c:v>1.4960899118586383E-12</c:v>
                </c:pt>
                <c:pt idx="81">
                  <c:v>1.4960899118586383E-12</c:v>
                </c:pt>
                <c:pt idx="82">
                  <c:v>1.4960899118586383E-12</c:v>
                </c:pt>
                <c:pt idx="83">
                  <c:v>1.4960899118586383E-12</c:v>
                </c:pt>
                <c:pt idx="84">
                  <c:v>1.4960899118586383E-12</c:v>
                </c:pt>
                <c:pt idx="85">
                  <c:v>1.4960899118586383E-12</c:v>
                </c:pt>
                <c:pt idx="86">
                  <c:v>1.4960899118586383E-12</c:v>
                </c:pt>
                <c:pt idx="87">
                  <c:v>1.4960899118586383E-12</c:v>
                </c:pt>
                <c:pt idx="88">
                  <c:v>1.4960899118586383E-12</c:v>
                </c:pt>
                <c:pt idx="89">
                  <c:v>1.4960899118586383E-12</c:v>
                </c:pt>
                <c:pt idx="90">
                  <c:v>1.4960899118586383E-12</c:v>
                </c:pt>
                <c:pt idx="91">
                  <c:v>1.4960899118586383E-12</c:v>
                </c:pt>
                <c:pt idx="92">
                  <c:v>1.4960899118586383E-12</c:v>
                </c:pt>
                <c:pt idx="93">
                  <c:v>1.4960899118586383E-12</c:v>
                </c:pt>
                <c:pt idx="94">
                  <c:v>1.4960899118586383E-12</c:v>
                </c:pt>
                <c:pt idx="95">
                  <c:v>1.4960899118586383E-12</c:v>
                </c:pt>
                <c:pt idx="96">
                  <c:v>1.4960899118586383E-12</c:v>
                </c:pt>
                <c:pt idx="97">
                  <c:v>1.4960899118586383E-12</c:v>
                </c:pt>
                <c:pt idx="98">
                  <c:v>1.4960899118586383E-12</c:v>
                </c:pt>
                <c:pt idx="99">
                  <c:v>1.4960899118586383E-12</c:v>
                </c:pt>
                <c:pt idx="100">
                  <c:v>1.4960899118586383E-12</c:v>
                </c:pt>
                <c:pt idx="101">
                  <c:v>1.4960899118586383E-12</c:v>
                </c:pt>
                <c:pt idx="102">
                  <c:v>1.4960899118586383E-12</c:v>
                </c:pt>
                <c:pt idx="103">
                  <c:v>1.4960899118586383E-12</c:v>
                </c:pt>
                <c:pt idx="104">
                  <c:v>1.4960899118586383E-12</c:v>
                </c:pt>
                <c:pt idx="105">
                  <c:v>1.4960899118586383E-12</c:v>
                </c:pt>
                <c:pt idx="106">
                  <c:v>1.4960899118586383E-12</c:v>
                </c:pt>
                <c:pt idx="107">
                  <c:v>1.4960899118586383E-12</c:v>
                </c:pt>
                <c:pt idx="108">
                  <c:v>1.4960899118586383E-12</c:v>
                </c:pt>
                <c:pt idx="109">
                  <c:v>1.4960899118586383E-12</c:v>
                </c:pt>
                <c:pt idx="110">
                  <c:v>1.4960899118586383E-12</c:v>
                </c:pt>
                <c:pt idx="111">
                  <c:v>1.4960899118586383E-12</c:v>
                </c:pt>
                <c:pt idx="112">
                  <c:v>1.4960899118586383E-12</c:v>
                </c:pt>
                <c:pt idx="113">
                  <c:v>1.4960899118586383E-12</c:v>
                </c:pt>
                <c:pt idx="114">
                  <c:v>1.4960899118586383E-12</c:v>
                </c:pt>
                <c:pt idx="115">
                  <c:v>1.4960899118586383E-12</c:v>
                </c:pt>
                <c:pt idx="116">
                  <c:v>1.4960899118586383E-12</c:v>
                </c:pt>
                <c:pt idx="117">
                  <c:v>1.4960899118586383E-12</c:v>
                </c:pt>
                <c:pt idx="118">
                  <c:v>1.4960899118586383E-12</c:v>
                </c:pt>
                <c:pt idx="119">
                  <c:v>1.4960899118586383E-12</c:v>
                </c:pt>
                <c:pt idx="120">
                  <c:v>1.4960899118586383E-12</c:v>
                </c:pt>
                <c:pt idx="121">
                  <c:v>1.4960899118586383E-12</c:v>
                </c:pt>
                <c:pt idx="122">
                  <c:v>1.4960899118586383E-12</c:v>
                </c:pt>
                <c:pt idx="123">
                  <c:v>1.4960899118586383E-12</c:v>
                </c:pt>
                <c:pt idx="124">
                  <c:v>1.4960899118586383E-12</c:v>
                </c:pt>
                <c:pt idx="125">
                  <c:v>1.4960899118586383E-12</c:v>
                </c:pt>
                <c:pt idx="126">
                  <c:v>1.4960899118586383E-12</c:v>
                </c:pt>
                <c:pt idx="127">
                  <c:v>1.4960899118586383E-12</c:v>
                </c:pt>
                <c:pt idx="128">
                  <c:v>1.4960899118586383E-12</c:v>
                </c:pt>
                <c:pt idx="129">
                  <c:v>1.4960899118586383E-12</c:v>
                </c:pt>
                <c:pt idx="130">
                  <c:v>1.4960899118586383E-12</c:v>
                </c:pt>
                <c:pt idx="131">
                  <c:v>1.4960899118586383E-12</c:v>
                </c:pt>
                <c:pt idx="132">
                  <c:v>1.4960899118586383E-12</c:v>
                </c:pt>
                <c:pt idx="133">
                  <c:v>1.4960899118586383E-12</c:v>
                </c:pt>
                <c:pt idx="134">
                  <c:v>1.4960899118586383E-12</c:v>
                </c:pt>
                <c:pt idx="135">
                  <c:v>1.4960899118586383E-12</c:v>
                </c:pt>
                <c:pt idx="136">
                  <c:v>1.4960899118586383E-12</c:v>
                </c:pt>
                <c:pt idx="137">
                  <c:v>1.4960899118586383E-12</c:v>
                </c:pt>
                <c:pt idx="138">
                  <c:v>1.4960899118586383E-12</c:v>
                </c:pt>
                <c:pt idx="139">
                  <c:v>1.4960899118586383E-12</c:v>
                </c:pt>
                <c:pt idx="140">
                  <c:v>1.4960899118586383E-12</c:v>
                </c:pt>
                <c:pt idx="141">
                  <c:v>1.4960899118586383E-12</c:v>
                </c:pt>
                <c:pt idx="142">
                  <c:v>1.4960899118586383E-12</c:v>
                </c:pt>
                <c:pt idx="143">
                  <c:v>1.4960899118586383E-12</c:v>
                </c:pt>
                <c:pt idx="144">
                  <c:v>1.4960899118586383E-12</c:v>
                </c:pt>
                <c:pt idx="145">
                  <c:v>1.4960899118586383E-12</c:v>
                </c:pt>
                <c:pt idx="146">
                  <c:v>1.4960899118586383E-12</c:v>
                </c:pt>
                <c:pt idx="147">
                  <c:v>1.4960899118586383E-12</c:v>
                </c:pt>
                <c:pt idx="148">
                  <c:v>1.4960899118586383E-12</c:v>
                </c:pt>
                <c:pt idx="149">
                  <c:v>1.4960899118586383E-12</c:v>
                </c:pt>
                <c:pt idx="150">
                  <c:v>1.4960899118586383E-12</c:v>
                </c:pt>
                <c:pt idx="151">
                  <c:v>1.4960899118586383E-12</c:v>
                </c:pt>
                <c:pt idx="152">
                  <c:v>1.4960899118586383E-12</c:v>
                </c:pt>
                <c:pt idx="153">
                  <c:v>1.4960899118586383E-12</c:v>
                </c:pt>
                <c:pt idx="154">
                  <c:v>1.4960899118586383E-12</c:v>
                </c:pt>
                <c:pt idx="155">
                  <c:v>1.4960899118586383E-12</c:v>
                </c:pt>
                <c:pt idx="156">
                  <c:v>1.4960899118586383E-12</c:v>
                </c:pt>
                <c:pt idx="157">
                  <c:v>1.4960899118586383E-12</c:v>
                </c:pt>
                <c:pt idx="158">
                  <c:v>1.4960899118586383E-12</c:v>
                </c:pt>
                <c:pt idx="159">
                  <c:v>1.4960899118586383E-12</c:v>
                </c:pt>
                <c:pt idx="160">
                  <c:v>1.4960899118586383E-12</c:v>
                </c:pt>
                <c:pt idx="161">
                  <c:v>1.4960899118586383E-12</c:v>
                </c:pt>
                <c:pt idx="162">
                  <c:v>1.4960899118586383E-12</c:v>
                </c:pt>
                <c:pt idx="163">
                  <c:v>1.4960899118586383E-12</c:v>
                </c:pt>
                <c:pt idx="164">
                  <c:v>1.4960899118586383E-12</c:v>
                </c:pt>
                <c:pt idx="165">
                  <c:v>1.4960899118586383E-12</c:v>
                </c:pt>
                <c:pt idx="166">
                  <c:v>1.4960899118586383E-12</c:v>
                </c:pt>
                <c:pt idx="167">
                  <c:v>1.4960899118586383E-12</c:v>
                </c:pt>
                <c:pt idx="168">
                  <c:v>1.4960899118586383E-12</c:v>
                </c:pt>
                <c:pt idx="169">
                  <c:v>1.4960899118586383E-12</c:v>
                </c:pt>
                <c:pt idx="170">
                  <c:v>1.4960899118586383E-12</c:v>
                </c:pt>
                <c:pt idx="171">
                  <c:v>1.4960899118586383E-12</c:v>
                </c:pt>
                <c:pt idx="172">
                  <c:v>1.4960899118586383E-12</c:v>
                </c:pt>
                <c:pt idx="173">
                  <c:v>1.4960899118586383E-12</c:v>
                </c:pt>
                <c:pt idx="174">
                  <c:v>1.4960899118586383E-12</c:v>
                </c:pt>
                <c:pt idx="175">
                  <c:v>1.4960899118586383E-12</c:v>
                </c:pt>
                <c:pt idx="176">
                  <c:v>1.4960899118586383E-12</c:v>
                </c:pt>
                <c:pt idx="177">
                  <c:v>1.4960899118586383E-12</c:v>
                </c:pt>
                <c:pt idx="178">
                  <c:v>1.4960899118586383E-12</c:v>
                </c:pt>
                <c:pt idx="179">
                  <c:v>1.4960899118586383E-12</c:v>
                </c:pt>
                <c:pt idx="180">
                  <c:v>1.4960899118586383E-12</c:v>
                </c:pt>
                <c:pt idx="181">
                  <c:v>1.4960899118586383E-12</c:v>
                </c:pt>
                <c:pt idx="182">
                  <c:v>1.4960899118586383E-12</c:v>
                </c:pt>
                <c:pt idx="183">
                  <c:v>1.4960899118586383E-12</c:v>
                </c:pt>
                <c:pt idx="184">
                  <c:v>1.4960899118586383E-12</c:v>
                </c:pt>
                <c:pt idx="185">
                  <c:v>1.4960899118586383E-12</c:v>
                </c:pt>
                <c:pt idx="186">
                  <c:v>1.4960899118586383E-12</c:v>
                </c:pt>
                <c:pt idx="187">
                  <c:v>1.4960899118586383E-12</c:v>
                </c:pt>
                <c:pt idx="188">
                  <c:v>1.4960899118586383E-12</c:v>
                </c:pt>
                <c:pt idx="189">
                  <c:v>1.4960899118586383E-12</c:v>
                </c:pt>
                <c:pt idx="190">
                  <c:v>1.4960899118586383E-12</c:v>
                </c:pt>
                <c:pt idx="191">
                  <c:v>1.4960899118586383E-12</c:v>
                </c:pt>
                <c:pt idx="192">
                  <c:v>1.4960899118586383E-12</c:v>
                </c:pt>
                <c:pt idx="193">
                  <c:v>1.4960899118586383E-12</c:v>
                </c:pt>
                <c:pt idx="194">
                  <c:v>1.4960899118586383E-12</c:v>
                </c:pt>
                <c:pt idx="195">
                  <c:v>1.4960899118586383E-12</c:v>
                </c:pt>
                <c:pt idx="196">
                  <c:v>1.4960899118586383E-12</c:v>
                </c:pt>
                <c:pt idx="197">
                  <c:v>1.4960899118586383E-12</c:v>
                </c:pt>
                <c:pt idx="198">
                  <c:v>1.4960899118586383E-12</c:v>
                </c:pt>
                <c:pt idx="199">
                  <c:v>1.4960899118586383E-12</c:v>
                </c:pt>
                <c:pt idx="200">
                  <c:v>1.4960899118586383E-12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48.765659367999113</c:v>
                </c:pt>
                <c:pt idx="12">
                  <c:v>74.616063262010528</c:v>
                </c:pt>
                <c:pt idx="13">
                  <c:v>100.2341790211712</c:v>
                </c:pt>
                <c:pt idx="14">
                  <c:v>125.68871343321821</c:v>
                </c:pt>
                <c:pt idx="15">
                  <c:v>151.01770664748466</c:v>
                </c:pt>
                <c:pt idx="16">
                  <c:v>105.82562490242275</c:v>
                </c:pt>
                <c:pt idx="17">
                  <c:v>133.68129041989656</c:v>
                </c:pt>
                <c:pt idx="18">
                  <c:v>161.39639888364613</c:v>
                </c:pt>
                <c:pt idx="19">
                  <c:v>188.99857543760822</c:v>
                </c:pt>
                <c:pt idx="20">
                  <c:v>216.50666233809889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244.6190581615721</c:v>
                </c:pt>
                <c:pt idx="27">
                  <c:v>272.65800236133896</c:v>
                </c:pt>
                <c:pt idx="28">
                  <c:v>300.63210759978887</c:v>
                </c:pt>
                <c:pt idx="29">
                  <c:v>328.5482515646346</c:v>
                </c:pt>
                <c:pt idx="30">
                  <c:v>356.41204743833867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365.23675297080769</c:v>
                </c:pt>
                <c:pt idx="37">
                  <c:v>387.61730275601627</c:v>
                </c:pt>
                <c:pt idx="38">
                  <c:v>409.96980401857422</c:v>
                </c:pt>
                <c:pt idx="39">
                  <c:v>432.29599994035453</c:v>
                </c:pt>
                <c:pt idx="40">
                  <c:v>454.59743907080411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455.94827709810426</c:v>
                </c:pt>
                <c:pt idx="47">
                  <c:v>472.48918916409235</c:v>
                </c:pt>
                <c:pt idx="48">
                  <c:v>489.0177774143724</c:v>
                </c:pt>
                <c:pt idx="49">
                  <c:v>505.53451684876785</c:v>
                </c:pt>
                <c:pt idx="50">
                  <c:v>522.03984891229663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539.54369365856019</c:v>
                </c:pt>
                <c:pt idx="57">
                  <c:v>551.99106495921342</c:v>
                </c:pt>
                <c:pt idx="58">
                  <c:v>564.43255421132858</c:v>
                </c:pt>
                <c:pt idx="59">
                  <c:v>576.86830930740882</c:v>
                </c:pt>
                <c:pt idx="60">
                  <c:v>589.29847124546529</c:v>
                </c:pt>
                <c:pt idx="61">
                  <c:v>570.81918970877257</c:v>
                </c:pt>
                <c:pt idx="62">
                  <c:v>580.90031938116931</c:v>
                </c:pt>
                <c:pt idx="63">
                  <c:v>590.97780129118485</c:v>
                </c:pt>
                <c:pt idx="64">
                  <c:v>601.05170640358597</c:v>
                </c:pt>
                <c:pt idx="65">
                  <c:v>611.12210311064734</c:v>
                </c:pt>
                <c:pt idx="66">
                  <c:v>592.99286623276123</c:v>
                </c:pt>
                <c:pt idx="67">
                  <c:v>601.7231745921265</c:v>
                </c:pt>
                <c:pt idx="68">
                  <c:v>610.45085114558412</c:v>
                </c:pt>
                <c:pt idx="69">
                  <c:v>619.17593882471431</c:v>
                </c:pt>
                <c:pt idx="70">
                  <c:v>627.89847925254264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626.22126355197054</c:v>
                </c:pt>
                <c:pt idx="77">
                  <c:v>632.92957124167299</c:v>
                </c:pt>
                <c:pt idx="78">
                  <c:v>639.63640905269347</c:v>
                </c:pt>
                <c:pt idx="79">
                  <c:v>646.34179457229197</c:v>
                </c:pt>
                <c:pt idx="80">
                  <c:v>653.0457449930251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1.9134944177750821</c:v>
                </c:pt>
                <c:pt idx="2">
                  <c:v>2.5193447938967153</c:v>
                </c:pt>
                <c:pt idx="3">
                  <c:v>3.3178119643651525</c:v>
                </c:pt>
                <c:pt idx="4">
                  <c:v>4.3703718770661864</c:v>
                </c:pt>
                <c:pt idx="5">
                  <c:v>5.7581922481965391</c:v>
                </c:pt>
                <c:pt idx="6">
                  <c:v>7.5884612822811972</c:v>
                </c:pt>
                <c:pt idx="7">
                  <c:v>10.002756634482845</c:v>
                </c:pt>
                <c:pt idx="8">
                  <c:v>13.188114194820793</c:v>
                </c:pt>
                <c:pt idx="9">
                  <c:v>17.391670050888376</c:v>
                </c:pt>
                <c:pt idx="10">
                  <c:v>22.940032210106224</c:v>
                </c:pt>
                <c:pt idx="11">
                  <c:v>30.264913942025682</c:v>
                </c:pt>
                <c:pt idx="12">
                  <c:v>39.937057916497047</c:v>
                </c:pt>
                <c:pt idx="13">
                  <c:v>52.711139427388581</c:v>
                </c:pt>
                <c:pt idx="14">
                  <c:v>69.585210645445571</c:v>
                </c:pt>
                <c:pt idx="15">
                  <c:v>91.879406000953239</c:v>
                </c:pt>
                <c:pt idx="16">
                  <c:v>121.34016427394583</c:v>
                </c:pt>
                <c:pt idx="17">
                  <c:v>160.27825891364779</c:v>
                </c:pt>
                <c:pt idx="18">
                  <c:v>211.75162792193737</c:v>
                </c:pt>
                <c:pt idx="19">
                  <c:v>279.80757515319931</c:v>
                </c:pt>
                <c:pt idx="20">
                  <c:v>369.80366387000657</c:v>
                </c:pt>
                <c:pt idx="21">
                  <c:v>356.45087943088532</c:v>
                </c:pt>
                <c:pt idx="22">
                  <c:v>394.33609960316602</c:v>
                </c:pt>
                <c:pt idx="23">
                  <c:v>432.14242504303394</c:v>
                </c:pt>
                <c:pt idx="24">
                  <c:v>469.87771773906974</c:v>
                </c:pt>
                <c:pt idx="25">
                  <c:v>507.5484747180808</c:v>
                </c:pt>
                <c:pt idx="26">
                  <c:v>475.56786051841215</c:v>
                </c:pt>
                <c:pt idx="27">
                  <c:v>514.64938862406336</c:v>
                </c:pt>
                <c:pt idx="28">
                  <c:v>553.66829141515609</c:v>
                </c:pt>
                <c:pt idx="29">
                  <c:v>592.62959437384325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770.74918264325152</c:v>
                </c:pt>
                <c:pt idx="47">
                  <c:v>794.6804434861192</c:v>
                </c:pt>
                <c:pt idx="48">
                  <c:v>818.59714676160195</c:v>
                </c:pt>
                <c:pt idx="49">
                  <c:v>842.49977705174535</c:v>
                </c:pt>
                <c:pt idx="50">
                  <c:v>866.38878924101971</c:v>
                </c:pt>
                <c:pt idx="51">
                  <c:v>811.79875206098052</c:v>
                </c:pt>
                <c:pt idx="52">
                  <c:v>829.84716796681175</c:v>
                </c:pt>
                <c:pt idx="53">
                  <c:v>847.8876885854861</c:v>
                </c:pt>
                <c:pt idx="54">
                  <c:v>865.92050537441344</c:v>
                </c:pt>
                <c:pt idx="55">
                  <c:v>883.94580117605472</c:v>
                </c:pt>
                <c:pt idx="56">
                  <c:v>844.37391150362998</c:v>
                </c:pt>
                <c:pt idx="57">
                  <c:v>858.66145471369293</c:v>
                </c:pt>
                <c:pt idx="58">
                  <c:v>872.94423239314926</c:v>
                </c:pt>
                <c:pt idx="59">
                  <c:v>887.22233342614447</c:v>
                </c:pt>
                <c:pt idx="60">
                  <c:v>901.49584360554616</c:v>
                </c:pt>
                <c:pt idx="61">
                  <c:v>872.24191076199133</c:v>
                </c:pt>
                <c:pt idx="62">
                  <c:v>883.94580117605494</c:v>
                </c:pt>
                <c:pt idx="63">
                  <c:v>895.64659417172061</c:v>
                </c:pt>
                <c:pt idx="64">
                  <c:v>907.34433588355262</c:v>
                </c:pt>
                <c:pt idx="65">
                  <c:v>919.03907116057201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133.88554969577129</c:v>
                </c:pt>
                <c:pt idx="22">
                  <c:v>143.27355550168537</c:v>
                </c:pt>
                <c:pt idx="23">
                  <c:v>152.64683015838821</c:v>
                </c:pt>
                <c:pt idx="24">
                  <c:v>162.00640689272805</c:v>
                </c:pt>
                <c:pt idx="25">
                  <c:v>171.35318959873041</c:v>
                </c:pt>
                <c:pt idx="26">
                  <c:v>180.68797535583599</c:v>
                </c:pt>
                <c:pt idx="27">
                  <c:v>190.01147204026685</c:v>
                </c:pt>
                <c:pt idx="28">
                  <c:v>199.32431229219435</c:v>
                </c:pt>
                <c:pt idx="29">
                  <c:v>208.62706473142643</c:v>
                </c:pt>
                <c:pt idx="30">
                  <c:v>217.92024306476185</c:v>
                </c:pt>
                <c:pt idx="31">
                  <c:v>160.17621878306821</c:v>
                </c:pt>
                <c:pt idx="32">
                  <c:v>170.33782955280489</c:v>
                </c:pt>
                <c:pt idx="33">
                  <c:v>180.48516769023772</c:v>
                </c:pt>
                <c:pt idx="34">
                  <c:v>190.61914954910142</c:v>
                </c:pt>
                <c:pt idx="35">
                  <c:v>200.74058596732002</c:v>
                </c:pt>
                <c:pt idx="36">
                  <c:v>210.85019924163896</c:v>
                </c:pt>
                <c:pt idx="37">
                  <c:v>220.94863667100961</c:v>
                </c:pt>
                <c:pt idx="38">
                  <c:v>231.03648149074067</c:v>
                </c:pt>
                <c:pt idx="39">
                  <c:v>241.11426179447608</c:v>
                </c:pt>
                <c:pt idx="40">
                  <c:v>251.1824578846782</c:v>
                </c:pt>
                <c:pt idx="41">
                  <c:v>192.13814620457819</c:v>
                </c:pt>
                <c:pt idx="42">
                  <c:v>203.77468058377053</c:v>
                </c:pt>
                <c:pt idx="43">
                  <c:v>215.39584283593396</c:v>
                </c:pt>
                <c:pt idx="44">
                  <c:v>227.0025797348942</c:v>
                </c:pt>
                <c:pt idx="45">
                  <c:v>238.59573324490518</c:v>
                </c:pt>
                <c:pt idx="46">
                  <c:v>250.17605676255928</c:v>
                </c:pt>
                <c:pt idx="47">
                  <c:v>261.74422819048414</c:v>
                </c:pt>
                <c:pt idx="48">
                  <c:v>273.30086057644468</c:v>
                </c:pt>
                <c:pt idx="49">
                  <c:v>284.84651085713051</c:v>
                </c:pt>
                <c:pt idx="50">
                  <c:v>296.38168710899464</c:v>
                </c:pt>
                <c:pt idx="51">
                  <c:v>234.56482390663419</c:v>
                </c:pt>
                <c:pt idx="52">
                  <c:v>248.16297855306274</c:v>
                </c:pt>
                <c:pt idx="53">
                  <c:v>261.74422819048414</c:v>
                </c:pt>
                <c:pt idx="54">
                  <c:v>275.30957376859936</c:v>
                </c:pt>
                <c:pt idx="55">
                  <c:v>288.85990949975189</c:v>
                </c:pt>
                <c:pt idx="56">
                  <c:v>302.39603882080934</c:v>
                </c:pt>
                <c:pt idx="57">
                  <c:v>315.91868734548348</c:v>
                </c:pt>
                <c:pt idx="58">
                  <c:v>329.42851348169211</c:v>
                </c:pt>
                <c:pt idx="59">
                  <c:v>342.92611721533916</c:v>
                </c:pt>
                <c:pt idx="60">
                  <c:v>356.4120474383385</c:v>
                </c:pt>
                <c:pt idx="61">
                  <c:v>291.86913926751021</c:v>
                </c:pt>
                <c:pt idx="62">
                  <c:v>307.40596257029637</c:v>
                </c:pt>
                <c:pt idx="63">
                  <c:v>322.92534379451814</c:v>
                </c:pt>
                <c:pt idx="64">
                  <c:v>338.42823915402437</c:v>
                </c:pt>
                <c:pt idx="65">
                  <c:v>353.91551010384433</c:v>
                </c:pt>
                <c:pt idx="66">
                  <c:v>369.38793655321842</c:v>
                </c:pt>
                <c:pt idx="67">
                  <c:v>384.84622774857962</c:v>
                </c:pt>
                <c:pt idx="68">
                  <c:v>400.29103131634878</c:v>
                </c:pt>
                <c:pt idx="69">
                  <c:v>415.72294083711449</c:v>
                </c:pt>
                <c:pt idx="70">
                  <c:v>431.14250223646945</c:v>
                </c:pt>
                <c:pt idx="71">
                  <c:v>361.40397634816736</c:v>
                </c:pt>
                <c:pt idx="72">
                  <c:v>378.36539662842574</c:v>
                </c:pt>
                <c:pt idx="73">
                  <c:v>395.310273009897</c:v>
                </c:pt>
                <c:pt idx="74">
                  <c:v>412.23941423652178</c:v>
                </c:pt>
                <c:pt idx="75">
                  <c:v>429.15355722818907</c:v>
                </c:pt>
                <c:pt idx="76">
                  <c:v>446.05337609733306</c:v>
                </c:pt>
                <c:pt idx="77">
                  <c:v>462.93948972795494</c:v>
                </c:pt>
                <c:pt idx="78">
                  <c:v>479.81246819138977</c:v>
                </c:pt>
                <c:pt idx="79">
                  <c:v>496.6728382127958</c:v>
                </c:pt>
                <c:pt idx="80">
                  <c:v>513.52108785692201</c:v>
                </c:pt>
                <c:pt idx="81">
                  <c:v>438.59929855364607</c:v>
                </c:pt>
                <c:pt idx="82">
                  <c:v>455.98800633231934</c:v>
                </c:pt>
                <c:pt idx="83">
                  <c:v>473.36255181121783</c:v>
                </c:pt>
                <c:pt idx="84">
                  <c:v>490.72352773098049</c:v>
                </c:pt>
                <c:pt idx="85">
                  <c:v>508.0714814925293</c:v>
                </c:pt>
                <c:pt idx="86">
                  <c:v>525.40692008667054</c:v>
                </c:pt>
                <c:pt idx="87">
                  <c:v>542.7303143394812</c:v>
                </c:pt>
                <c:pt idx="88">
                  <c:v>560.04210258768592</c:v>
                </c:pt>
                <c:pt idx="89">
                  <c:v>577.34269387615848</c:v>
                </c:pt>
                <c:pt idx="90">
                  <c:v>594.63247075242327</c:v>
                </c:pt>
                <c:pt idx="91">
                  <c:v>515.99777715164339</c:v>
                </c:pt>
                <c:pt idx="92">
                  <c:v>534.31757023210309</c:v>
                </c:pt>
                <c:pt idx="93">
                  <c:v>552.62415903802309</c:v>
                </c:pt>
                <c:pt idx="94">
                  <c:v>570.91804225426574</c:v>
                </c:pt>
                <c:pt idx="95">
                  <c:v>589.19968402429186</c:v>
                </c:pt>
                <c:pt idx="96">
                  <c:v>607.46951736202516</c:v>
                </c:pt>
                <c:pt idx="97">
                  <c:v>625.72794713217797</c:v>
                </c:pt>
                <c:pt idx="98">
                  <c:v>643.97535266486341</c:v>
                </c:pt>
                <c:pt idx="99">
                  <c:v>662.21209005867013</c:v>
                </c:pt>
                <c:pt idx="100">
                  <c:v>680.43849421703806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2.108474572518316</c:v>
                </c:pt>
                <c:pt idx="2">
                  <c:v>2.8670085021075149</c:v>
                </c:pt>
                <c:pt idx="3">
                  <c:v>3.8995836938128075</c:v>
                </c:pt>
                <c:pt idx="4">
                  <c:v>5.3055980481022571</c:v>
                </c:pt>
                <c:pt idx="5">
                  <c:v>7.2206353449995211</c:v>
                </c:pt>
                <c:pt idx="6">
                  <c:v>9.8296836619511652</c:v>
                </c:pt>
                <c:pt idx="7">
                  <c:v>13.38519747861622</c:v>
                </c:pt>
                <c:pt idx="8">
                  <c:v>18.23178342374937</c:v>
                </c:pt>
                <c:pt idx="9">
                  <c:v>24.839945406389592</c:v>
                </c:pt>
                <c:pt idx="10">
                  <c:v>33.852222834482681</c:v>
                </c:pt>
                <c:pt idx="11">
                  <c:v>46.146285377623315</c:v>
                </c:pt>
                <c:pt idx="12">
                  <c:v>62.921232121831004</c:v>
                </c:pt>
                <c:pt idx="13">
                  <c:v>83.125805197857886</c:v>
                </c:pt>
                <c:pt idx="14">
                  <c:v>103.20556924537884</c:v>
                </c:pt>
                <c:pt idx="15">
                  <c:v>123.18839787166746</c:v>
                </c:pt>
                <c:pt idx="16">
                  <c:v>143.09228790376088</c:v>
                </c:pt>
                <c:pt idx="17">
                  <c:v>142.76655885346182</c:v>
                </c:pt>
                <c:pt idx="18">
                  <c:v>174.93402927835265</c:v>
                </c:pt>
                <c:pt idx="19">
                  <c:v>206.96216292372014</c:v>
                </c:pt>
                <c:pt idx="20">
                  <c:v>238.87559954497763</c:v>
                </c:pt>
                <c:pt idx="21">
                  <c:v>182.06242044637693</c:v>
                </c:pt>
                <c:pt idx="22">
                  <c:v>207.9308195045044</c:v>
                </c:pt>
                <c:pt idx="23">
                  <c:v>233.72485302763633</c:v>
                </c:pt>
                <c:pt idx="24">
                  <c:v>259.45388286365005</c:v>
                </c:pt>
                <c:pt idx="25">
                  <c:v>229.5379645972439</c:v>
                </c:pt>
                <c:pt idx="26">
                  <c:v>254.95565122562834</c:v>
                </c:pt>
                <c:pt idx="27">
                  <c:v>280.31597953415428</c:v>
                </c:pt>
                <c:pt idx="28">
                  <c:v>305.62486594574432</c:v>
                </c:pt>
                <c:pt idx="29">
                  <c:v>272.7242242833733</c:v>
                </c:pt>
                <c:pt idx="30">
                  <c:v>292.38918258804711</c:v>
                </c:pt>
                <c:pt idx="31">
                  <c:v>312.02461684041356</c:v>
                </c:pt>
                <c:pt idx="32">
                  <c:v>331.63264563812885</c:v>
                </c:pt>
                <c:pt idx="33">
                  <c:v>351.21511662636493</c:v>
                </c:pt>
                <c:pt idx="34">
                  <c:v>370.77365464076291</c:v>
                </c:pt>
                <c:pt idx="35">
                  <c:v>323.74997875439948</c:v>
                </c:pt>
                <c:pt idx="36">
                  <c:v>353.34217677452347</c:v>
                </c:pt>
                <c:pt idx="37">
                  <c:v>382.88007441660244</c:v>
                </c:pt>
                <c:pt idx="38">
                  <c:v>412.36844503553056</c:v>
                </c:pt>
                <c:pt idx="39">
                  <c:v>441.81132396532462</c:v>
                </c:pt>
                <c:pt idx="40">
                  <c:v>471.21216521688075</c:v>
                </c:pt>
                <c:pt idx="41">
                  <c:v>403.88741034371895</c:v>
                </c:pt>
                <c:pt idx="42">
                  <c:v>417.87909386741279</c:v>
                </c:pt>
                <c:pt idx="43">
                  <c:v>431.86068387305687</c:v>
                </c:pt>
                <c:pt idx="44">
                  <c:v>445.83255313087494</c:v>
                </c:pt>
                <c:pt idx="45">
                  <c:v>459.79504914411217</c:v>
                </c:pt>
                <c:pt idx="46">
                  <c:v>473.74849659300236</c:v>
                </c:pt>
                <c:pt idx="47">
                  <c:v>456.30528575759053</c:v>
                </c:pt>
                <c:pt idx="48">
                  <c:v>465.50435362197771</c:v>
                </c:pt>
                <c:pt idx="49">
                  <c:v>474.69954624952533</c:v>
                </c:pt>
                <c:pt idx="50">
                  <c:v>483.89094931012505</c:v>
                </c:pt>
                <c:pt idx="51">
                  <c:v>493.07864495283178</c:v>
                </c:pt>
                <c:pt idx="52">
                  <c:v>502.26271201488458</c:v>
                </c:pt>
                <c:pt idx="53">
                  <c:v>511.44322621464363</c:v>
                </c:pt>
                <c:pt idx="54">
                  <c:v>520.62026032995107</c:v>
                </c:pt>
                <c:pt idx="55">
                  <c:v>502.89596414017234</c:v>
                </c:pt>
                <c:pt idx="56">
                  <c:v>506.69512340906527</c:v>
                </c:pt>
                <c:pt idx="57">
                  <c:v>510.49368045075335</c:v>
                </c:pt>
                <c:pt idx="58">
                  <c:v>514.29164038230522</c:v>
                </c:pt>
                <c:pt idx="59">
                  <c:v>518.08900823898568</c:v>
                </c:pt>
                <c:pt idx="60">
                  <c:v>521.88578897616765</c:v>
                </c:pt>
                <c:pt idx="61">
                  <c:v>525.68198747118436</c:v>
                </c:pt>
                <c:pt idx="62">
                  <c:v>529.47760852512613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2.5056460090303925</c:v>
                </c:pt>
                <c:pt idx="2">
                  <c:v>3.327732738846354</c:v>
                </c:pt>
                <c:pt idx="3">
                  <c:v>4.4206485604712045</c:v>
                </c:pt>
                <c:pt idx="4">
                  <c:v>5.8739591407388465</c:v>
                </c:pt>
                <c:pt idx="5">
                  <c:v>7.8069564008888577</c:v>
                </c:pt>
                <c:pt idx="6">
                  <c:v>10.378557094398952</c:v>
                </c:pt>
                <c:pt idx="7">
                  <c:v>13.800507525415135</c:v>
                </c:pt>
                <c:pt idx="8">
                  <c:v>18.355001719973249</c:v>
                </c:pt>
                <c:pt idx="9">
                  <c:v>24.418192160645134</c:v>
                </c:pt>
                <c:pt idx="10">
                  <c:v>32.491569113944941</c:v>
                </c:pt>
                <c:pt idx="11">
                  <c:v>45.045722811468245</c:v>
                </c:pt>
                <c:pt idx="12">
                  <c:v>68.918116010042766</c:v>
                </c:pt>
                <c:pt idx="13">
                  <c:v>92.57439481805693</c:v>
                </c:pt>
                <c:pt idx="14">
                  <c:v>116.07848211116128</c:v>
                </c:pt>
                <c:pt idx="15">
                  <c:v>139.46576938145776</c:v>
                </c:pt>
                <c:pt idx="16">
                  <c:v>97.737484153486875</c:v>
                </c:pt>
                <c:pt idx="17">
                  <c:v>123.45843862619604</c:v>
                </c:pt>
                <c:pt idx="18">
                  <c:v>149.0486227432686</c:v>
                </c:pt>
                <c:pt idx="19">
                  <c:v>174.53373816678013</c:v>
                </c:pt>
                <c:pt idx="20">
                  <c:v>199.93131520555619</c:v>
                </c:pt>
                <c:pt idx="21">
                  <c:v>159.89147845501216</c:v>
                </c:pt>
                <c:pt idx="22">
                  <c:v>186.6076360513151</c:v>
                </c:pt>
                <c:pt idx="23">
                  <c:v>213.23441535885948</c:v>
                </c:pt>
                <c:pt idx="24">
                  <c:v>239.78455379251184</c:v>
                </c:pt>
                <c:pt idx="25">
                  <c:v>266.26773098057953</c:v>
                </c:pt>
                <c:pt idx="26">
                  <c:v>225.88624492093732</c:v>
                </c:pt>
                <c:pt idx="27">
                  <c:v>251.77283729785236</c:v>
                </c:pt>
                <c:pt idx="28">
                  <c:v>277.59910531675155</c:v>
                </c:pt>
                <c:pt idx="29">
                  <c:v>303.37144778612094</c:v>
                </c:pt>
                <c:pt idx="30">
                  <c:v>329.09508705409212</c:v>
                </c:pt>
                <c:pt idx="31">
                  <c:v>287.03396888617937</c:v>
                </c:pt>
                <c:pt idx="32">
                  <c:v>310.90515078463847</c:v>
                </c:pt>
                <c:pt idx="33">
                  <c:v>334.73566468440248</c:v>
                </c:pt>
                <c:pt idx="34">
                  <c:v>358.52881092769786</c:v>
                </c:pt>
                <c:pt idx="35">
                  <c:v>382.28741618096228</c:v>
                </c:pt>
                <c:pt idx="36">
                  <c:v>337.24191352703082</c:v>
                </c:pt>
                <c:pt idx="37">
                  <c:v>357.90312952366207</c:v>
                </c:pt>
                <c:pt idx="38">
                  <c:v>378.53824995849158</c:v>
                </c:pt>
                <c:pt idx="39">
                  <c:v>399.14889663922986</c:v>
                </c:pt>
                <c:pt idx="40">
                  <c:v>419.73651029301618</c:v>
                </c:pt>
                <c:pt idx="41">
                  <c:v>375.10080417289322</c:v>
                </c:pt>
                <c:pt idx="42">
                  <c:v>392.90574133229569</c:v>
                </c:pt>
                <c:pt idx="43">
                  <c:v>410.69318870493333</c:v>
                </c:pt>
                <c:pt idx="44">
                  <c:v>428.46401008226007</c:v>
                </c:pt>
                <c:pt idx="45">
                  <c:v>446.21899178570357</c:v>
                </c:pt>
                <c:pt idx="46">
                  <c:v>420.98353332932442</c:v>
                </c:pt>
                <c:pt idx="47">
                  <c:v>436.25318896943855</c:v>
                </c:pt>
                <c:pt idx="48">
                  <c:v>451.51137887574367</c:v>
                </c:pt>
                <c:pt idx="49">
                  <c:v>466.75854497480481</c:v>
                </c:pt>
                <c:pt idx="50">
                  <c:v>481.99509797473166</c:v>
                </c:pt>
                <c:pt idx="51">
                  <c:v>462.4033121825118</c:v>
                </c:pt>
                <c:pt idx="52">
                  <c:v>475.46642110106609</c:v>
                </c:pt>
                <c:pt idx="53">
                  <c:v>488.5218960991653</c:v>
                </c:pt>
                <c:pt idx="54">
                  <c:v>501.5699699024297</c:v>
                </c:pt>
                <c:pt idx="55">
                  <c:v>514.61086214265526</c:v>
                </c:pt>
                <c:pt idx="56">
                  <c:v>498.15332008482136</c:v>
                </c:pt>
                <c:pt idx="57">
                  <c:v>509.64373653602433</c:v>
                </c:pt>
                <c:pt idx="58">
                  <c:v>521.12868049361134</c:v>
                </c:pt>
                <c:pt idx="59">
                  <c:v>532.60828955263503</c:v>
                </c:pt>
                <c:pt idx="60">
                  <c:v>544.08269489370571</c:v>
                </c:pt>
                <c:pt idx="61">
                  <c:v>527.02427283891677</c:v>
                </c:pt>
                <c:pt idx="62">
                  <c:v>536.330282305266</c:v>
                </c:pt>
                <c:pt idx="63">
                  <c:v>545.63289799541383</c:v>
                </c:pt>
                <c:pt idx="64">
                  <c:v>554.9321859329965</c:v>
                </c:pt>
                <c:pt idx="65">
                  <c:v>564.22820974827573</c:v>
                </c:pt>
                <c:pt idx="66">
                  <c:v>547.4930197333249</c:v>
                </c:pt>
                <c:pt idx="67">
                  <c:v>555.55202171385451</c:v>
                </c:pt>
                <c:pt idx="68">
                  <c:v>563.60857513569988</c:v>
                </c:pt>
                <c:pt idx="69">
                  <c:v>571.66271994120405</c:v>
                </c:pt>
                <c:pt idx="70">
                  <c:v>579.71449485526693</c:v>
                </c:pt>
                <c:pt idx="71">
                  <c:v>563.9183942223159</c:v>
                </c:pt>
                <c:pt idx="72">
                  <c:v>571.35298920709954</c:v>
                </c:pt>
                <c:pt idx="73">
                  <c:v>578.78556363786606</c:v>
                </c:pt>
                <c:pt idx="74">
                  <c:v>586.21614712582311</c:v>
                </c:pt>
                <c:pt idx="75">
                  <c:v>593.64476847015783</c:v>
                </c:pt>
                <c:pt idx="76">
                  <c:v>578.16625888120927</c:v>
                </c:pt>
                <c:pt idx="77">
                  <c:v>584.35868631619962</c:v>
                </c:pt>
                <c:pt idx="78">
                  <c:v>590.54974621713279</c:v>
                </c:pt>
                <c:pt idx="79">
                  <c:v>596.73945494670363</c:v>
                </c:pt>
                <c:pt idx="80">
                  <c:v>602.92782850038679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672.82076514505172</c:v>
                </c:pt>
                <c:pt idx="92">
                  <c:v>686.05216418180908</c:v>
                </c:pt>
                <c:pt idx="93">
                  <c:v>699.27833097368728</c:v>
                </c:pt>
                <c:pt idx="94">
                  <c:v>712.49937837079085</c:v>
                </c:pt>
                <c:pt idx="95">
                  <c:v>725.71541469625174</c:v>
                </c:pt>
                <c:pt idx="96">
                  <c:v>677.94322510709128</c:v>
                </c:pt>
                <c:pt idx="97">
                  <c:v>689.89255298185071</c:v>
                </c:pt>
                <c:pt idx="98">
                  <c:v>701.83763948445983</c:v>
                </c:pt>
                <c:pt idx="99">
                  <c:v>713.77856694008267</c:v>
                </c:pt>
                <c:pt idx="100">
                  <c:v>725.71541469625208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160.02029104347795</c:v>
                </c:pt>
                <c:pt idx="22">
                  <c:v>175.13585803907259</c:v>
                </c:pt>
                <c:pt idx="23">
                  <c:v>190.22078828852798</c:v>
                </c:pt>
                <c:pt idx="24">
                  <c:v>205.2778545096966</c:v>
                </c:pt>
                <c:pt idx="25">
                  <c:v>220.30938898976538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221.97807266554162</c:v>
                </c:pt>
                <c:pt idx="32">
                  <c:v>244.47808276569106</c:v>
                </c:pt>
                <c:pt idx="33">
                  <c:v>266.93103161478729</c:v>
                </c:pt>
                <c:pt idx="34">
                  <c:v>289.3414331694662</c:v>
                </c:pt>
                <c:pt idx="35">
                  <c:v>311.71304479765803</c:v>
                </c:pt>
                <c:pt idx="36">
                  <c:v>276.89622424264081</c:v>
                </c:pt>
                <c:pt idx="37">
                  <c:v>300.11758429718861</c:v>
                </c:pt>
                <c:pt idx="38">
                  <c:v>323.29893699066071</c:v>
                </c:pt>
                <c:pt idx="39">
                  <c:v>346.4435525568872</c:v>
                </c:pt>
                <c:pt idx="40">
                  <c:v>369.55422870449632</c:v>
                </c:pt>
                <c:pt idx="41">
                  <c:v>335.28894123596257</c:v>
                </c:pt>
                <c:pt idx="42">
                  <c:v>358.82833079757535</c:v>
                </c:pt>
                <c:pt idx="43">
                  <c:v>382.33394334423559</c:v>
                </c:pt>
                <c:pt idx="44">
                  <c:v>405.80814582937325</c:v>
                </c:pt>
                <c:pt idx="45">
                  <c:v>429.25300917701088</c:v>
                </c:pt>
                <c:pt idx="46">
                  <c:v>394.28074727616126</c:v>
                </c:pt>
                <c:pt idx="47">
                  <c:v>416.91714761061024</c:v>
                </c:pt>
                <c:pt idx="48">
                  <c:v>439.52706413119489</c:v>
                </c:pt>
                <c:pt idx="49">
                  <c:v>462.11204968448237</c:v>
                </c:pt>
                <c:pt idx="50">
                  <c:v>484.67349306043207</c:v>
                </c:pt>
                <c:pt idx="51">
                  <c:v>448.15328569496359</c:v>
                </c:pt>
                <c:pt idx="52">
                  <c:v>469.08803973384329</c:v>
                </c:pt>
                <c:pt idx="53">
                  <c:v>490.00289665080521</c:v>
                </c:pt>
                <c:pt idx="54">
                  <c:v>510.89882453659499</c:v>
                </c:pt>
                <c:pt idx="55">
                  <c:v>531.77670589409706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531.36750389275585</c:v>
                </c:pt>
                <c:pt idx="62">
                  <c:v>549.3661998253956</c:v>
                </c:pt>
                <c:pt idx="63">
                  <c:v>567.35253375731543</c:v>
                </c:pt>
                <c:pt idx="64">
                  <c:v>585.32695249209939</c:v>
                </c:pt>
                <c:pt idx="65">
                  <c:v>603.28987317463418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588.18544859108772</c:v>
                </c:pt>
                <c:pt idx="72">
                  <c:v>603.69799084952581</c:v>
                </c:pt>
                <c:pt idx="73">
                  <c:v>619.20225497367608</c:v>
                </c:pt>
                <c:pt idx="74">
                  <c:v>634.69847731101868</c:v>
                </c:pt>
                <c:pt idx="75">
                  <c:v>650.18688173454336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623.2809785427969</c:v>
                </c:pt>
                <c:pt idx="82">
                  <c:v>637.1445290217099</c:v>
                </c:pt>
                <c:pt idx="83">
                  <c:v>651.00184842596218</c:v>
                </c:pt>
                <c:pt idx="84">
                  <c:v>664.85308800712107</c:v>
                </c:pt>
                <c:pt idx="85">
                  <c:v>678.69839220429378</c:v>
                </c:pt>
                <c:pt idx="86">
                  <c:v>634.69847731101868</c:v>
                </c:pt>
                <c:pt idx="87">
                  <c:v>647.74185514581279</c:v>
                </c:pt>
                <c:pt idx="88">
                  <c:v>660.77981648497882</c:v>
                </c:pt>
                <c:pt idx="89">
                  <c:v>673.81248320912653</c:v>
                </c:pt>
                <c:pt idx="90">
                  <c:v>686.83997210216705</c:v>
                </c:pt>
                <c:pt idx="91">
                  <c:v>642.44364323070249</c:v>
                </c:pt>
                <c:pt idx="92">
                  <c:v>655.07636694999792</c:v>
                </c:pt>
                <c:pt idx="93">
                  <c:v>667.70407238667042</c:v>
                </c:pt>
                <c:pt idx="94">
                  <c:v>680.32686777604431</c:v>
                </c:pt>
                <c:pt idx="95">
                  <c:v>692.94485701159181</c:v>
                </c:pt>
                <c:pt idx="96">
                  <c:v>647.33433222460883</c:v>
                </c:pt>
                <c:pt idx="97">
                  <c:v>658.74298707117862</c:v>
                </c:pt>
                <c:pt idx="98">
                  <c:v>670.14757398808365</c:v>
                </c:pt>
                <c:pt idx="99">
                  <c:v>681.54817193396354</c:v>
                </c:pt>
                <c:pt idx="100">
                  <c:v>692.94485701159203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I21" sqref="I2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9.58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0.18</v>
      </c>
      <c r="D9" s="33">
        <f t="shared" ref="D9:D18" si="0">C9*$C$5</f>
        <v>1.7243999999999999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13</v>
      </c>
      <c r="C10" s="32">
        <v>0.09</v>
      </c>
      <c r="D10" s="33">
        <f t="shared" si="0"/>
        <v>0.86219999999999997</v>
      </c>
      <c r="E10" s="34">
        <v>55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22</v>
      </c>
      <c r="C11" s="32">
        <v>7.0000000000000007E-2</v>
      </c>
      <c r="D11" s="33">
        <f t="shared" si="0"/>
        <v>0.67060000000000008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18</v>
      </c>
      <c r="C12" s="32">
        <v>0.11</v>
      </c>
      <c r="D12" s="33">
        <f t="shared" si="0"/>
        <v>1.0538000000000001</v>
      </c>
      <c r="E12" s="34">
        <v>65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164</v>
      </c>
      <c r="C13" s="32">
        <v>0.23</v>
      </c>
      <c r="D13" s="33">
        <f t="shared" si="0"/>
        <v>2.2034000000000002</v>
      </c>
      <c r="E13" s="34">
        <v>100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36</v>
      </c>
      <c r="C14" s="32">
        <v>0.15</v>
      </c>
      <c r="D14" s="33">
        <f t="shared" si="0"/>
        <v>1.4370000000000001</v>
      </c>
      <c r="E14" s="34">
        <v>62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8</v>
      </c>
      <c r="C15" s="32">
        <v>0.04</v>
      </c>
      <c r="D15" s="33">
        <f t="shared" si="0"/>
        <v>0.38319999999999999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12</v>
      </c>
      <c r="C16" s="32">
        <v>0.11</v>
      </c>
      <c r="D16" s="33">
        <f t="shared" si="0"/>
        <v>1.0538000000000001</v>
      </c>
      <c r="E16" s="34">
        <v>100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1</v>
      </c>
      <c r="C17" s="32">
        <v>0.02</v>
      </c>
      <c r="D17" s="33">
        <f t="shared" si="0"/>
        <v>0.19159999999999999</v>
      </c>
      <c r="E17" s="34">
        <v>100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9.58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73</v>
      </c>
      <c r="C36" s="60">
        <v>1</v>
      </c>
      <c r="D36" s="60">
        <v>6</v>
      </c>
      <c r="E36" s="51">
        <v>0.2</v>
      </c>
      <c r="F36" s="51">
        <v>0.2</v>
      </c>
      <c r="G36" s="51">
        <v>0.6</v>
      </c>
      <c r="H36" s="51"/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25</v>
      </c>
      <c r="B37" s="60">
        <v>103</v>
      </c>
      <c r="C37" s="60">
        <v>2</v>
      </c>
      <c r="D37" s="60">
        <v>28</v>
      </c>
      <c r="E37" s="51">
        <v>0.3</v>
      </c>
      <c r="F37" s="51">
        <v>0.4</v>
      </c>
      <c r="G37" s="51">
        <v>0.3</v>
      </c>
      <c r="H37" s="51"/>
      <c r="I37" s="53">
        <f t="shared" ref="I37:I55" si="1">IF(A37&lt;&gt;0,(B37-(B36-D36))/(A37-A36),"")</f>
        <v>7.2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121</v>
      </c>
      <c r="C38" s="60">
        <v>3</v>
      </c>
      <c r="D38" s="60">
        <v>28</v>
      </c>
      <c r="E38" s="51">
        <v>0.3</v>
      </c>
      <c r="F38" s="51">
        <v>0.4</v>
      </c>
      <c r="G38" s="51">
        <v>0.3</v>
      </c>
      <c r="H38" s="51"/>
      <c r="I38" s="53">
        <f t="shared" si="1"/>
        <v>9.1999999999999993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35</v>
      </c>
      <c r="B39" s="60">
        <v>147</v>
      </c>
      <c r="C39" s="60">
        <v>4</v>
      </c>
      <c r="D39" s="60">
        <v>28</v>
      </c>
      <c r="E39" s="51"/>
      <c r="F39" s="51"/>
      <c r="G39" s="51"/>
      <c r="H39" s="51"/>
      <c r="I39" s="49">
        <f t="shared" si="1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40</v>
      </c>
      <c r="B40" s="60">
        <v>175</v>
      </c>
      <c r="C40" s="60">
        <v>5</v>
      </c>
      <c r="D40" s="60">
        <v>28</v>
      </c>
      <c r="E40" s="51"/>
      <c r="F40" s="51"/>
      <c r="G40" s="51"/>
      <c r="H40" s="51"/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45</v>
      </c>
      <c r="B41" s="60">
        <v>204</v>
      </c>
      <c r="C41" s="60">
        <v>6</v>
      </c>
      <c r="D41" s="60">
        <v>28</v>
      </c>
      <c r="E41" s="51"/>
      <c r="F41" s="51"/>
      <c r="G41" s="51"/>
      <c r="H41" s="51"/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50</v>
      </c>
      <c r="B42" s="60">
        <v>231</v>
      </c>
      <c r="C42" s="60">
        <v>7</v>
      </c>
      <c r="D42" s="60">
        <v>28</v>
      </c>
      <c r="E42" s="51"/>
      <c r="F42" s="51"/>
      <c r="G42" s="51"/>
      <c r="H42" s="51"/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55</v>
      </c>
      <c r="B43" s="60">
        <v>254</v>
      </c>
      <c r="C43" s="60">
        <v>8</v>
      </c>
      <c r="D43" s="60">
        <v>28</v>
      </c>
      <c r="E43" s="51"/>
      <c r="F43" s="51"/>
      <c r="G43" s="51"/>
      <c r="H43" s="51"/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60</v>
      </c>
      <c r="B44" s="60">
        <v>273</v>
      </c>
      <c r="C44" s="60">
        <v>9</v>
      </c>
      <c r="D44" s="60">
        <v>28</v>
      </c>
      <c r="E44" s="51"/>
      <c r="F44" s="51"/>
      <c r="G44" s="51"/>
      <c r="H44" s="51"/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65</v>
      </c>
      <c r="B45" s="60">
        <v>289</v>
      </c>
      <c r="C45" s="60">
        <v>10</v>
      </c>
      <c r="D45" s="60">
        <v>28</v>
      </c>
      <c r="E45" s="51"/>
      <c r="F45" s="51"/>
      <c r="G45" s="51"/>
      <c r="H45" s="51"/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70</v>
      </c>
      <c r="B46" s="60">
        <v>302</v>
      </c>
      <c r="C46" s="60">
        <v>11</v>
      </c>
      <c r="D46" s="60">
        <v>28</v>
      </c>
      <c r="E46" s="51"/>
      <c r="F46" s="51"/>
      <c r="G46" s="51"/>
      <c r="H46" s="51"/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75</v>
      </c>
      <c r="B47" s="60">
        <v>312</v>
      </c>
      <c r="C47" s="60">
        <v>12</v>
      </c>
      <c r="D47" s="60">
        <v>28</v>
      </c>
      <c r="E47" s="51"/>
      <c r="F47" s="51"/>
      <c r="G47" s="51"/>
      <c r="H47" s="51"/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80</v>
      </c>
      <c r="B48" s="60">
        <v>320</v>
      </c>
      <c r="C48" s="60">
        <v>13</v>
      </c>
      <c r="D48" s="60">
        <v>28</v>
      </c>
      <c r="E48" s="51"/>
      <c r="F48" s="51"/>
      <c r="G48" s="51"/>
      <c r="H48" s="51"/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85</v>
      </c>
      <c r="B49" s="60">
        <v>326</v>
      </c>
      <c r="C49" s="60">
        <v>14</v>
      </c>
      <c r="D49" s="60">
        <v>28</v>
      </c>
      <c r="E49" s="51"/>
      <c r="F49" s="51"/>
      <c r="G49" s="51"/>
      <c r="H49" s="51"/>
      <c r="I49" s="49">
        <f t="shared" si="1"/>
        <v>6.8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90</v>
      </c>
      <c r="B50" s="50">
        <v>330</v>
      </c>
      <c r="C50" s="50">
        <v>15</v>
      </c>
      <c r="D50" s="50">
        <v>28</v>
      </c>
      <c r="E50" s="51"/>
      <c r="F50" s="51"/>
      <c r="G50" s="51"/>
      <c r="H50" s="51"/>
      <c r="I50" s="49">
        <f t="shared" si="1"/>
        <v>6.4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>
        <v>95</v>
      </c>
      <c r="B51" s="50">
        <v>333</v>
      </c>
      <c r="C51" s="50">
        <v>16</v>
      </c>
      <c r="D51" s="50">
        <v>28</v>
      </c>
      <c r="E51" s="51"/>
      <c r="F51" s="51"/>
      <c r="G51" s="51"/>
      <c r="H51" s="51"/>
      <c r="I51" s="49">
        <f t="shared" si="1"/>
        <v>6.2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>
        <v>100</v>
      </c>
      <c r="B52" s="50">
        <v>333</v>
      </c>
      <c r="C52" s="50">
        <v>17</v>
      </c>
      <c r="D52" s="50">
        <v>333</v>
      </c>
      <c r="E52" s="51"/>
      <c r="F52" s="51"/>
      <c r="G52" s="51"/>
      <c r="H52" s="51"/>
      <c r="I52" s="49">
        <f t="shared" si="1"/>
        <v>5.6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rouge d'Amérique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15</v>
      </c>
      <c r="B62" s="60">
        <v>107</v>
      </c>
      <c r="C62" s="60">
        <v>1</v>
      </c>
      <c r="D62" s="60">
        <v>34</v>
      </c>
      <c r="E62" s="51"/>
      <c r="F62" s="51">
        <v>0.1</v>
      </c>
      <c r="G62" s="51">
        <v>0.5</v>
      </c>
      <c r="H62" s="51">
        <v>0.4</v>
      </c>
      <c r="I62" s="53">
        <f>IFERROR(B62/A62,"")</f>
        <v>7.1333333333333337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20</v>
      </c>
      <c r="B63" s="60">
        <v>154</v>
      </c>
      <c r="C63" s="60">
        <v>2</v>
      </c>
      <c r="D63" s="60">
        <v>50</v>
      </c>
      <c r="E63" s="51">
        <v>0.1</v>
      </c>
      <c r="F63" s="51">
        <v>0.2</v>
      </c>
      <c r="G63" s="51">
        <v>0.4</v>
      </c>
      <c r="H63" s="51">
        <v>0.3</v>
      </c>
      <c r="I63" s="49">
        <f>IF(A63&lt;&gt;0,(B63-(B62-D62))/(A63-A62),"")</f>
        <v>16.2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25</v>
      </c>
      <c r="B64" s="60">
        <v>183</v>
      </c>
      <c r="C64" s="60">
        <v>3</v>
      </c>
      <c r="D64" s="60">
        <v>52</v>
      </c>
      <c r="E64" s="51">
        <v>0.1</v>
      </c>
      <c r="F64" s="51">
        <v>0.3</v>
      </c>
      <c r="G64" s="51">
        <v>0.3</v>
      </c>
      <c r="H64" s="51">
        <v>0.3</v>
      </c>
      <c r="I64" s="49">
        <f>IF(A64&lt;&gt;0,(B64-(B63-D63))/(A64-A63),"")</f>
        <v>15.8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30</v>
      </c>
      <c r="B65" s="60">
        <v>205</v>
      </c>
      <c r="C65" s="60">
        <v>4</v>
      </c>
      <c r="D65" s="60">
        <v>51</v>
      </c>
      <c r="E65" s="51">
        <v>0.2</v>
      </c>
      <c r="F65" s="51">
        <v>0.4</v>
      </c>
      <c r="G65" s="51">
        <v>0.2</v>
      </c>
      <c r="H65" s="51"/>
      <c r="I65" s="49">
        <f>IF(A65&lt;&gt;0,(B65-(B64-D64))/(A65-A64),"")</f>
        <v>14.8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35</v>
      </c>
      <c r="B66" s="60">
        <v>222</v>
      </c>
      <c r="C66" s="60">
        <v>5</v>
      </c>
      <c r="D66" s="60">
        <v>49</v>
      </c>
      <c r="E66" s="51"/>
      <c r="F66" s="51"/>
      <c r="G66" s="51"/>
      <c r="H66" s="51"/>
      <c r="I66" s="49">
        <f t="shared" ref="I66:I81" si="2">IF(A66&lt;&gt;0,(B66-(B65-D65))/(A66-A65),"")</f>
        <v>13.6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40</v>
      </c>
      <c r="B67" s="60">
        <v>235</v>
      </c>
      <c r="C67" s="60">
        <v>6</v>
      </c>
      <c r="D67" s="60">
        <v>45</v>
      </c>
      <c r="E67" s="51"/>
      <c r="F67" s="51"/>
      <c r="G67" s="51"/>
      <c r="H67" s="51"/>
      <c r="I67" s="49">
        <f t="shared" si="2"/>
        <v>12.4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45</v>
      </c>
      <c r="B68" s="60">
        <v>245</v>
      </c>
      <c r="C68" s="60">
        <v>7</v>
      </c>
      <c r="D68" s="60">
        <v>41</v>
      </c>
      <c r="E68" s="51"/>
      <c r="F68" s="51"/>
      <c r="G68" s="51"/>
      <c r="H68" s="51"/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50</v>
      </c>
      <c r="B69" s="50">
        <v>252</v>
      </c>
      <c r="C69" s="50">
        <v>8</v>
      </c>
      <c r="D69" s="50">
        <v>37</v>
      </c>
      <c r="E69" s="51"/>
      <c r="F69" s="51"/>
      <c r="G69" s="51"/>
      <c r="H69" s="51"/>
      <c r="I69" s="49">
        <f t="shared" si="2"/>
        <v>9.6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55</v>
      </c>
      <c r="B70" s="50">
        <v>258</v>
      </c>
      <c r="C70" s="50">
        <v>9</v>
      </c>
      <c r="D70" s="50">
        <v>258</v>
      </c>
      <c r="E70" s="51"/>
      <c r="F70" s="51"/>
      <c r="G70" s="51"/>
      <c r="H70" s="51"/>
      <c r="I70" s="49">
        <f t="shared" si="2"/>
        <v>8.6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Erable plane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10</v>
      </c>
      <c r="B88" s="60">
        <v>19</v>
      </c>
      <c r="C88" s="60">
        <v>1</v>
      </c>
      <c r="D88" s="60">
        <v>7</v>
      </c>
      <c r="E88" s="51"/>
      <c r="F88" s="51">
        <v>0.3</v>
      </c>
      <c r="G88" s="51">
        <v>0.7</v>
      </c>
      <c r="H88" s="87"/>
      <c r="I88" s="53">
        <f>IFERROR(B88/A88,"")</f>
        <v>1.9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15</v>
      </c>
      <c r="B89" s="60">
        <v>85</v>
      </c>
      <c r="C89" s="60">
        <v>2</v>
      </c>
      <c r="D89" s="60">
        <v>42</v>
      </c>
      <c r="E89" s="51">
        <v>0.2</v>
      </c>
      <c r="F89" s="51">
        <v>0.2</v>
      </c>
      <c r="G89" s="51">
        <v>0.6</v>
      </c>
      <c r="H89" s="87"/>
      <c r="I89" s="53">
        <f t="shared" ref="I89:I107" si="3">IF(A89&lt;&gt;0,(B89-(B88-D88))/(A89-A88),"")</f>
        <v>14.6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20</v>
      </c>
      <c r="B90" s="60">
        <v>123</v>
      </c>
      <c r="C90" s="60">
        <v>3</v>
      </c>
      <c r="D90" s="60">
        <v>42</v>
      </c>
      <c r="E90" s="87">
        <v>0.2</v>
      </c>
      <c r="F90" s="87">
        <v>0.2</v>
      </c>
      <c r="G90" s="87">
        <v>0.6</v>
      </c>
      <c r="H90" s="87"/>
      <c r="I90" s="53">
        <f t="shared" si="3"/>
        <v>16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25</v>
      </c>
      <c r="B91" s="60">
        <v>165</v>
      </c>
      <c r="C91" s="60">
        <v>4</v>
      </c>
      <c r="D91" s="60">
        <v>42</v>
      </c>
      <c r="E91" s="87">
        <v>0.3</v>
      </c>
      <c r="F91" s="87">
        <v>0.4</v>
      </c>
      <c r="G91" s="87">
        <v>0.3</v>
      </c>
      <c r="H91" s="87"/>
      <c r="I91" s="53">
        <f t="shared" si="3"/>
        <v>16.8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30</v>
      </c>
      <c r="B92" s="60">
        <v>205</v>
      </c>
      <c r="C92" s="60">
        <v>5</v>
      </c>
      <c r="D92" s="60">
        <v>42</v>
      </c>
      <c r="E92" s="87">
        <v>0.3</v>
      </c>
      <c r="F92" s="87">
        <v>0.4</v>
      </c>
      <c r="G92" s="87">
        <v>0.3</v>
      </c>
      <c r="H92" s="87"/>
      <c r="I92" s="53">
        <f t="shared" si="3"/>
        <v>16.399999999999999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35</v>
      </c>
      <c r="B93" s="60">
        <v>239</v>
      </c>
      <c r="C93" s="60">
        <v>6</v>
      </c>
      <c r="D93" s="60">
        <v>42</v>
      </c>
      <c r="E93" s="87"/>
      <c r="F93" s="87"/>
      <c r="G93" s="87"/>
      <c r="H93" s="87"/>
      <c r="I93" s="53">
        <f t="shared" si="3"/>
        <v>15.2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40</v>
      </c>
      <c r="B94" s="60">
        <v>263</v>
      </c>
      <c r="C94" s="60">
        <v>7</v>
      </c>
      <c r="D94" s="60">
        <v>40</v>
      </c>
      <c r="E94" s="87"/>
      <c r="F94" s="87"/>
      <c r="G94" s="87"/>
      <c r="H94" s="87"/>
      <c r="I94" s="53">
        <f t="shared" si="3"/>
        <v>13.2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45</v>
      </c>
      <c r="B95" s="60">
        <v>280</v>
      </c>
      <c r="C95" s="60">
        <v>8</v>
      </c>
      <c r="D95" s="60">
        <v>26</v>
      </c>
      <c r="E95" s="87"/>
      <c r="F95" s="87"/>
      <c r="G95" s="87"/>
      <c r="H95" s="87"/>
      <c r="I95" s="53">
        <f t="shared" si="3"/>
        <v>11.4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50</v>
      </c>
      <c r="B96" s="60">
        <v>303</v>
      </c>
      <c r="C96" s="60">
        <v>9</v>
      </c>
      <c r="D96" s="60">
        <v>21</v>
      </c>
      <c r="E96" s="87"/>
      <c r="F96" s="87"/>
      <c r="G96" s="87"/>
      <c r="H96" s="87"/>
      <c r="I96" s="53">
        <f t="shared" si="3"/>
        <v>9.8000000000000007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55</v>
      </c>
      <c r="B97" s="60">
        <v>324</v>
      </c>
      <c r="C97" s="60">
        <v>10</v>
      </c>
      <c r="D97" s="60">
        <v>18</v>
      </c>
      <c r="E97" s="87"/>
      <c r="F97" s="87"/>
      <c r="G97" s="87"/>
      <c r="H97" s="87"/>
      <c r="I97" s="53">
        <f t="shared" si="3"/>
        <v>8.4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60</v>
      </c>
      <c r="B98" s="60">
        <v>343</v>
      </c>
      <c r="C98" s="60">
        <v>11</v>
      </c>
      <c r="D98" s="60">
        <v>17</v>
      </c>
      <c r="E98" s="87"/>
      <c r="F98" s="87"/>
      <c r="G98" s="87"/>
      <c r="H98" s="87"/>
      <c r="I98" s="53">
        <f t="shared" si="3"/>
        <v>7.4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65</v>
      </c>
      <c r="B99" s="60">
        <v>356</v>
      </c>
      <c r="C99" s="60">
        <v>12</v>
      </c>
      <c r="D99" s="60">
        <v>16</v>
      </c>
      <c r="E99" s="87"/>
      <c r="F99" s="87"/>
      <c r="G99" s="87"/>
      <c r="H99" s="87"/>
      <c r="I99" s="53">
        <f t="shared" si="3"/>
        <v>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70</v>
      </c>
      <c r="B100" s="60">
        <v>366</v>
      </c>
      <c r="C100" s="60">
        <v>13</v>
      </c>
      <c r="D100" s="60">
        <v>15</v>
      </c>
      <c r="E100" s="65"/>
      <c r="F100" s="65"/>
      <c r="G100" s="65"/>
      <c r="H100" s="65"/>
      <c r="I100" s="53">
        <f t="shared" si="3"/>
        <v>5.2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75</v>
      </c>
      <c r="B101" s="60">
        <v>375</v>
      </c>
      <c r="C101" s="60">
        <v>14</v>
      </c>
      <c r="D101" s="60">
        <v>14</v>
      </c>
      <c r="E101" s="65"/>
      <c r="F101" s="65"/>
      <c r="G101" s="65"/>
      <c r="H101" s="65"/>
      <c r="I101" s="53">
        <f t="shared" si="3"/>
        <v>4.8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80</v>
      </c>
      <c r="B102" s="50">
        <v>381</v>
      </c>
      <c r="C102" s="60">
        <v>15</v>
      </c>
      <c r="D102" s="50">
        <v>381</v>
      </c>
      <c r="E102" s="54"/>
      <c r="F102" s="54"/>
      <c r="G102" s="54"/>
      <c r="H102" s="54"/>
      <c r="I102" s="53">
        <f t="shared" si="3"/>
        <v>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Douglas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v>303</v>
      </c>
      <c r="C114" s="50">
        <v>1</v>
      </c>
      <c r="D114" s="60">
        <v>43</v>
      </c>
      <c r="E114" s="51"/>
      <c r="F114" s="51">
        <v>0.6</v>
      </c>
      <c r="G114" s="51">
        <v>0.4</v>
      </c>
      <c r="H114" s="51"/>
      <c r="I114" s="53">
        <f>IFERROR(B114/A114,"")</f>
        <v>15.15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25</v>
      </c>
      <c r="B115" s="60">
        <v>419</v>
      </c>
      <c r="C115" s="50">
        <v>2</v>
      </c>
      <c r="D115" s="60">
        <v>60</v>
      </c>
      <c r="E115" s="51"/>
      <c r="F115" s="51">
        <v>0.6</v>
      </c>
      <c r="G115" s="51">
        <v>0.4</v>
      </c>
      <c r="H115" s="51"/>
      <c r="I115" s="53">
        <f t="shared" ref="I115:I133" si="4">IF(A115&lt;&gt;0,(B115-(B114-D114))/(A115-A114),"")</f>
        <v>31.8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30</v>
      </c>
      <c r="B116" s="60">
        <v>524</v>
      </c>
      <c r="C116" s="50">
        <v>3</v>
      </c>
      <c r="D116" s="60">
        <v>90</v>
      </c>
      <c r="E116" s="51">
        <v>0.2</v>
      </c>
      <c r="F116" s="51">
        <v>0.6</v>
      </c>
      <c r="G116" s="51">
        <v>0.2</v>
      </c>
      <c r="H116" s="51"/>
      <c r="I116" s="53">
        <f t="shared" si="4"/>
        <v>33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35</v>
      </c>
      <c r="B117" s="60">
        <v>576</v>
      </c>
      <c r="C117" s="50">
        <v>4</v>
      </c>
      <c r="D117" s="60">
        <v>72</v>
      </c>
      <c r="E117" s="51"/>
      <c r="F117" s="51"/>
      <c r="G117" s="51"/>
      <c r="H117" s="51"/>
      <c r="I117" s="53">
        <f t="shared" si="4"/>
        <v>28.4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40</v>
      </c>
      <c r="B118" s="60">
        <v>639</v>
      </c>
      <c r="C118" s="50">
        <v>5</v>
      </c>
      <c r="D118" s="60">
        <v>77</v>
      </c>
      <c r="E118" s="51"/>
      <c r="F118" s="51"/>
      <c r="G118" s="51"/>
      <c r="H118" s="51"/>
      <c r="I118" s="53">
        <f t="shared" si="4"/>
        <v>27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45</v>
      </c>
      <c r="B119" s="60">
        <v>686</v>
      </c>
      <c r="C119" s="50">
        <v>6</v>
      </c>
      <c r="D119" s="60">
        <v>64</v>
      </c>
      <c r="E119" s="51"/>
      <c r="F119" s="51"/>
      <c r="G119" s="51"/>
      <c r="H119" s="51"/>
      <c r="I119" s="53">
        <f t="shared" si="4"/>
        <v>24.8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50</v>
      </c>
      <c r="B120" s="60">
        <v>724</v>
      </c>
      <c r="C120" s="60">
        <v>7</v>
      </c>
      <c r="D120" s="60">
        <v>62</v>
      </c>
      <c r="E120" s="87"/>
      <c r="F120" s="87"/>
      <c r="G120" s="87"/>
      <c r="H120" s="87"/>
      <c r="I120" s="53">
        <f t="shared" si="4"/>
        <v>20.399999999999999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55</v>
      </c>
      <c r="B121" s="60">
        <v>739</v>
      </c>
      <c r="C121" s="60">
        <v>8</v>
      </c>
      <c r="D121" s="60">
        <v>46</v>
      </c>
      <c r="E121" s="87"/>
      <c r="F121" s="87"/>
      <c r="G121" s="87"/>
      <c r="H121" s="87"/>
      <c r="I121" s="53">
        <f t="shared" si="4"/>
        <v>15.4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60</v>
      </c>
      <c r="B122" s="60">
        <v>754</v>
      </c>
      <c r="C122" s="60">
        <v>9</v>
      </c>
      <c r="D122" s="60">
        <v>35</v>
      </c>
      <c r="E122" s="87"/>
      <c r="F122" s="87"/>
      <c r="G122" s="87"/>
      <c r="H122" s="87"/>
      <c r="I122" s="53">
        <f t="shared" si="4"/>
        <v>12.2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65</v>
      </c>
      <c r="B123" s="60">
        <v>769</v>
      </c>
      <c r="C123" s="60">
        <v>10</v>
      </c>
      <c r="D123" s="60">
        <v>769</v>
      </c>
      <c r="E123" s="87"/>
      <c r="F123" s="87"/>
      <c r="G123" s="87"/>
      <c r="H123" s="87"/>
      <c r="I123" s="53">
        <f t="shared" si="4"/>
        <v>10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Cèdre de l'Atlas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20</v>
      </c>
      <c r="B140" s="60">
        <v>158</v>
      </c>
      <c r="C140" s="50">
        <v>1</v>
      </c>
      <c r="D140" s="60">
        <v>39.5</v>
      </c>
      <c r="E140" s="51">
        <v>0.2</v>
      </c>
      <c r="F140" s="51">
        <v>0.2</v>
      </c>
      <c r="G140" s="51">
        <v>0.6</v>
      </c>
      <c r="H140" s="51"/>
      <c r="I140" s="57">
        <f>IFERROR(B140/A140,"")</f>
        <v>7.9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30</v>
      </c>
      <c r="B141" s="60">
        <v>210.5</v>
      </c>
      <c r="C141" s="50">
        <v>2</v>
      </c>
      <c r="D141" s="60">
        <v>67</v>
      </c>
      <c r="E141" s="51">
        <v>0.3</v>
      </c>
      <c r="F141" s="51">
        <v>0.4</v>
      </c>
      <c r="G141" s="51">
        <v>0.3</v>
      </c>
      <c r="H141" s="51"/>
      <c r="I141" s="57">
        <f t="shared" ref="I141:I159" si="5">IF(A141&lt;&gt;0,(B141-(B140-D140))/(A141-A140),"")</f>
        <v>9.1999999999999993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40</v>
      </c>
      <c r="B142" s="60">
        <v>243.5</v>
      </c>
      <c r="C142" s="50">
        <v>3</v>
      </c>
      <c r="D142" s="60">
        <v>70</v>
      </c>
      <c r="E142" s="51"/>
      <c r="F142" s="51"/>
      <c r="G142" s="51"/>
      <c r="H142" s="51"/>
      <c r="I142" s="57">
        <f t="shared" si="5"/>
        <v>10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50</v>
      </c>
      <c r="B143" s="60">
        <v>288.5</v>
      </c>
      <c r="C143" s="50">
        <v>4</v>
      </c>
      <c r="D143" s="60">
        <v>75</v>
      </c>
      <c r="E143" s="51"/>
      <c r="F143" s="51"/>
      <c r="G143" s="51"/>
      <c r="H143" s="51"/>
      <c r="I143" s="57">
        <f t="shared" si="5"/>
        <v>11.5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60</v>
      </c>
      <c r="B144" s="60">
        <v>348.5</v>
      </c>
      <c r="C144" s="50">
        <v>5</v>
      </c>
      <c r="D144" s="60">
        <v>80</v>
      </c>
      <c r="E144" s="51"/>
      <c r="F144" s="51"/>
      <c r="G144" s="51"/>
      <c r="H144" s="51"/>
      <c r="I144" s="57">
        <f t="shared" si="5"/>
        <v>13.5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70</v>
      </c>
      <c r="B145" s="60">
        <v>423.5</v>
      </c>
      <c r="C145" s="50">
        <v>6</v>
      </c>
      <c r="D145" s="60">
        <v>87</v>
      </c>
      <c r="E145" s="51"/>
      <c r="F145" s="51"/>
      <c r="G145" s="51"/>
      <c r="H145" s="51"/>
      <c r="I145" s="57">
        <f t="shared" si="5"/>
        <v>15.5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80</v>
      </c>
      <c r="B146" s="60">
        <v>506.5</v>
      </c>
      <c r="C146" s="50">
        <v>7</v>
      </c>
      <c r="D146" s="60">
        <v>93</v>
      </c>
      <c r="E146" s="51"/>
      <c r="F146" s="51"/>
      <c r="G146" s="51"/>
      <c r="H146" s="51"/>
      <c r="I146" s="57">
        <f t="shared" si="5"/>
        <v>17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90</v>
      </c>
      <c r="B147" s="60">
        <v>588.5</v>
      </c>
      <c r="C147" s="50">
        <v>8</v>
      </c>
      <c r="D147" s="60">
        <v>98</v>
      </c>
      <c r="E147" s="51"/>
      <c r="F147" s="51"/>
      <c r="G147" s="51"/>
      <c r="H147" s="51"/>
      <c r="I147" s="57">
        <f>IF(A147&lt;&gt;0,(B147-(B146-D146))/(A147-A146),"")</f>
        <v>17.5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100</v>
      </c>
      <c r="B148" s="60">
        <v>675.5</v>
      </c>
      <c r="C148" s="50">
        <v>9</v>
      </c>
      <c r="D148" s="60">
        <v>675.5</v>
      </c>
      <c r="E148" s="51"/>
      <c r="F148" s="51"/>
      <c r="G148" s="51"/>
      <c r="H148" s="51"/>
      <c r="I148" s="57">
        <f t="shared" si="5"/>
        <v>18.5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Pin maritime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12</v>
      </c>
      <c r="B166" s="60">
        <v>46</v>
      </c>
      <c r="C166" s="60">
        <v>1</v>
      </c>
      <c r="D166" s="60">
        <v>0</v>
      </c>
      <c r="E166" s="51"/>
      <c r="F166" s="51"/>
      <c r="G166" s="51"/>
      <c r="H166" s="51"/>
      <c r="I166" s="49">
        <f>IFERROR(B166/A166,"")</f>
        <v>3.8333333333333335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16</v>
      </c>
      <c r="B167" s="60">
        <v>107</v>
      </c>
      <c r="C167" s="60">
        <v>2</v>
      </c>
      <c r="D167" s="60">
        <v>25</v>
      </c>
      <c r="E167" s="51">
        <v>0.2</v>
      </c>
      <c r="F167" s="51">
        <v>0.2</v>
      </c>
      <c r="G167" s="51">
        <v>0.6</v>
      </c>
      <c r="H167" s="51"/>
      <c r="I167" s="49">
        <f t="shared" ref="I167:I185" si="6">IF(A167&lt;&gt;0,(B167-(B166-D166))/(A167-A166),"")</f>
        <v>15.25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20</v>
      </c>
      <c r="B168" s="60">
        <v>181</v>
      </c>
      <c r="C168" s="60">
        <v>3</v>
      </c>
      <c r="D168" s="60">
        <v>64</v>
      </c>
      <c r="E168" s="51">
        <v>0.3</v>
      </c>
      <c r="F168" s="51">
        <v>0.4</v>
      </c>
      <c r="G168" s="51">
        <v>0.3</v>
      </c>
      <c r="H168" s="51"/>
      <c r="I168" s="49">
        <f t="shared" si="6"/>
        <v>24.75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24</v>
      </c>
      <c r="B169" s="60">
        <v>197</v>
      </c>
      <c r="C169" s="60">
        <v>4</v>
      </c>
      <c r="D169" s="60">
        <v>43</v>
      </c>
      <c r="E169" s="51">
        <v>0.4</v>
      </c>
      <c r="F169" s="51">
        <v>0.3</v>
      </c>
      <c r="G169" s="51">
        <v>0.3</v>
      </c>
      <c r="H169" s="51"/>
      <c r="I169" s="49">
        <f t="shared" si="6"/>
        <v>20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28</v>
      </c>
      <c r="B170" s="60">
        <v>233</v>
      </c>
      <c r="C170" s="60">
        <v>5</v>
      </c>
      <c r="D170" s="60">
        <v>41</v>
      </c>
      <c r="E170" s="51">
        <v>0.4</v>
      </c>
      <c r="F170" s="51">
        <v>0.3</v>
      </c>
      <c r="G170" s="51">
        <v>0.3</v>
      </c>
      <c r="H170" s="51"/>
      <c r="I170" s="49">
        <f t="shared" si="6"/>
        <v>19.75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34</v>
      </c>
      <c r="B171" s="60">
        <v>284</v>
      </c>
      <c r="C171" s="60">
        <v>6</v>
      </c>
      <c r="D171" s="60">
        <v>60</v>
      </c>
      <c r="E171" s="51"/>
      <c r="F171" s="51"/>
      <c r="G171" s="51"/>
      <c r="H171" s="51"/>
      <c r="I171" s="49">
        <f t="shared" si="6"/>
        <v>15.333333333333334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40</v>
      </c>
      <c r="B172" s="60">
        <v>363</v>
      </c>
      <c r="C172" s="60">
        <v>7</v>
      </c>
      <c r="D172" s="60">
        <v>64</v>
      </c>
      <c r="E172" s="51"/>
      <c r="F172" s="51"/>
      <c r="G172" s="51"/>
      <c r="H172" s="51"/>
      <c r="I172" s="49">
        <f t="shared" si="6"/>
        <v>23.166666666666668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46</v>
      </c>
      <c r="B173" s="50">
        <v>365</v>
      </c>
      <c r="C173" s="50">
        <v>8</v>
      </c>
      <c r="D173" s="50">
        <v>21</v>
      </c>
      <c r="E173" s="51"/>
      <c r="F173" s="51"/>
      <c r="G173" s="51"/>
      <c r="H173" s="51"/>
      <c r="I173" s="49">
        <f t="shared" si="6"/>
        <v>11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54</v>
      </c>
      <c r="B174" s="50">
        <v>402</v>
      </c>
      <c r="C174" s="50">
        <v>9</v>
      </c>
      <c r="D174" s="50">
        <v>17</v>
      </c>
      <c r="E174" s="51"/>
      <c r="F174" s="51"/>
      <c r="G174" s="51"/>
      <c r="H174" s="51"/>
      <c r="I174" s="49">
        <f t="shared" si="6"/>
        <v>7.25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62</v>
      </c>
      <c r="B175" s="50">
        <v>409</v>
      </c>
      <c r="C175" s="50">
        <v>10</v>
      </c>
      <c r="D175" s="50">
        <v>409</v>
      </c>
      <c r="E175" s="51"/>
      <c r="F175" s="51"/>
      <c r="G175" s="51"/>
      <c r="H175" s="51"/>
      <c r="I175" s="49">
        <f t="shared" si="6"/>
        <v>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Châtaignier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10</v>
      </c>
      <c r="B192" s="60">
        <v>19</v>
      </c>
      <c r="C192" s="60">
        <v>1</v>
      </c>
      <c r="D192" s="60">
        <v>7</v>
      </c>
      <c r="E192" s="51"/>
      <c r="F192" s="51">
        <v>0.3</v>
      </c>
      <c r="G192" s="51">
        <v>0.7</v>
      </c>
      <c r="H192" s="51"/>
      <c r="I192" s="49">
        <f>IFERROR(B192/A192,"")</f>
        <v>1.9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15</v>
      </c>
      <c r="B193" s="60">
        <v>85</v>
      </c>
      <c r="C193" s="60">
        <v>2</v>
      </c>
      <c r="D193" s="60">
        <v>42</v>
      </c>
      <c r="E193" s="51">
        <v>0.2</v>
      </c>
      <c r="F193" s="51">
        <v>0.2</v>
      </c>
      <c r="G193" s="51">
        <v>0.6</v>
      </c>
      <c r="H193" s="51"/>
      <c r="I193" s="49">
        <f t="shared" ref="I193:I211" si="7">IF(A193&lt;&gt;0,(B193-(B192-D192))/(A193-A192),"")</f>
        <v>14.6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20</v>
      </c>
      <c r="B194" s="60">
        <v>123</v>
      </c>
      <c r="C194" s="60">
        <v>3</v>
      </c>
      <c r="D194" s="60">
        <v>42</v>
      </c>
      <c r="E194" s="51">
        <v>0.2</v>
      </c>
      <c r="F194" s="51">
        <v>0.2</v>
      </c>
      <c r="G194" s="51">
        <v>0.6</v>
      </c>
      <c r="H194" s="51"/>
      <c r="I194" s="49">
        <f t="shared" si="7"/>
        <v>16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25</v>
      </c>
      <c r="B195" s="60">
        <v>165</v>
      </c>
      <c r="C195" s="60">
        <v>4</v>
      </c>
      <c r="D195" s="60">
        <v>42</v>
      </c>
      <c r="E195" s="51">
        <v>0.3</v>
      </c>
      <c r="F195" s="51">
        <v>0.4</v>
      </c>
      <c r="G195" s="51">
        <v>0.3</v>
      </c>
      <c r="H195" s="51"/>
      <c r="I195" s="49">
        <f t="shared" si="7"/>
        <v>16.8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30</v>
      </c>
      <c r="B196" s="60">
        <v>205</v>
      </c>
      <c r="C196" s="60">
        <v>5</v>
      </c>
      <c r="D196" s="60">
        <v>42</v>
      </c>
      <c r="E196" s="51">
        <v>0.3</v>
      </c>
      <c r="F196" s="51">
        <v>0.4</v>
      </c>
      <c r="G196" s="51">
        <v>0.3</v>
      </c>
      <c r="H196" s="51"/>
      <c r="I196" s="49">
        <f t="shared" si="7"/>
        <v>16.399999999999999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35</v>
      </c>
      <c r="B197" s="60">
        <v>239</v>
      </c>
      <c r="C197" s="60">
        <v>6</v>
      </c>
      <c r="D197" s="60">
        <v>42</v>
      </c>
      <c r="E197" s="51"/>
      <c r="F197" s="51"/>
      <c r="G197" s="51"/>
      <c r="H197" s="51"/>
      <c r="I197" s="49">
        <f t="shared" si="7"/>
        <v>15.2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40</v>
      </c>
      <c r="B198" s="60">
        <v>263</v>
      </c>
      <c r="C198" s="60">
        <v>7</v>
      </c>
      <c r="D198" s="60">
        <v>40</v>
      </c>
      <c r="E198" s="51"/>
      <c r="F198" s="51"/>
      <c r="G198" s="51"/>
      <c r="H198" s="51"/>
      <c r="I198" s="49">
        <f t="shared" si="7"/>
        <v>13.2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45</v>
      </c>
      <c r="B199" s="50">
        <v>280</v>
      </c>
      <c r="C199" s="50">
        <v>8</v>
      </c>
      <c r="D199" s="50">
        <v>26</v>
      </c>
      <c r="E199" s="51"/>
      <c r="F199" s="51"/>
      <c r="G199" s="51"/>
      <c r="H199" s="51"/>
      <c r="I199" s="49">
        <f t="shared" si="7"/>
        <v>11.4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50</v>
      </c>
      <c r="B200" s="50">
        <v>303</v>
      </c>
      <c r="C200" s="50">
        <v>9</v>
      </c>
      <c r="D200" s="50">
        <v>21</v>
      </c>
      <c r="E200" s="51"/>
      <c r="F200" s="51"/>
      <c r="G200" s="51"/>
      <c r="H200" s="51"/>
      <c r="I200" s="49">
        <f t="shared" si="7"/>
        <v>9.8000000000000007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55</v>
      </c>
      <c r="B201" s="50">
        <v>324</v>
      </c>
      <c r="C201" s="50">
        <v>10</v>
      </c>
      <c r="D201" s="50">
        <v>18</v>
      </c>
      <c r="E201" s="51"/>
      <c r="F201" s="51"/>
      <c r="G201" s="51"/>
      <c r="H201" s="51"/>
      <c r="I201" s="49">
        <f t="shared" si="7"/>
        <v>8.4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60</v>
      </c>
      <c r="B202" s="50">
        <v>343</v>
      </c>
      <c r="C202" s="50">
        <v>11</v>
      </c>
      <c r="D202" s="50">
        <v>17</v>
      </c>
      <c r="E202" s="51"/>
      <c r="F202" s="51"/>
      <c r="G202" s="51"/>
      <c r="H202" s="51"/>
      <c r="I202" s="49">
        <f t="shared" si="7"/>
        <v>7.4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65</v>
      </c>
      <c r="B203" s="50">
        <v>356</v>
      </c>
      <c r="C203" s="50">
        <v>12</v>
      </c>
      <c r="D203" s="50">
        <v>16</v>
      </c>
      <c r="E203" s="51"/>
      <c r="F203" s="51"/>
      <c r="G203" s="51"/>
      <c r="H203" s="51"/>
      <c r="I203" s="49">
        <f t="shared" si="7"/>
        <v>6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70</v>
      </c>
      <c r="B204" s="50">
        <v>366</v>
      </c>
      <c r="C204" s="50">
        <v>13</v>
      </c>
      <c r="D204" s="50">
        <v>15</v>
      </c>
      <c r="E204" s="51"/>
      <c r="F204" s="51"/>
      <c r="G204" s="51"/>
      <c r="H204" s="51"/>
      <c r="I204" s="49">
        <f t="shared" si="7"/>
        <v>5.2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75</v>
      </c>
      <c r="B205" s="50">
        <v>375</v>
      </c>
      <c r="C205" s="50">
        <v>14</v>
      </c>
      <c r="D205" s="50">
        <v>14</v>
      </c>
      <c r="E205" s="51"/>
      <c r="F205" s="51"/>
      <c r="G205" s="51"/>
      <c r="H205" s="51"/>
      <c r="I205" s="49">
        <f t="shared" si="7"/>
        <v>4.8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>
        <v>80</v>
      </c>
      <c r="B206" s="50">
        <v>381</v>
      </c>
      <c r="C206" s="50">
        <v>15</v>
      </c>
      <c r="D206" s="50">
        <v>381</v>
      </c>
      <c r="E206" s="51"/>
      <c r="F206" s="51"/>
      <c r="G206" s="51"/>
      <c r="H206" s="51"/>
      <c r="I206" s="49">
        <f t="shared" si="7"/>
        <v>4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Chêne pubescent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20</v>
      </c>
      <c r="B218" s="60">
        <v>73</v>
      </c>
      <c r="C218" s="50">
        <v>1</v>
      </c>
      <c r="D218" s="60">
        <v>6</v>
      </c>
      <c r="E218" s="63">
        <v>0.2</v>
      </c>
      <c r="F218" s="63">
        <v>0.2</v>
      </c>
      <c r="G218" s="63">
        <v>0.6</v>
      </c>
      <c r="H218" s="63"/>
      <c r="I218" s="53">
        <f>IFERROR(B218/A218,"")</f>
        <v>3.65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25</v>
      </c>
      <c r="B219" s="60">
        <v>103</v>
      </c>
      <c r="C219" s="50">
        <v>2</v>
      </c>
      <c r="D219" s="60">
        <v>28</v>
      </c>
      <c r="E219" s="63">
        <v>0.3</v>
      </c>
      <c r="F219" s="63">
        <v>0.4</v>
      </c>
      <c r="G219" s="63">
        <v>0.3</v>
      </c>
      <c r="H219" s="63"/>
      <c r="I219" s="53">
        <f t="shared" ref="I219:I237" si="8">IF(A219&lt;&gt;0,(B219-(B218-D218))/(A219-A218),"")</f>
        <v>7.2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30</v>
      </c>
      <c r="B220" s="60">
        <v>121</v>
      </c>
      <c r="C220" s="50">
        <v>3</v>
      </c>
      <c r="D220" s="60">
        <v>28</v>
      </c>
      <c r="E220" s="63">
        <v>0.3</v>
      </c>
      <c r="F220" s="63">
        <v>0.4</v>
      </c>
      <c r="G220" s="63">
        <v>0.3</v>
      </c>
      <c r="H220" s="63"/>
      <c r="I220" s="53">
        <f t="shared" si="8"/>
        <v>9.1999999999999993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35</v>
      </c>
      <c r="B221" s="55">
        <v>147</v>
      </c>
      <c r="C221" s="55">
        <v>4</v>
      </c>
      <c r="D221" s="55">
        <v>28</v>
      </c>
      <c r="E221" s="63"/>
      <c r="F221" s="63"/>
      <c r="G221" s="63"/>
      <c r="H221" s="63"/>
      <c r="I221" s="53">
        <f t="shared" si="8"/>
        <v>10.8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40</v>
      </c>
      <c r="B222" s="55">
        <v>175</v>
      </c>
      <c r="C222" s="55">
        <v>5</v>
      </c>
      <c r="D222" s="55">
        <v>28</v>
      </c>
      <c r="E222" s="63"/>
      <c r="F222" s="63"/>
      <c r="G222" s="63"/>
      <c r="H222" s="63"/>
      <c r="I222" s="53">
        <f t="shared" si="8"/>
        <v>11.2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45</v>
      </c>
      <c r="B223" s="55">
        <v>204</v>
      </c>
      <c r="C223" s="55">
        <v>6</v>
      </c>
      <c r="D223" s="55">
        <v>28</v>
      </c>
      <c r="E223" s="63"/>
      <c r="F223" s="63"/>
      <c r="G223" s="63"/>
      <c r="H223" s="63"/>
      <c r="I223" s="53">
        <f t="shared" si="8"/>
        <v>11.4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50</v>
      </c>
      <c r="B224" s="55">
        <v>231</v>
      </c>
      <c r="C224" s="55">
        <v>7</v>
      </c>
      <c r="D224" s="55">
        <v>28</v>
      </c>
      <c r="E224" s="63"/>
      <c r="F224" s="63"/>
      <c r="G224" s="63"/>
      <c r="H224" s="63"/>
      <c r="I224" s="53">
        <f t="shared" si="8"/>
        <v>11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55</v>
      </c>
      <c r="B225" s="55">
        <v>254</v>
      </c>
      <c r="C225" s="55">
        <v>8</v>
      </c>
      <c r="D225" s="55">
        <v>28</v>
      </c>
      <c r="E225" s="63"/>
      <c r="F225" s="63"/>
      <c r="G225" s="63"/>
      <c r="H225" s="63"/>
      <c r="I225" s="53">
        <f t="shared" si="8"/>
        <v>10.199999999999999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>
        <v>60</v>
      </c>
      <c r="B226" s="55">
        <v>273</v>
      </c>
      <c r="C226" s="55">
        <v>9</v>
      </c>
      <c r="D226" s="55">
        <v>28</v>
      </c>
      <c r="E226" s="63"/>
      <c r="F226" s="63"/>
      <c r="G226" s="63"/>
      <c r="H226" s="63"/>
      <c r="I226" s="53">
        <f t="shared" si="8"/>
        <v>9.4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>
        <v>65</v>
      </c>
      <c r="B227" s="55">
        <v>289</v>
      </c>
      <c r="C227" s="55">
        <v>10</v>
      </c>
      <c r="D227" s="55">
        <v>28</v>
      </c>
      <c r="E227" s="63"/>
      <c r="F227" s="63"/>
      <c r="G227" s="63"/>
      <c r="H227" s="63"/>
      <c r="I227" s="53">
        <f t="shared" si="8"/>
        <v>8.8000000000000007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>
        <v>70</v>
      </c>
      <c r="B228" s="55">
        <v>302</v>
      </c>
      <c r="C228" s="55">
        <v>11</v>
      </c>
      <c r="D228" s="55">
        <v>28</v>
      </c>
      <c r="E228" s="63"/>
      <c r="F228" s="63"/>
      <c r="G228" s="63"/>
      <c r="H228" s="63"/>
      <c r="I228" s="53">
        <f t="shared" si="8"/>
        <v>8.1999999999999993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>
        <v>75</v>
      </c>
      <c r="B229" s="55">
        <v>312</v>
      </c>
      <c r="C229" s="55">
        <v>12</v>
      </c>
      <c r="D229" s="55">
        <v>28</v>
      </c>
      <c r="E229" s="63"/>
      <c r="F229" s="63"/>
      <c r="G229" s="63"/>
      <c r="H229" s="63"/>
      <c r="I229" s="53">
        <f t="shared" si="8"/>
        <v>7.6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>
        <v>80</v>
      </c>
      <c r="B230" s="55">
        <v>320</v>
      </c>
      <c r="C230" s="55">
        <v>13</v>
      </c>
      <c r="D230" s="55">
        <v>28</v>
      </c>
      <c r="E230" s="64"/>
      <c r="F230" s="64"/>
      <c r="G230" s="64"/>
      <c r="H230" s="64"/>
      <c r="I230" s="53">
        <f t="shared" si="8"/>
        <v>7.2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>
        <v>85</v>
      </c>
      <c r="B231" s="60">
        <v>326</v>
      </c>
      <c r="C231" s="88">
        <v>14</v>
      </c>
      <c r="D231" s="60">
        <v>28</v>
      </c>
      <c r="E231" s="54"/>
      <c r="F231" s="54"/>
      <c r="G231" s="54"/>
      <c r="H231" s="54"/>
      <c r="I231" s="53">
        <f t="shared" si="8"/>
        <v>6.8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>
        <v>90</v>
      </c>
      <c r="B232" s="50">
        <v>330</v>
      </c>
      <c r="C232" s="50">
        <v>15</v>
      </c>
      <c r="D232" s="50">
        <v>28</v>
      </c>
      <c r="E232" s="54"/>
      <c r="F232" s="54"/>
      <c r="G232" s="54"/>
      <c r="H232" s="54"/>
      <c r="I232" s="53">
        <f t="shared" si="8"/>
        <v>6.4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>
        <v>95</v>
      </c>
      <c r="B233" s="50">
        <v>333</v>
      </c>
      <c r="C233" s="50">
        <v>16</v>
      </c>
      <c r="D233" s="50">
        <v>28</v>
      </c>
      <c r="E233" s="54"/>
      <c r="F233" s="54"/>
      <c r="G233" s="54"/>
      <c r="H233" s="54"/>
      <c r="I233" s="53">
        <f t="shared" si="8"/>
        <v>6.2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>
        <v>100</v>
      </c>
      <c r="B234" s="50">
        <v>333</v>
      </c>
      <c r="C234" s="50">
        <v>17</v>
      </c>
      <c r="D234" s="50">
        <v>333</v>
      </c>
      <c r="E234" s="54"/>
      <c r="F234" s="54"/>
      <c r="G234" s="54"/>
      <c r="H234" s="54"/>
      <c r="I234" s="53">
        <f t="shared" si="8"/>
        <v>5.6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Alisier torminal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20</v>
      </c>
      <c r="B244" s="60">
        <v>73</v>
      </c>
      <c r="C244" s="60">
        <v>1</v>
      </c>
      <c r="D244" s="60">
        <v>6</v>
      </c>
      <c r="E244" s="51">
        <v>0.2</v>
      </c>
      <c r="F244" s="51">
        <v>0.2</v>
      </c>
      <c r="G244" s="51">
        <v>0.6</v>
      </c>
      <c r="H244" s="63"/>
      <c r="I244" s="53">
        <f>IFERROR(B244/A244,"")</f>
        <v>3.65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25</v>
      </c>
      <c r="B245" s="60">
        <v>103</v>
      </c>
      <c r="C245" s="60">
        <v>2</v>
      </c>
      <c r="D245" s="60">
        <v>28</v>
      </c>
      <c r="E245" s="63">
        <v>0.3</v>
      </c>
      <c r="F245" s="63">
        <v>0.4</v>
      </c>
      <c r="G245" s="63">
        <v>0.3</v>
      </c>
      <c r="H245" s="63"/>
      <c r="I245" s="53">
        <f>IF(A245&lt;&gt;0,(B245-(B244-D244))/(A245-A244),"")</f>
        <v>7.2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30</v>
      </c>
      <c r="B246" s="60">
        <v>121</v>
      </c>
      <c r="C246" s="60">
        <v>3</v>
      </c>
      <c r="D246" s="60">
        <v>28</v>
      </c>
      <c r="E246" s="63">
        <v>0.3</v>
      </c>
      <c r="F246" s="63">
        <v>0.4</v>
      </c>
      <c r="G246" s="63">
        <v>0.3</v>
      </c>
      <c r="H246" s="63"/>
      <c r="I246" s="53">
        <f>IF(A246&lt;&gt;0,(B246-(B245-D245))/(A246-A245),"")</f>
        <v>9.1999999999999993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35</v>
      </c>
      <c r="B247" s="60">
        <v>147</v>
      </c>
      <c r="C247" s="60">
        <v>4</v>
      </c>
      <c r="D247" s="60">
        <v>28</v>
      </c>
      <c r="E247" s="63"/>
      <c r="F247" s="63"/>
      <c r="G247" s="63"/>
      <c r="H247" s="63"/>
      <c r="I247" s="53">
        <f t="shared" ref="I247:I263" si="9">IF(A247&lt;&gt;0,(B247-(B246-D246))/(A247-A246),"")</f>
        <v>10.8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40</v>
      </c>
      <c r="B248" s="60">
        <v>175</v>
      </c>
      <c r="C248" s="60">
        <v>5</v>
      </c>
      <c r="D248" s="60">
        <v>28</v>
      </c>
      <c r="E248" s="63"/>
      <c r="F248" s="63"/>
      <c r="G248" s="63"/>
      <c r="H248" s="63"/>
      <c r="I248" s="53">
        <f t="shared" si="9"/>
        <v>11.2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>
        <v>45</v>
      </c>
      <c r="B249" s="60">
        <v>204</v>
      </c>
      <c r="C249" s="60">
        <v>6</v>
      </c>
      <c r="D249" s="60">
        <v>28</v>
      </c>
      <c r="E249" s="63"/>
      <c r="F249" s="63"/>
      <c r="G249" s="63"/>
      <c r="H249" s="63"/>
      <c r="I249" s="53">
        <f t="shared" si="9"/>
        <v>11.4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>
        <v>50</v>
      </c>
      <c r="B250" s="60">
        <v>231</v>
      </c>
      <c r="C250" s="60">
        <v>7</v>
      </c>
      <c r="D250" s="60">
        <v>28</v>
      </c>
      <c r="E250" s="63"/>
      <c r="F250" s="63"/>
      <c r="G250" s="63"/>
      <c r="H250" s="63"/>
      <c r="I250" s="53">
        <f t="shared" si="9"/>
        <v>11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>
        <v>55</v>
      </c>
      <c r="B251" s="55">
        <v>254</v>
      </c>
      <c r="C251" s="55">
        <v>8</v>
      </c>
      <c r="D251" s="55">
        <v>28</v>
      </c>
      <c r="E251" s="63"/>
      <c r="F251" s="63"/>
      <c r="G251" s="63"/>
      <c r="H251" s="63"/>
      <c r="I251" s="53">
        <f t="shared" si="9"/>
        <v>10.199999999999999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>
        <v>60</v>
      </c>
      <c r="B252" s="55">
        <v>273</v>
      </c>
      <c r="C252" s="55">
        <v>9</v>
      </c>
      <c r="D252" s="55">
        <v>28</v>
      </c>
      <c r="E252" s="63"/>
      <c r="F252" s="63"/>
      <c r="G252" s="63"/>
      <c r="H252" s="63"/>
      <c r="I252" s="53">
        <f t="shared" si="9"/>
        <v>9.4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>
        <v>65</v>
      </c>
      <c r="B253" s="55">
        <v>289</v>
      </c>
      <c r="C253" s="55">
        <v>10</v>
      </c>
      <c r="D253" s="55">
        <v>28</v>
      </c>
      <c r="E253" s="63"/>
      <c r="F253" s="63"/>
      <c r="G253" s="63"/>
      <c r="H253" s="63"/>
      <c r="I253" s="53">
        <f t="shared" si="9"/>
        <v>8.8000000000000007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>
        <v>70</v>
      </c>
      <c r="B254" s="55">
        <v>302</v>
      </c>
      <c r="C254" s="55">
        <v>11</v>
      </c>
      <c r="D254" s="55">
        <v>28</v>
      </c>
      <c r="E254" s="63"/>
      <c r="F254" s="63"/>
      <c r="G254" s="63"/>
      <c r="H254" s="63"/>
      <c r="I254" s="53">
        <f t="shared" si="9"/>
        <v>8.1999999999999993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>
        <v>75</v>
      </c>
      <c r="B255" s="55">
        <v>312</v>
      </c>
      <c r="C255" s="55">
        <v>12</v>
      </c>
      <c r="D255" s="55">
        <v>28</v>
      </c>
      <c r="E255" s="63"/>
      <c r="F255" s="63"/>
      <c r="G255" s="63"/>
      <c r="H255" s="63"/>
      <c r="I255" s="53">
        <f t="shared" si="9"/>
        <v>7.6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>
        <v>80</v>
      </c>
      <c r="B256" s="55">
        <v>320</v>
      </c>
      <c r="C256" s="55">
        <v>13</v>
      </c>
      <c r="D256" s="55">
        <v>28</v>
      </c>
      <c r="E256" s="64"/>
      <c r="F256" s="64"/>
      <c r="G256" s="64"/>
      <c r="H256" s="64"/>
      <c r="I256" s="53">
        <f t="shared" si="9"/>
        <v>7.2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>
        <v>85</v>
      </c>
      <c r="B257" s="60">
        <v>326</v>
      </c>
      <c r="C257" s="88">
        <v>14</v>
      </c>
      <c r="D257" s="60">
        <v>28</v>
      </c>
      <c r="E257" s="54"/>
      <c r="F257" s="54"/>
      <c r="G257" s="54"/>
      <c r="H257" s="54"/>
      <c r="I257" s="53">
        <f t="shared" si="9"/>
        <v>6.8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>
        <v>90</v>
      </c>
      <c r="B258" s="50">
        <v>330</v>
      </c>
      <c r="C258" s="50">
        <v>15</v>
      </c>
      <c r="D258" s="50">
        <v>28</v>
      </c>
      <c r="E258" s="54"/>
      <c r="F258" s="54"/>
      <c r="G258" s="54"/>
      <c r="H258" s="54"/>
      <c r="I258" s="53">
        <f t="shared" si="9"/>
        <v>6.4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>
        <v>95</v>
      </c>
      <c r="B259" s="50">
        <v>333</v>
      </c>
      <c r="C259" s="50">
        <v>16</v>
      </c>
      <c r="D259" s="50">
        <v>28</v>
      </c>
      <c r="E259" s="54"/>
      <c r="F259" s="54"/>
      <c r="G259" s="54"/>
      <c r="H259" s="54"/>
      <c r="I259" s="53">
        <f t="shared" si="9"/>
        <v>6.2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>
        <v>100</v>
      </c>
      <c r="B260" s="50">
        <v>333</v>
      </c>
      <c r="C260" s="50">
        <v>17</v>
      </c>
      <c r="D260" s="50">
        <v>333</v>
      </c>
      <c r="E260" s="54"/>
      <c r="F260" s="54"/>
      <c r="G260" s="54"/>
      <c r="H260" s="54"/>
      <c r="I260" s="53">
        <f t="shared" si="9"/>
        <v>5.6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D33" sqref="D33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rouge d'Amérique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Erable plane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Douglas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Cèdre de l'Atlas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Pin maritime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Châtaignier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Chêne pubescent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Alisier torminal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312.53389584272878</v>
      </c>
      <c r="T3" s="59">
        <f>IF('Données projet'!E9&gt;30,$R$33-$H$33,LOOKUP('Données projet'!$E$9,$A$3:$A$203,R3:R203)-LOOKUP('Données projet'!$E$9,$A$3:$A$203,$H$3:$H$203))</f>
        <v>203.5274665601915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243.05628303465238</v>
      </c>
      <c r="AO3" s="59">
        <f>IF('Données projet'!E10&gt;30,$AM$33-$H$33,LOOKUP('Données projet'!$E$10,$A$3:$A$203,AM3:AM203)-LOOKUP('Données projet'!$E$10,$A$3:$A$203,$H$3:$H$203))</f>
        <v>352.47096767658394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325.72928944930294</v>
      </c>
      <c r="BJ3" s="59">
        <f>IF('Données projet'!E11&gt;30,$BH$33-$H$33,LOOKUP('Données projet'!$E$11,$A$3:$A$203,BH3:BH203)-LOOKUP('Données projet'!$E$11,$A$3:$A$203,$H$3:$H$203))</f>
        <v>318.38876834819752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475.54809021014017</v>
      </c>
      <c r="CE3" s="59">
        <f>IF('Données projet'!E12&gt;30,$CC$33-$H$33,LOOKUP('Données projet'!$E$12,$A$3:$A$203,CC3:CC203)-LOOKUP('Données projet'!$E$12,$A$3:$A$203,$H$3:$H$203))</f>
        <v>593.51433014569966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226.0452828290525</v>
      </c>
      <c r="CZ3" s="59">
        <f>IF('Données projet'!E13&gt;30,$CX$33-$H$33,LOOKUP('Données projet'!$E$13,$A$3:$A$203,CX3:CX203)-LOOKUP('Données projet'!$E$13,$A$3:$A$203,$H$3:$H$203))</f>
        <v>179.89696397462069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252.81045065813976</v>
      </c>
      <c r="DU3" s="59">
        <f>IF('Données projet'!E14&gt;30,$DS$33-$H$33,LOOKUP('Données projet'!$E$14,$A$3:$A$203,DS3:DS203)-LOOKUP('Données projet'!$E$14,$A$3:$A$203,$H$3:$H$203))</f>
        <v>254.36590349790589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296.91321813251051</v>
      </c>
      <c r="EP3" s="59">
        <f>IF('Données projet'!E15&gt;30,$EN$33-$H$33,LOOKUP('Données projet'!$E$15,$A$3:$A$203,EN3:EN203)-LOOKUP('Données projet'!$E$15,$A$3:$A$203,$H$3:$H$203))</f>
        <v>291.0718079639509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356.65981389369125</v>
      </c>
      <c r="FK3" s="59">
        <f>IF('Données projet'!E16&gt;30,$FI$33-$H$33,LOOKUP('Données projet'!$E$16,$A$3:$A$203,FI3:FI203)-LOOKUP('Données projet'!$E$16,$A$3:$A$203,$H$3:$H$203))</f>
        <v>231.92898690465887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337.76140497227715</v>
      </c>
      <c r="GF3" s="59">
        <f>IF('Données projet'!E17&gt;30,$GD$33-$H$33,LOOKUP('Données projet'!$E$17,$A$3:$A$203,GD3:GD203)-LOOKUP('Données projet'!$E$17,$A$3:$A$203,$H$3:$H$203))</f>
        <v>219.76562717496353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296.17432310550635</v>
      </c>
      <c r="S4" s="59">
        <f ca="1">AVERAGE(OFFSET($R$3,0,0,'Données projet'!$E$9+1,1))-AVERAGE(OFFSET($H$3,0,0,'Données projet'!$E$9+1,1))</f>
        <v>312.53389584272878</v>
      </c>
      <c r="T4" s="59">
        <f>$T$3</f>
        <v>203.5274665601915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7.1333333333333337</v>
      </c>
      <c r="AI4" s="13">
        <f>IF('Données projet'!$A$62&gt;35,AI3+AH4-AQ3,IF(A4&lt;'Données projet'!$A$62,$AF$205^A4,IF(A4='Données projet'!$A$62,'Données projet'!$B$62,AI3+AH4-AQ3)))</f>
        <v>1.3655017210306359</v>
      </c>
      <c r="AJ4" s="13">
        <f>AI4*VLOOKUP('Données projet'!$B$10,Paramètres!$A$1:$I$89,3,0)*VLOOKUP('Données projet'!$B$10,Paramètres!$A$1:$I$89,5,0)</f>
        <v>1.1929023034923638</v>
      </c>
      <c r="AK4" s="13">
        <f>EXP(-1.0587+0.8836*LN(AJ4)+0.284)</f>
        <v>0.53856749022761552</v>
      </c>
      <c r="AL4" s="20">
        <f t="shared" ref="AL4:AL67" si="4">(AJ4+AK4)*0.475*44/12</f>
        <v>3.015643224062297</v>
      </c>
      <c r="AM4" s="59">
        <f t="shared" ref="AM4:AM67" si="5">AL4+(AD4+AE4)*44/12</f>
        <v>296.34897655739559</v>
      </c>
      <c r="AN4" s="59">
        <f ca="1">AVERAGE(OFFSET($AM$3,0,0,'Données projet'!$E$10+1,1))-AVERAGE(OFFSET($H$3,0,0,'Données projet'!$E$10+1,1))</f>
        <v>243.05628303465238</v>
      </c>
      <c r="AO4" s="59">
        <f>$AO$3</f>
        <v>352.47096767658394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1.9</v>
      </c>
      <c r="BD4" s="12">
        <f>IF('Données projet'!$A$88&gt;35,BD3+BC4-BL3,IF(A4&lt;'Données projet'!$A$88,$BA$205^A4,IF(A4='Données projet'!$A$88,'Données projet'!$B$88,BD3+BC4-BL3)))</f>
        <v>1.3423796509621049</v>
      </c>
      <c r="BE4" s="13">
        <f>BD4*VLOOKUP('Données projet'!$B$11,Paramètres!$A$1:$I$89,3,0)*VLOOKUP('Données projet'!$B$11,Paramètres!$A$1:$I$89,5,0)</f>
        <v>1.0679972503054507</v>
      </c>
      <c r="BF4" s="13">
        <f>EXP(-1.0587+0.8836*LN(BE4)+0.284)</f>
        <v>0.48842359485523285</v>
      </c>
      <c r="BG4" s="20">
        <f t="shared" ref="BG4:BG67" si="7">(BE4+BF4)*0.475*44/12</f>
        <v>2.7107663053215236</v>
      </c>
      <c r="BH4" s="59">
        <f t="shared" ref="BH4:BH67" si="8">BG4+(AY4+AZ4)*44/12</f>
        <v>296.04409963865481</v>
      </c>
      <c r="BI4" s="59">
        <f ca="1">AVERAGE(OFFSET($BH$3,0,0,'Données projet'!$E$11+1,1))-AVERAGE(OFFSET($H$3,0,0,'Données projet'!$E$11+1,1))</f>
        <v>325.72928944930294</v>
      </c>
      <c r="BJ4" s="59">
        <f>$BJ$3</f>
        <v>318.38876834819752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15.15</v>
      </c>
      <c r="BY4" s="12">
        <f>IF('Données projet'!$A$114&gt;35,BY3+BX4-CG3,IF(A4&lt;'Données projet'!$A$114,$BV$205^A4,IF(A4='Données projet'!$A$114,'Données projet'!$B$114,BY3+BX4-CG3)))</f>
        <v>1.3306754098332192</v>
      </c>
      <c r="BZ4" s="13">
        <f>BY4*VLOOKUP('Données projet'!$B$12,Paramètres!$A$1:$I$89,3,0)*VLOOKUP('Données projet'!$B$12,Paramètres!$A$1:$I$89,5,0)</f>
        <v>0.7438475540967695</v>
      </c>
      <c r="CA4" s="13">
        <f>EXP(-1.0587+0.8836*LN(BZ4)+0.284)</f>
        <v>0.35480952787935433</v>
      </c>
      <c r="CB4" s="20">
        <f t="shared" ref="CB4:CB67" si="10">(BZ4+CA4)*0.475*44/12</f>
        <v>1.9134944177750821</v>
      </c>
      <c r="CC4" s="59">
        <f t="shared" ref="CC4:CC67" si="11">CB4+(BT4+BU4)*44/12</f>
        <v>295.24682775110841</v>
      </c>
      <c r="CD4" s="59">
        <f ca="1">AVERAGE(OFFSET($CC$3,0,0,'Données projet'!$E$12+1,1))-AVERAGE(OFFSET($H$3,0,0,'Données projet'!$E$12+1,1))</f>
        <v>475.54809021014017</v>
      </c>
      <c r="CE4" s="59">
        <f>$CE$3</f>
        <v>593.51433014569966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7.9</v>
      </c>
      <c r="CT4" s="12">
        <f>IF('Données projet'!$A$140&gt;35,CT3+CS4-DB3,IF(A4&lt;'Données projet'!$A$140,$CQ$205^A4,IF(A4='Données projet'!$A$140,'Données projet'!$B$140,CT3+CS4-DB3)))</f>
        <v>1.2880503926580862</v>
      </c>
      <c r="CU4" s="17">
        <f>CT4*VLOOKUP('Données projet'!$B$13,Paramètres!$A$1:$I$89,3,0)*VLOOKUP('Données projet'!$B$13,Paramètres!$A$1:$I$89,5,0)</f>
        <v>0.60280758376398436</v>
      </c>
      <c r="CV4" s="13">
        <f>EXP(-1.0587+0.8836*LN(CU4)+0.284)</f>
        <v>0.29465781953181042</v>
      </c>
      <c r="CW4" s="20">
        <f t="shared" ref="CW4:CW67" si="13">(CU4+CV4)*0.475*44/12</f>
        <v>1.5630855774068424</v>
      </c>
      <c r="CX4" s="59">
        <f t="shared" ref="CX4:CX67" si="14">CW4+(CO4+CP4)*44/12</f>
        <v>294.89641891074018</v>
      </c>
      <c r="CY4" s="59">
        <f ca="1">AVERAGE(OFFSET($CX$3,0,0,'Données projet'!$E$13+1,1))-AVERAGE(OFFSET($H$3,0,0,'Données projet'!$E$13+1,1))</f>
        <v>226.0452828290525</v>
      </c>
      <c r="CZ4" s="59">
        <f>$CZ$3</f>
        <v>179.89696397462069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3.8333333333333335</v>
      </c>
      <c r="DO4" s="12">
        <f>IF('Données projet'!$A$166&gt;35,DO3+DN4-DW3,IF(A4&lt;'Données projet'!$A$166,$DL$205^A4,IF(A4='Données projet'!$A$166,'Données projet'!$B$166,DO3+DN4-DW3)))</f>
        <v>1.3758248603770518</v>
      </c>
      <c r="DP4" s="17">
        <f>DO4*VLOOKUP('Données projet'!$B$14,Paramètres!$A$1:$I$89,3,0)*VLOOKUP('Données projet'!$B$14,Paramètres!$A$1:$I$89,5,0)</f>
        <v>0.82274326650547702</v>
      </c>
      <c r="DQ4" s="13">
        <f>EXP(-1.0587+0.8836*LN(DP4)+0.284)</f>
        <v>0.3878641435528864</v>
      </c>
      <c r="DR4" s="20">
        <f t="shared" ref="DR4:DR67" si="16">(DP4+DQ4)*0.475*44/12</f>
        <v>2.108474572518316</v>
      </c>
      <c r="DS4" s="59">
        <f t="shared" ref="DS4:DS67" si="17">DR4+(DJ4+DK4)*44/12</f>
        <v>295.44180790585165</v>
      </c>
      <c r="DT4" s="59">
        <f ca="1">AVERAGE(OFFSET($DS$3,0,0,'Données projet'!$E$14+1,1))-AVERAGE(OFFSET($H$3,0,0,'Données projet'!$E$14+1,1))</f>
        <v>252.81045065813976</v>
      </c>
      <c r="DU4" s="59">
        <f>$DU$3</f>
        <v>254.36590349790589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1.9</v>
      </c>
      <c r="EJ4" s="12">
        <f>IF('Données projet'!$A$192&gt;35,EJ3+EI4-ER3,IF(A4&lt;'Données projet'!$A$192,$EG$205^A4,IF(A4='Données projet'!$A$192,'Données projet'!$B$192,EJ3+EI4-ER3)))</f>
        <v>1.3423796509621049</v>
      </c>
      <c r="EK4" s="17">
        <f>EJ4*VLOOKUP('Données projet'!$B$15,Paramètres!$A$1:$I$89,3,0)*VLOOKUP('Données projet'!$B$15,Paramètres!$A$1:$I$89,5,0)</f>
        <v>0.98423276008541516</v>
      </c>
      <c r="EL4" s="13">
        <f>EXP(-1.0587+0.8836*LN(EK4)+0.284)</f>
        <v>0.45441566615213064</v>
      </c>
      <c r="EM4" s="20">
        <f t="shared" ref="EM4:EM67" si="19">(EK4+EL4)*0.475*44/12</f>
        <v>2.5056460090303925</v>
      </c>
      <c r="EN4" s="59">
        <f t="shared" ref="EN4:EN67" si="20">EM4+(EE4+EF4)*44/12</f>
        <v>295.8389793423637</v>
      </c>
      <c r="EO4" s="59">
        <f ca="1">AVERAGE(OFFSET($EN$3,0,0,'Données projet'!$E$15+1,1))-AVERAGE(OFFSET($H$3,0,0,'Données projet'!$E$15+1,1))</f>
        <v>296.91321813251051</v>
      </c>
      <c r="EP4" s="59">
        <f>$EP$3</f>
        <v>291.0718079639509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3.65</v>
      </c>
      <c r="FE4" s="12">
        <f>IF('Données projet'!$A$218&gt;35,FE3+FD4-FM3,IF(A4&lt;'Données projet'!$A$218,$FB$205^A4,IF(A4='Données projet'!$A$218,'Données projet'!$B$218,FE3+FD4-FM3)))</f>
        <v>1.2392705892426346</v>
      </c>
      <c r="FF4" s="17">
        <f>FE4*VLOOKUP('Données projet'!$B$16,Paramètres!$A$1:$I$89,3,0)*VLOOKUP('Données projet'!$B$16,Paramètres!$A$1:$I$89,5,0)</f>
        <v>1.2566203774920315</v>
      </c>
      <c r="FG4" s="13">
        <f>EXP(-1.0587+0.8836*LN(FF4)+0.284)</f>
        <v>0.56390871417545174</v>
      </c>
      <c r="FH4" s="20">
        <f t="shared" ref="FH4:FH67" si="22">(FF4+FG4)*0.475*44/12</f>
        <v>3.1707548346542</v>
      </c>
      <c r="FI4" s="59">
        <f t="shared" ref="FI4:FI67" si="23">FH4+(EZ4+FA4)*44/12</f>
        <v>296.5040881679875</v>
      </c>
      <c r="FJ4" s="59">
        <f ca="1">AVERAGE(OFFSET($FI$3,0,0,'Données projet'!$E$16+1,1))-AVERAGE(OFFSET($H$3,0,0,'Données projet'!$E$16+1,1))</f>
        <v>356.65981389369125</v>
      </c>
      <c r="FK4" s="59">
        <f>$FK$3</f>
        <v>231.92898690465887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3.65</v>
      </c>
      <c r="FZ4" s="12">
        <f>IF('Données projet'!$A$244&gt;35,FZ3+FY4-GH3,IF(A4&lt;'Données projet'!$A$244,$FW$205^A4,IF(A4='Données projet'!$A$244,'Données projet'!$B$244,FZ3+FY4-GH3)))</f>
        <v>1.2392705892426346</v>
      </c>
      <c r="GA4" s="17">
        <f>FZ4*VLOOKUP('Données projet'!$B$17,Paramètres!$A$1:$I$89,3,0)*VLOOKUP('Données projet'!$B$17,Paramètres!$A$1:$I$89,5,0)</f>
        <v>1.1986225139154763</v>
      </c>
      <c r="GB4" s="13">
        <f>EXP(-1.0587+0.8836*LN(GA4)+0.284)</f>
        <v>0.54084878793982472</v>
      </c>
      <c r="GC4" s="20">
        <f t="shared" ref="GC4:GC67" si="25">(GA4+GB4)*0.475*44/12</f>
        <v>3.0295791840646493</v>
      </c>
      <c r="GD4" s="59">
        <f t="shared" ref="GD4:GD67" si="26">GC4+(FU4+FV4)*44/12</f>
        <v>296.36291251739794</v>
      </c>
      <c r="GE4" s="59">
        <f ca="1">AVERAGE(OFFSET($GD$3,0,0,'Données projet'!$E$17+1,1))-AVERAGE(OFFSET($H$3,0,0,'Données projet'!$E$17+1,1))</f>
        <v>337.76140497227715</v>
      </c>
      <c r="GF4" s="59">
        <f>$GF$3</f>
        <v>219.76562717496353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296.82694711009896</v>
      </c>
      <c r="S5" s="59">
        <f ca="1">AVERAGE(OFFSET($R$3,0,0,'Données projet'!$E$9+1,1))-AVERAGE(OFFSET($H$3,0,0,'Données projet'!$E$9+1,1))</f>
        <v>312.53389584272878</v>
      </c>
      <c r="T5" s="59">
        <f t="shared" ref="T5:T68" si="34">$T$3</f>
        <v>203.5274665601915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7.1333333333333337</v>
      </c>
      <c r="AI5" s="13">
        <f>IF('Données projet'!$A$62&gt;35,AI4+AH5-AQ4,IF(A5&lt;'Données projet'!$A$62,$AF$205^A5,IF(A5='Données projet'!$A$62,'Données projet'!$B$62,AI4+AH5-AQ4)))</f>
        <v>1.8645949501376287</v>
      </c>
      <c r="AJ5" s="13">
        <f>AI5*VLOOKUP('Données projet'!$B$10,Paramètres!$A$1:$I$89,3,0)*VLOOKUP('Données projet'!$B$10,Paramètres!$A$1:$I$89,5,0)</f>
        <v>1.6289101484402326</v>
      </c>
      <c r="AK5" s="13">
        <f t="shared" ref="AK5:AK68" si="35">EXP(-1.0587+0.8836*LN(AJ5)+0.284)</f>
        <v>0.70922554238821334</v>
      </c>
      <c r="AL5" s="20">
        <f t="shared" si="4"/>
        <v>4.0722529948595438</v>
      </c>
      <c r="AM5" s="59">
        <f t="shared" si="5"/>
        <v>297.40558632819284</v>
      </c>
      <c r="AN5" s="59">
        <f ca="1">AVERAGE(OFFSET($AM$3,0,0,'Données projet'!$E$10+1,1))-AVERAGE(OFFSET($H$3,0,0,'Données projet'!$E$10+1,1))</f>
        <v>243.05628303465238</v>
      </c>
      <c r="AO5" s="59">
        <f t="shared" ref="AO5:AO68" si="36">$AO$3</f>
        <v>352.47096767658394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1.9</v>
      </c>
      <c r="BD5" s="12">
        <f>IF('Données projet'!$A$88&gt;35,BD4+BC5-BL4,IF(A5&lt;'Données projet'!$A$88,$BA$205^A5,IF(A5='Données projet'!$A$88,'Données projet'!$B$88,BD4+BC5-BL4)))</f>
        <v>1.8019831273171425</v>
      </c>
      <c r="BE5" s="13">
        <f>BD5*VLOOKUP('Données projet'!$B$11,Paramètres!$A$1:$I$89,3,0)*VLOOKUP('Données projet'!$B$11,Paramètres!$A$1:$I$89,5,0)</f>
        <v>1.4336577760935185</v>
      </c>
      <c r="BF5" s="13">
        <f t="shared" ref="BF5:BF68" si="37">EXP(-1.0587+0.8836*LN(BE5)+0.284)</f>
        <v>0.63355934907379652</v>
      </c>
      <c r="BG5" s="20">
        <f t="shared" si="7"/>
        <v>3.6004031596664068</v>
      </c>
      <c r="BH5" s="59">
        <f t="shared" si="8"/>
        <v>296.93373649299974</v>
      </c>
      <c r="BI5" s="59">
        <f ca="1">AVERAGE(OFFSET($BH$3,0,0,'Données projet'!$E$11+1,1))-AVERAGE(OFFSET($H$3,0,0,'Données projet'!$E$11+1,1))</f>
        <v>325.72928944930294</v>
      </c>
      <c r="BJ5" s="59">
        <f t="shared" ref="BJ5:BJ68" si="38">$BJ$3</f>
        <v>318.38876834819752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15.15</v>
      </c>
      <c r="BY5" s="12">
        <f>IF('Données projet'!$A$114&gt;35,BY4+BX5-CG4,IF(A5&lt;'Données projet'!$A$114,$BV$205^A5,IF(A5='Données projet'!$A$114,'Données projet'!$B$114,BY4+BX5-CG4)))</f>
        <v>1.770697046334806</v>
      </c>
      <c r="BZ5" s="13">
        <f>BY5*VLOOKUP('Données projet'!$B$12,Paramètres!$A$1:$I$89,3,0)*VLOOKUP('Données projet'!$B$12,Paramètres!$A$1:$I$89,5,0)</f>
        <v>0.98981964890115659</v>
      </c>
      <c r="CA5" s="13">
        <f t="shared" ref="CA5:CA68" si="39">EXP(-1.0587+0.8836*LN(BZ5)+0.284)</f>
        <v>0.45669410836011554</v>
      </c>
      <c r="CB5" s="20">
        <f t="shared" si="10"/>
        <v>2.5193447938967153</v>
      </c>
      <c r="CC5" s="59">
        <f t="shared" si="11"/>
        <v>295.85267812723004</v>
      </c>
      <c r="CD5" s="59">
        <f ca="1">AVERAGE(OFFSET($CC$3,0,0,'Données projet'!$E$12+1,1))-AVERAGE(OFFSET($H$3,0,0,'Données projet'!$E$12+1,1))</f>
        <v>475.54809021014017</v>
      </c>
      <c r="CE5" s="59">
        <f t="shared" ref="CE5:CE68" si="40">$CE$3</f>
        <v>593.51433014569966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7.9</v>
      </c>
      <c r="CT5" s="12">
        <f>IF('Données projet'!$A$140&gt;35,CT4+CS5-DB4,IF(A5&lt;'Données projet'!$A$140,$CQ$205^A5,IF(A5='Données projet'!$A$140,'Données projet'!$B$140,CT4+CS5-DB4)))</f>
        <v>1.6590738140266501</v>
      </c>
      <c r="CU5" s="17">
        <f>CT5*VLOOKUP('Données projet'!$B$13,Paramètres!$A$1:$I$89,3,0)*VLOOKUP('Données projet'!$B$13,Paramètres!$A$1:$I$89,5,0)</f>
        <v>0.77644654496447219</v>
      </c>
      <c r="CV5" s="13">
        <f t="shared" ref="CV5:CV68" si="41">EXP(-1.0587+0.8836*LN(CU5)+0.284)</f>
        <v>0.36851455096495994</v>
      </c>
      <c r="CW5" s="20">
        <f t="shared" si="13"/>
        <v>1.9941405754104276</v>
      </c>
      <c r="CX5" s="59">
        <f t="shared" si="14"/>
        <v>295.32747390874374</v>
      </c>
      <c r="CY5" s="59">
        <f ca="1">AVERAGE(OFFSET($CX$3,0,0,'Données projet'!$E$13+1,1))-AVERAGE(OFFSET($H$3,0,0,'Données projet'!$E$13+1,1))</f>
        <v>226.0452828290525</v>
      </c>
      <c r="CZ5" s="59">
        <f t="shared" ref="CZ5:CZ68" si="42">$CZ$3</f>
        <v>179.89696397462069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3.8333333333333335</v>
      </c>
      <c r="DO5" s="12">
        <f>IF('Données projet'!$A$166&gt;35,DO4+DN5-DW4,IF(A5&lt;'Données projet'!$A$166,$DL$205^A5,IF(A5='Données projet'!$A$166,'Données projet'!$B$166,DO4+DN5-DW4)))</f>
        <v>1.892894046431534</v>
      </c>
      <c r="DP5" s="17">
        <f>DO5*VLOOKUP('Données projet'!$B$14,Paramètres!$A$1:$I$89,3,0)*VLOOKUP('Données projet'!$B$14,Paramètres!$A$1:$I$89,5,0)</f>
        <v>1.1319506397660575</v>
      </c>
      <c r="DQ5" s="13">
        <f t="shared" ref="DQ5:DQ68" si="43">EXP(-1.0587+0.8836*LN(DP5)+0.284)</f>
        <v>0.51417864374064992</v>
      </c>
      <c r="DR5" s="20">
        <f t="shared" si="16"/>
        <v>2.8670085021075149</v>
      </c>
      <c r="DS5" s="59">
        <f t="shared" si="17"/>
        <v>296.20034183544084</v>
      </c>
      <c r="DT5" s="59">
        <f ca="1">AVERAGE(OFFSET($DS$3,0,0,'Données projet'!$E$14+1,1))-AVERAGE(OFFSET($H$3,0,0,'Données projet'!$E$14+1,1))</f>
        <v>252.81045065813976</v>
      </c>
      <c r="DU5" s="59">
        <f t="shared" ref="DU5:DU68" si="44">$DU$3</f>
        <v>254.36590349790589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1.9</v>
      </c>
      <c r="EJ5" s="12">
        <f>IF('Données projet'!$A$192&gt;35,EJ4+EI5-ER4,IF(A5&lt;'Données projet'!$A$192,$EG$205^A5,IF(A5='Données projet'!$A$192,'Données projet'!$B$192,EJ4+EI5-ER4)))</f>
        <v>1.8019831273171425</v>
      </c>
      <c r="EK5" s="17">
        <f>EJ5*VLOOKUP('Données projet'!$B$15,Paramètres!$A$1:$I$89,3,0)*VLOOKUP('Données projet'!$B$15,Paramètres!$A$1:$I$89,5,0)</f>
        <v>1.3212140289489287</v>
      </c>
      <c r="EL5" s="13">
        <f t="shared" ref="EL5:EL68" si="45">EXP(-1.0587+0.8836*LN(EK5)+0.284)</f>
        <v>0.58944591680017422</v>
      </c>
      <c r="EM5" s="20">
        <f t="shared" si="19"/>
        <v>3.327732738846354</v>
      </c>
      <c r="EN5" s="59">
        <f t="shared" si="20"/>
        <v>296.66106607217966</v>
      </c>
      <c r="EO5" s="59">
        <f ca="1">AVERAGE(OFFSET($EN$3,0,0,'Données projet'!$E$15+1,1))-AVERAGE(OFFSET($H$3,0,0,'Données projet'!$E$15+1,1))</f>
        <v>296.91321813251051</v>
      </c>
      <c r="EP5" s="59">
        <f t="shared" ref="EP5:EP68" si="46">$EP$3</f>
        <v>291.0718079639509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3.65</v>
      </c>
      <c r="FE5" s="12">
        <f>IF('Données projet'!$A$218&gt;35,FE4+FD5-FM4,IF(A5&lt;'Données projet'!$A$218,$FB$205^A5,IF(A5='Données projet'!$A$218,'Données projet'!$B$218,FE4+FD5-FM4)))</f>
        <v>1.5357915933617867</v>
      </c>
      <c r="FF5" s="17">
        <f>FE5*VLOOKUP('Données projet'!$B$16,Paramètres!$A$1:$I$89,3,0)*VLOOKUP('Données projet'!$B$16,Paramètres!$A$1:$I$89,5,0)</f>
        <v>1.5572926756688519</v>
      </c>
      <c r="FG5" s="13">
        <f t="shared" ref="FG5:FG68" si="47">EXP(-1.0587+0.8836*LN(FF5)+0.284)</f>
        <v>0.68160129960402205</v>
      </c>
      <c r="FH5" s="20">
        <f t="shared" si="22"/>
        <v>3.8994070069335893</v>
      </c>
      <c r="FI5" s="59">
        <f t="shared" si="23"/>
        <v>297.2327403402669</v>
      </c>
      <c r="FJ5" s="59">
        <f ca="1">AVERAGE(OFFSET($FI$3,0,0,'Données projet'!$E$16+1,1))-AVERAGE(OFFSET($H$3,0,0,'Données projet'!$E$16+1,1))</f>
        <v>356.65981389369125</v>
      </c>
      <c r="FK5" s="59">
        <f t="shared" ref="FK5:FK68" si="48">$FK$3</f>
        <v>231.92898690465887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3.65</v>
      </c>
      <c r="FZ5" s="12">
        <f>IF('Données projet'!$A$244&gt;35,FZ4+FY5-GH4,IF(A5&lt;'Données projet'!$A$244,$FW$205^A5,IF(A5='Données projet'!$A$244,'Données projet'!$B$244,FZ4+FY5-GH4)))</f>
        <v>1.5357915933617867</v>
      </c>
      <c r="GA5" s="17">
        <f>FZ5*VLOOKUP('Données projet'!$B$17,Paramètres!$A$1:$I$89,3,0)*VLOOKUP('Données projet'!$B$17,Paramètres!$A$1:$I$89,5,0)</f>
        <v>1.4854176290995202</v>
      </c>
      <c r="GB5" s="13">
        <f t="shared" ref="GB5:GB68" si="49">EXP(-1.0587+0.8836*LN(GA5)+0.284)</f>
        <v>0.65372856897250708</v>
      </c>
      <c r="GC5" s="20">
        <f t="shared" si="25"/>
        <v>3.725679628308781</v>
      </c>
      <c r="GD5" s="59">
        <f t="shared" si="26"/>
        <v>297.05901296164211</v>
      </c>
      <c r="GE5" s="59">
        <f ca="1">AVERAGE(OFFSET($GD$3,0,0,'Données projet'!$E$17+1,1))-AVERAGE(OFFSET($H$3,0,0,'Données projet'!$E$17+1,1))</f>
        <v>337.76140497227715</v>
      </c>
      <c r="GF5" s="59">
        <f t="shared" ref="GF5:GF68" si="50">$GF$3</f>
        <v>219.76562717496353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297.63006022433916</v>
      </c>
      <c r="S6" s="59">
        <f ca="1">AVERAGE(OFFSET($R$3,0,0,'Données projet'!$E$9+1,1))-AVERAGE(OFFSET($H$3,0,0,'Données projet'!$E$9+1,1))</f>
        <v>312.53389584272878</v>
      </c>
      <c r="T6" s="59">
        <f t="shared" si="34"/>
        <v>203.5274665601915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7.1333333333333337</v>
      </c>
      <c r="AI6" s="13">
        <f>IF('Données projet'!$A$62&gt;35,AI5+AH6-AQ5,IF(A6&lt;'Données projet'!$A$62,$AF$205^A6,IF(A6='Données projet'!$A$62,'Données projet'!$B$62,AI5+AH6-AQ5)))</f>
        <v>2.5461076134379645</v>
      </c>
      <c r="AJ6" s="13">
        <f>AI6*VLOOKUP('Données projet'!$B$10,Paramètres!$A$1:$I$89,3,0)*VLOOKUP('Données projet'!$B$10,Paramètres!$A$1:$I$89,5,0)</f>
        <v>2.2242796110994063</v>
      </c>
      <c r="AK6" s="13">
        <f t="shared" si="35"/>
        <v>0.93396069963909534</v>
      </c>
      <c r="AL6" s="20">
        <f t="shared" si="4"/>
        <v>5.5006018745362235</v>
      </c>
      <c r="AM6" s="59">
        <f t="shared" si="5"/>
        <v>298.83393520786956</v>
      </c>
      <c r="AN6" s="59">
        <f ca="1">AVERAGE(OFFSET($AM$3,0,0,'Données projet'!$E$10+1,1))-AVERAGE(OFFSET($H$3,0,0,'Données projet'!$E$10+1,1))</f>
        <v>243.05628303465238</v>
      </c>
      <c r="AO6" s="59">
        <f t="shared" si="36"/>
        <v>352.47096767658394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1.9</v>
      </c>
      <c r="BD6" s="12">
        <f>IF('Données projet'!$A$88&gt;35,BD5+BC6-BL5,IF(A6&lt;'Données projet'!$A$88,$BA$205^A6,IF(A6='Données projet'!$A$88,'Données projet'!$B$88,BD5+BC6-BL5)))</f>
        <v>2.4189454814875879</v>
      </c>
      <c r="BE6" s="13">
        <f>BD6*VLOOKUP('Données projet'!$B$11,Paramètres!$A$1:$I$89,3,0)*VLOOKUP('Données projet'!$B$11,Paramètres!$A$1:$I$89,5,0)</f>
        <v>1.9245130250715252</v>
      </c>
      <c r="BF6" s="13">
        <f t="shared" si="37"/>
        <v>0.82182239561499026</v>
      </c>
      <c r="BG6" s="20">
        <f t="shared" si="7"/>
        <v>4.7832008576956815</v>
      </c>
      <c r="BH6" s="59">
        <f t="shared" si="8"/>
        <v>298.11653419102902</v>
      </c>
      <c r="BI6" s="59">
        <f ca="1">AVERAGE(OFFSET($BH$3,0,0,'Données projet'!$E$11+1,1))-AVERAGE(OFFSET($H$3,0,0,'Données projet'!$E$11+1,1))</f>
        <v>325.72928944930294</v>
      </c>
      <c r="BJ6" s="59">
        <f t="shared" si="38"/>
        <v>318.38876834819752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15.15</v>
      </c>
      <c r="BY6" s="12">
        <f>IF('Données projet'!$A$114&gt;35,BY5+BX6-CG5,IF(A6&lt;'Données projet'!$A$114,$BV$205^A6,IF(A6='Données projet'!$A$114,'Données projet'!$B$114,BY5+BX6-CG5)))</f>
        <v>2.3562230178220385</v>
      </c>
      <c r="BZ6" s="13">
        <f>BY6*VLOOKUP('Données projet'!$B$12,Paramètres!$A$1:$I$89,3,0)*VLOOKUP('Données projet'!$B$12,Paramètres!$A$1:$I$89,5,0)</f>
        <v>1.3171286669625197</v>
      </c>
      <c r="CA6" s="13">
        <f t="shared" si="39"/>
        <v>0.58783514032847717</v>
      </c>
      <c r="CB6" s="20">
        <f t="shared" si="10"/>
        <v>3.3178119643651525</v>
      </c>
      <c r="CC6" s="59">
        <f t="shared" si="11"/>
        <v>296.65114529769846</v>
      </c>
      <c r="CD6" s="59">
        <f ca="1">AVERAGE(OFFSET($CC$3,0,0,'Données projet'!$E$12+1,1))-AVERAGE(OFFSET($H$3,0,0,'Données projet'!$E$12+1,1))</f>
        <v>475.54809021014017</v>
      </c>
      <c r="CE6" s="59">
        <f t="shared" si="40"/>
        <v>593.51433014569966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7.9</v>
      </c>
      <c r="CT6" s="12">
        <f>IF('Données projet'!$A$140&gt;35,CT5+CS6-DB5,IF(A6&lt;'Données projet'!$A$140,$CQ$205^A6,IF(A6='Données projet'!$A$140,'Données projet'!$B$140,CT5+CS6-DB5)))</f>
        <v>2.1369706776057753</v>
      </c>
      <c r="CU6" s="17">
        <f>CT6*VLOOKUP('Données projet'!$B$13,Paramètres!$A$1:$I$89,3,0)*VLOOKUP('Données projet'!$B$13,Paramètres!$A$1:$I$89,5,0)</f>
        <v>1.0001022771195029</v>
      </c>
      <c r="CV6" s="13">
        <f t="shared" si="41"/>
        <v>0.46088365986243646</v>
      </c>
      <c r="CW6" s="20">
        <f t="shared" si="13"/>
        <v>2.5445505069102112</v>
      </c>
      <c r="CX6" s="59">
        <f t="shared" si="14"/>
        <v>295.8778838402435</v>
      </c>
      <c r="CY6" s="59">
        <f ca="1">AVERAGE(OFFSET($CX$3,0,0,'Données projet'!$E$13+1,1))-AVERAGE(OFFSET($H$3,0,0,'Données projet'!$E$13+1,1))</f>
        <v>226.0452828290525</v>
      </c>
      <c r="CZ6" s="59">
        <f t="shared" si="42"/>
        <v>179.89696397462069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3.8333333333333335</v>
      </c>
      <c r="DO6" s="12">
        <f>IF('Données projet'!$A$166&gt;35,DO5+DN6-DW5,IF(A6&lt;'Données projet'!$A$166,$DL$205^A6,IF(A6='Données projet'!$A$166,'Données projet'!$B$166,DO5+DN6-DW5)))</f>
        <v>2.6042906871402178</v>
      </c>
      <c r="DP6" s="17">
        <f>DO6*VLOOKUP('Données projet'!$B$14,Paramètres!$A$1:$I$89,3,0)*VLOOKUP('Données projet'!$B$14,Paramètres!$A$1:$I$89,5,0)</f>
        <v>1.5573658309098504</v>
      </c>
      <c r="DQ6" s="13">
        <f t="shared" si="43"/>
        <v>0.68162959137501489</v>
      </c>
      <c r="DR6" s="20">
        <f t="shared" si="16"/>
        <v>3.8995836938128075</v>
      </c>
      <c r="DS6" s="59">
        <f t="shared" si="17"/>
        <v>297.23291702714613</v>
      </c>
      <c r="DT6" s="59">
        <f ca="1">AVERAGE(OFFSET($DS$3,0,0,'Données projet'!$E$14+1,1))-AVERAGE(OFFSET($H$3,0,0,'Données projet'!$E$14+1,1))</f>
        <v>252.81045065813976</v>
      </c>
      <c r="DU6" s="59">
        <f t="shared" si="44"/>
        <v>254.36590349790589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1.9</v>
      </c>
      <c r="EJ6" s="12">
        <f>IF('Données projet'!$A$192&gt;35,EJ5+EI6-ER5,IF(A6&lt;'Données projet'!$A$192,$EG$205^A6,IF(A6='Données projet'!$A$192,'Données projet'!$B$192,EJ5+EI6-ER5)))</f>
        <v>2.4189454814875879</v>
      </c>
      <c r="EK6" s="17">
        <f>EJ6*VLOOKUP('Données projet'!$B$15,Paramètres!$A$1:$I$89,3,0)*VLOOKUP('Données projet'!$B$15,Paramètres!$A$1:$I$89,5,0)</f>
        <v>1.7735708270266992</v>
      </c>
      <c r="EL6" s="13">
        <f t="shared" si="45"/>
        <v>0.76460059525341872</v>
      </c>
      <c r="EM6" s="20">
        <f t="shared" si="19"/>
        <v>4.4206485604712045</v>
      </c>
      <c r="EN6" s="59">
        <f t="shared" si="20"/>
        <v>297.75398189380451</v>
      </c>
      <c r="EO6" s="59">
        <f ca="1">AVERAGE(OFFSET($EN$3,0,0,'Données projet'!$E$15+1,1))-AVERAGE(OFFSET($H$3,0,0,'Données projet'!$E$15+1,1))</f>
        <v>296.91321813251051</v>
      </c>
      <c r="EP6" s="59">
        <f t="shared" si="46"/>
        <v>291.0718079639509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3.65</v>
      </c>
      <c r="FE6" s="12">
        <f>IF('Données projet'!$A$218&gt;35,FE5+FD6-FM5,IF(A6&lt;'Données projet'!$A$218,$FB$205^A6,IF(A6='Données projet'!$A$218,'Données projet'!$B$218,FE5+FD6-FM5)))</f>
        <v>1.9032613528593461</v>
      </c>
      <c r="FF6" s="17">
        <f>FE6*VLOOKUP('Données projet'!$B$16,Paramètres!$A$1:$I$89,3,0)*VLOOKUP('Données projet'!$B$16,Paramètres!$A$1:$I$89,5,0)</f>
        <v>1.9299070117993768</v>
      </c>
      <c r="FG6" s="13">
        <f t="shared" si="47"/>
        <v>0.82385733708903885</v>
      </c>
      <c r="FH6" s="20">
        <f t="shared" si="22"/>
        <v>4.7961395743139903</v>
      </c>
      <c r="FI6" s="59">
        <f t="shared" si="23"/>
        <v>298.12947290764731</v>
      </c>
      <c r="FJ6" s="59">
        <f ca="1">AVERAGE(OFFSET($FI$3,0,0,'Données projet'!$E$16+1,1))-AVERAGE(OFFSET($H$3,0,0,'Données projet'!$E$16+1,1))</f>
        <v>356.65981389369125</v>
      </c>
      <c r="FK6" s="59">
        <f t="shared" si="48"/>
        <v>231.92898690465887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3.65</v>
      </c>
      <c r="FZ6" s="12">
        <f>IF('Données projet'!$A$244&gt;35,FZ5+FY6-GH5,IF(A6&lt;'Données projet'!$A$244,$FW$205^A6,IF(A6='Données projet'!$A$244,'Données projet'!$B$244,FZ5+FY6-GH5)))</f>
        <v>1.9032613528593461</v>
      </c>
      <c r="GA6" s="17">
        <f>FZ6*VLOOKUP('Données projet'!$B$17,Paramètres!$A$1:$I$89,3,0)*VLOOKUP('Données projet'!$B$17,Paramètres!$A$1:$I$89,5,0)</f>
        <v>1.8408343804855598</v>
      </c>
      <c r="GB6" s="13">
        <f t="shared" si="49"/>
        <v>0.79016732850363813</v>
      </c>
      <c r="GC6" s="20">
        <f t="shared" si="25"/>
        <v>4.5823279764895188</v>
      </c>
      <c r="GD6" s="59">
        <f t="shared" si="26"/>
        <v>297.91566130982284</v>
      </c>
      <c r="GE6" s="59">
        <f ca="1">AVERAGE(OFFSET($GD$3,0,0,'Données projet'!$E$17+1,1))-AVERAGE(OFFSET($H$3,0,0,'Données projet'!$E$17+1,1))</f>
        <v>337.76140497227715</v>
      </c>
      <c r="GF6" s="59">
        <f t="shared" si="50"/>
        <v>219.76562717496353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298.61848781128475</v>
      </c>
      <c r="S7" s="59">
        <f ca="1">AVERAGE(OFFSET($R$3,0,0,'Données projet'!$E$9+1,1))-AVERAGE(OFFSET($H$3,0,0,'Données projet'!$E$9+1,1))</f>
        <v>312.53389584272878</v>
      </c>
      <c r="T7" s="59">
        <f t="shared" si="34"/>
        <v>203.5274665601915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7.1333333333333337</v>
      </c>
      <c r="AI7" s="13">
        <f>IF('Données projet'!$A$62&gt;35,AI6+AH7-AQ6,IF(A7&lt;'Données projet'!$A$62,$AF$205^A7,IF(A7='Données projet'!$A$62,'Données projet'!$B$62,AI6+AH7-AQ6)))</f>
        <v>3.4767143280787458</v>
      </c>
      <c r="AJ7" s="13">
        <f>AI7*VLOOKUP('Données projet'!$B$10,Paramètres!$A$1:$I$89,3,0)*VLOOKUP('Données projet'!$B$10,Paramètres!$A$1:$I$89,5,0)</f>
        <v>3.0372576370095925</v>
      </c>
      <c r="AK7" s="13">
        <f t="shared" si="35"/>
        <v>1.2299085923119242</v>
      </c>
      <c r="AL7" s="20">
        <f t="shared" si="4"/>
        <v>7.4319811827349751</v>
      </c>
      <c r="AM7" s="59">
        <f t="shared" si="5"/>
        <v>300.76531451606832</v>
      </c>
      <c r="AN7" s="59">
        <f ca="1">AVERAGE(OFFSET($AM$3,0,0,'Données projet'!$E$10+1,1))-AVERAGE(OFFSET($H$3,0,0,'Données projet'!$E$10+1,1))</f>
        <v>243.05628303465238</v>
      </c>
      <c r="AO7" s="59">
        <f t="shared" si="36"/>
        <v>352.47096767658394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1.9</v>
      </c>
      <c r="BD7" s="12">
        <f>IF('Données projet'!$A$88&gt;35,BD6+BC7-BL6,IF(A7&lt;'Données projet'!$A$88,$BA$205^A7,IF(A7='Données projet'!$A$88,'Données projet'!$B$88,BD6+BC7-BL6)))</f>
        <v>3.247143191135669</v>
      </c>
      <c r="BE7" s="13">
        <f>BD7*VLOOKUP('Données projet'!$B$11,Paramètres!$A$1:$I$89,3,0)*VLOOKUP('Données projet'!$B$11,Paramètres!$A$1:$I$89,5,0)</f>
        <v>2.5834271228675387</v>
      </c>
      <c r="BF7" s="13">
        <f t="shared" si="37"/>
        <v>1.066028069701316</v>
      </c>
      <c r="BG7" s="20">
        <f t="shared" si="7"/>
        <v>6.3561344603907548</v>
      </c>
      <c r="BH7" s="59">
        <f t="shared" si="8"/>
        <v>299.68946779372408</v>
      </c>
      <c r="BI7" s="59">
        <f ca="1">AVERAGE(OFFSET($BH$3,0,0,'Données projet'!$E$11+1,1))-AVERAGE(OFFSET($H$3,0,0,'Données projet'!$E$11+1,1))</f>
        <v>325.72928944930294</v>
      </c>
      <c r="BJ7" s="59">
        <f t="shared" si="38"/>
        <v>318.38876834819752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15.15</v>
      </c>
      <c r="BY7" s="12">
        <f>IF('Données projet'!$A$114&gt;35,BY6+BX7-CG6,IF(A7&lt;'Données projet'!$A$114,$BV$205^A7,IF(A7='Données projet'!$A$114,'Données projet'!$B$114,BY6+BX7-CG6)))</f>
        <v>3.1353680298988058</v>
      </c>
      <c r="BZ7" s="13">
        <f>BY7*VLOOKUP('Données projet'!$B$12,Paramètres!$A$1:$I$89,3,0)*VLOOKUP('Données projet'!$B$12,Paramètres!$A$1:$I$89,5,0)</f>
        <v>1.7526707287134324</v>
      </c>
      <c r="CA7" s="13">
        <f t="shared" si="39"/>
        <v>0.7566336983102151</v>
      </c>
      <c r="CB7" s="20">
        <f t="shared" si="10"/>
        <v>4.3703718770661864</v>
      </c>
      <c r="CC7" s="59">
        <f t="shared" si="11"/>
        <v>297.70370521039951</v>
      </c>
      <c r="CD7" s="59">
        <f ca="1">AVERAGE(OFFSET($CC$3,0,0,'Données projet'!$E$12+1,1))-AVERAGE(OFFSET($H$3,0,0,'Données projet'!$E$12+1,1))</f>
        <v>475.54809021014017</v>
      </c>
      <c r="CE7" s="59">
        <f t="shared" si="40"/>
        <v>593.51433014569966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7.9</v>
      </c>
      <c r="CT7" s="12">
        <f>IF('Données projet'!$A$140&gt;35,CT6+CS7-DB6,IF(A7&lt;'Données projet'!$A$140,$CQ$205^A7,IF(A7='Données projet'!$A$140,'Données projet'!$B$140,CT6+CS7-DB6)))</f>
        <v>2.7525259203889356</v>
      </c>
      <c r="CU7" s="17">
        <f>CT7*VLOOKUP('Données projet'!$B$13,Paramètres!$A$1:$I$89,3,0)*VLOOKUP('Données projet'!$B$13,Paramètres!$A$1:$I$89,5,0)</f>
        <v>1.2881821307420218</v>
      </c>
      <c r="CV7" s="13">
        <f t="shared" si="41"/>
        <v>0.57640532069082717</v>
      </c>
      <c r="CW7" s="20">
        <f t="shared" si="13"/>
        <v>3.2474898112455457</v>
      </c>
      <c r="CX7" s="59">
        <f t="shared" si="14"/>
        <v>296.58082314457886</v>
      </c>
      <c r="CY7" s="59">
        <f ca="1">AVERAGE(OFFSET($CX$3,0,0,'Données projet'!$E$13+1,1))-AVERAGE(OFFSET($H$3,0,0,'Données projet'!$E$13+1,1))</f>
        <v>226.0452828290525</v>
      </c>
      <c r="CZ7" s="59">
        <f t="shared" si="42"/>
        <v>179.89696397462069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3.8333333333333335</v>
      </c>
      <c r="DO7" s="12">
        <f>IF('Données projet'!$A$166&gt;35,DO6+DN7-DW6,IF(A7&lt;'Données projet'!$A$166,$DL$205^A7,IF(A7='Données projet'!$A$166,'Données projet'!$B$166,DO6+DN7-DW6)))</f>
        <v>3.5830478710159466</v>
      </c>
      <c r="DP7" s="17">
        <f>DO7*VLOOKUP('Données projet'!$B$14,Paramètres!$A$1:$I$89,3,0)*VLOOKUP('Données projet'!$B$14,Paramètres!$A$1:$I$89,5,0)</f>
        <v>2.1426626268675362</v>
      </c>
      <c r="DQ7" s="13">
        <f t="shared" si="43"/>
        <v>0.9036137643873482</v>
      </c>
      <c r="DR7" s="20">
        <f t="shared" si="16"/>
        <v>5.3055980481022571</v>
      </c>
      <c r="DS7" s="59">
        <f t="shared" si="17"/>
        <v>298.63893138143555</v>
      </c>
      <c r="DT7" s="59">
        <f ca="1">AVERAGE(OFFSET($DS$3,0,0,'Données projet'!$E$14+1,1))-AVERAGE(OFFSET($H$3,0,0,'Données projet'!$E$14+1,1))</f>
        <v>252.81045065813976</v>
      </c>
      <c r="DU7" s="59">
        <f t="shared" si="44"/>
        <v>254.36590349790589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1.9</v>
      </c>
      <c r="EJ7" s="12">
        <f>IF('Données projet'!$A$192&gt;35,EJ6+EI7-ER6,IF(A7&lt;'Données projet'!$A$192,$EG$205^A7,IF(A7='Données projet'!$A$192,'Données projet'!$B$192,EJ6+EI7-ER6)))</f>
        <v>3.247143191135669</v>
      </c>
      <c r="EK7" s="17">
        <f>EJ7*VLOOKUP('Données projet'!$B$15,Paramètres!$A$1:$I$89,3,0)*VLOOKUP('Données projet'!$B$15,Paramètres!$A$1:$I$89,5,0)</f>
        <v>2.3808053877406725</v>
      </c>
      <c r="EL7" s="13">
        <f t="shared" si="45"/>
        <v>0.99180273134383279</v>
      </c>
      <c r="EM7" s="20">
        <f t="shared" si="19"/>
        <v>5.8739591407388465</v>
      </c>
      <c r="EN7" s="59">
        <f t="shared" si="20"/>
        <v>299.20729247407218</v>
      </c>
      <c r="EO7" s="59">
        <f ca="1">AVERAGE(OFFSET($EN$3,0,0,'Données projet'!$E$15+1,1))-AVERAGE(OFFSET($H$3,0,0,'Données projet'!$E$15+1,1))</f>
        <v>296.91321813251051</v>
      </c>
      <c r="EP7" s="59">
        <f t="shared" si="46"/>
        <v>291.0718079639509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3.65</v>
      </c>
      <c r="FE7" s="12">
        <f>IF('Données projet'!$A$218&gt;35,FE6+FD7-FM6,IF(A7&lt;'Données projet'!$A$218,$FB$205^A7,IF(A7='Données projet'!$A$218,'Données projet'!$B$218,FE6+FD7-FM6)))</f>
        <v>2.3586558182407358</v>
      </c>
      <c r="FF7" s="17">
        <f>FE7*VLOOKUP('Données projet'!$B$16,Paramètres!$A$1:$I$89,3,0)*VLOOKUP('Données projet'!$B$16,Paramètres!$A$1:$I$89,5,0)</f>
        <v>2.3916769996961063</v>
      </c>
      <c r="FG7" s="13">
        <f t="shared" si="47"/>
        <v>0.9958034297612971</v>
      </c>
      <c r="FH7" s="20">
        <f t="shared" si="22"/>
        <v>5.8998617479716442</v>
      </c>
      <c r="FI7" s="59">
        <f t="shared" si="23"/>
        <v>299.23319508130498</v>
      </c>
      <c r="FJ7" s="59">
        <f ca="1">AVERAGE(OFFSET($FI$3,0,0,'Données projet'!$E$16+1,1))-AVERAGE(OFFSET($H$3,0,0,'Données projet'!$E$16+1,1))</f>
        <v>356.65981389369125</v>
      </c>
      <c r="FK7" s="59">
        <f t="shared" si="48"/>
        <v>231.92898690465887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3.65</v>
      </c>
      <c r="FZ7" s="12">
        <f>IF('Données projet'!$A$244&gt;35,FZ6+FY7-GH6,IF(A7&lt;'Données projet'!$A$244,$FW$205^A7,IF(A7='Données projet'!$A$244,'Données projet'!$B$244,FZ6+FY7-GH6)))</f>
        <v>2.3586558182407358</v>
      </c>
      <c r="GA7" s="17">
        <f>FZ7*VLOOKUP('Données projet'!$B$17,Paramètres!$A$1:$I$89,3,0)*VLOOKUP('Données projet'!$B$17,Paramètres!$A$1:$I$89,5,0)</f>
        <v>2.2812919074024398</v>
      </c>
      <c r="GB7" s="13">
        <f t="shared" si="49"/>
        <v>0.95508202741684722</v>
      </c>
      <c r="GC7" s="20">
        <f t="shared" si="25"/>
        <v>5.6366846031435918</v>
      </c>
      <c r="GD7" s="59">
        <f t="shared" si="26"/>
        <v>298.97001793647689</v>
      </c>
      <c r="GE7" s="59">
        <f ca="1">AVERAGE(OFFSET($GD$3,0,0,'Données projet'!$E$17+1,1))-AVERAGE(OFFSET($H$3,0,0,'Données projet'!$E$17+1,1))</f>
        <v>337.76140497227715</v>
      </c>
      <c r="GF7" s="59">
        <f t="shared" si="50"/>
        <v>219.76562717496353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299.83514117239878</v>
      </c>
      <c r="S8" s="59">
        <f ca="1">AVERAGE(OFFSET($R$3,0,0,'Données projet'!$E$9+1,1))-AVERAGE(OFFSET($H$3,0,0,'Données projet'!$E$9+1,1))</f>
        <v>312.53389584272878</v>
      </c>
      <c r="T8" s="59">
        <f t="shared" si="34"/>
        <v>203.5274665601915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7.1333333333333337</v>
      </c>
      <c r="AI8" s="13">
        <f>IF('Données projet'!$A$62&gt;35,AI7+AH8-AQ7,IF(A8&lt;'Données projet'!$A$62,$AF$205^A8,IF(A8='Données projet'!$A$62,'Données projet'!$B$62,AI7+AH8-AQ7)))</f>
        <v>4.7474593985233984</v>
      </c>
      <c r="AJ8" s="13">
        <f>AI8*VLOOKUP('Données projet'!$B$10,Paramètres!$A$1:$I$89,3,0)*VLOOKUP('Données projet'!$B$10,Paramètres!$A$1:$I$89,5,0)</f>
        <v>4.1473805305500413</v>
      </c>
      <c r="AK8" s="13">
        <f t="shared" si="35"/>
        <v>1.6196346870133109</v>
      </c>
      <c r="AL8" s="20">
        <f t="shared" si="4"/>
        <v>10.044218170589504</v>
      </c>
      <c r="AM8" s="59">
        <f t="shared" si="5"/>
        <v>303.3775515039228</v>
      </c>
      <c r="AN8" s="59">
        <f ca="1">AVERAGE(OFFSET($AM$3,0,0,'Données projet'!$E$10+1,1))-AVERAGE(OFFSET($H$3,0,0,'Données projet'!$E$10+1,1))</f>
        <v>243.05628303465238</v>
      </c>
      <c r="AO8" s="59">
        <f t="shared" si="36"/>
        <v>352.47096767658394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1.9</v>
      </c>
      <c r="BD8" s="12">
        <f>IF('Données projet'!$A$88&gt;35,BD7+BC8-BL7,IF(A8&lt;'Données projet'!$A$88,$BA$205^A8,IF(A8='Données projet'!$A$88,'Données projet'!$B$88,BD7+BC8-BL7)))</f>
        <v>4.3588989435406749</v>
      </c>
      <c r="BE8" s="13">
        <f>BD8*VLOOKUP('Données projet'!$B$11,Paramètres!$A$1:$I$89,3,0)*VLOOKUP('Données projet'!$B$11,Paramètres!$A$1:$I$89,5,0)</f>
        <v>3.467939999480961</v>
      </c>
      <c r="BF8" s="13">
        <f t="shared" si="37"/>
        <v>1.382799801337496</v>
      </c>
      <c r="BG8" s="20">
        <f t="shared" si="7"/>
        <v>8.4483718197588118</v>
      </c>
      <c r="BH8" s="59">
        <f t="shared" si="8"/>
        <v>301.7817051530921</v>
      </c>
      <c r="BI8" s="59">
        <f ca="1">AVERAGE(OFFSET($BH$3,0,0,'Données projet'!$E$11+1,1))-AVERAGE(OFFSET($H$3,0,0,'Données projet'!$E$11+1,1))</f>
        <v>325.72928944930294</v>
      </c>
      <c r="BJ8" s="59">
        <f t="shared" si="38"/>
        <v>318.38876834819752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15.15</v>
      </c>
      <c r="BY8" s="12">
        <f>IF('Données projet'!$A$114&gt;35,BY7+BX8-CG7,IF(A8&lt;'Données projet'!$A$114,$BV$205^A8,IF(A8='Données projet'!$A$114,'Données projet'!$B$114,BY7+BX8-CG7)))</f>
        <v>4.1721571381635663</v>
      </c>
      <c r="BZ8" s="13">
        <f>BY8*VLOOKUP('Données projet'!$B$12,Paramètres!$A$1:$I$89,3,0)*VLOOKUP('Données projet'!$B$12,Paramètres!$A$1:$I$89,5,0)</f>
        <v>2.3322358402334333</v>
      </c>
      <c r="CA8" s="13">
        <f t="shared" si="39"/>
        <v>0.97390324964017738</v>
      </c>
      <c r="CB8" s="20">
        <f t="shared" si="10"/>
        <v>5.7581922481965391</v>
      </c>
      <c r="CC8" s="59">
        <f t="shared" si="11"/>
        <v>299.09152558152988</v>
      </c>
      <c r="CD8" s="59">
        <f ca="1">AVERAGE(OFFSET($CC$3,0,0,'Données projet'!$E$12+1,1))-AVERAGE(OFFSET($H$3,0,0,'Données projet'!$E$12+1,1))</f>
        <v>475.54809021014017</v>
      </c>
      <c r="CE8" s="59">
        <f t="shared" si="40"/>
        <v>593.51433014569966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7.9</v>
      </c>
      <c r="CT8" s="12">
        <f>IF('Données projet'!$A$140&gt;35,CT7+CS8-DB7,IF(A8&lt;'Données projet'!$A$140,$CQ$205^A8,IF(A8='Données projet'!$A$140,'Données projet'!$B$140,CT7+CS8-DB7)))</f>
        <v>3.5453920925585285</v>
      </c>
      <c r="CU8" s="17">
        <f>CT8*VLOOKUP('Données projet'!$B$13,Paramètres!$A$1:$I$89,3,0)*VLOOKUP('Données projet'!$B$13,Paramètres!$A$1:$I$89,5,0)</f>
        <v>1.6592434993173915</v>
      </c>
      <c r="CV8" s="13">
        <f t="shared" si="41"/>
        <v>0.72088277944126433</v>
      </c>
      <c r="CW8" s="20">
        <f t="shared" si="13"/>
        <v>4.1453866021713255</v>
      </c>
      <c r="CX8" s="59">
        <f t="shared" si="14"/>
        <v>297.47871993550461</v>
      </c>
      <c r="CY8" s="59">
        <f ca="1">AVERAGE(OFFSET($CX$3,0,0,'Données projet'!$E$13+1,1))-AVERAGE(OFFSET($H$3,0,0,'Données projet'!$E$13+1,1))</f>
        <v>226.0452828290525</v>
      </c>
      <c r="CZ8" s="59">
        <f t="shared" si="42"/>
        <v>179.89696397462069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3.8333333333333335</v>
      </c>
      <c r="DO8" s="12">
        <f>IF('Données projet'!$A$166&gt;35,DO7+DN8-DW7,IF(A8&lt;'Données projet'!$A$166,$DL$205^A8,IF(A8='Données projet'!$A$166,'Données projet'!$B$166,DO7+DN8-DW7)))</f>
        <v>4.9296463368648071</v>
      </c>
      <c r="DP8" s="17">
        <f>DO8*VLOOKUP('Données projet'!$B$14,Paramètres!$A$1:$I$89,3,0)*VLOOKUP('Données projet'!$B$14,Paramètres!$A$1:$I$89,5,0)</f>
        <v>2.9479285094451551</v>
      </c>
      <c r="DQ8" s="13">
        <f t="shared" si="43"/>
        <v>1.1978908273966751</v>
      </c>
      <c r="DR8" s="20">
        <f t="shared" si="16"/>
        <v>7.2206353449995211</v>
      </c>
      <c r="DS8" s="59">
        <f t="shared" si="17"/>
        <v>300.55396867833281</v>
      </c>
      <c r="DT8" s="59">
        <f ca="1">AVERAGE(OFFSET($DS$3,0,0,'Données projet'!$E$14+1,1))-AVERAGE(OFFSET($H$3,0,0,'Données projet'!$E$14+1,1))</f>
        <v>252.81045065813976</v>
      </c>
      <c r="DU8" s="59">
        <f t="shared" si="44"/>
        <v>254.36590349790589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1.9</v>
      </c>
      <c r="EJ8" s="12">
        <f>IF('Données projet'!$A$192&gt;35,EJ7+EI8-ER7,IF(A8&lt;'Données projet'!$A$192,$EG$205^A8,IF(A8='Données projet'!$A$192,'Données projet'!$B$192,EJ7+EI8-ER7)))</f>
        <v>4.3588989435406749</v>
      </c>
      <c r="EK8" s="17">
        <f>EJ8*VLOOKUP('Données projet'!$B$15,Paramètres!$A$1:$I$89,3,0)*VLOOKUP('Données projet'!$B$15,Paramètres!$A$1:$I$89,5,0)</f>
        <v>3.1959447054040226</v>
      </c>
      <c r="EL8" s="13">
        <f t="shared" si="45"/>
        <v>1.2865182998910156</v>
      </c>
      <c r="EM8" s="20">
        <f t="shared" si="19"/>
        <v>7.8069564008888577</v>
      </c>
      <c r="EN8" s="59">
        <f t="shared" si="20"/>
        <v>301.14028973422216</v>
      </c>
      <c r="EO8" s="59">
        <f ca="1">AVERAGE(OFFSET($EN$3,0,0,'Données projet'!$E$15+1,1))-AVERAGE(OFFSET($H$3,0,0,'Données projet'!$E$15+1,1))</f>
        <v>296.91321813251051</v>
      </c>
      <c r="EP8" s="59">
        <f t="shared" si="46"/>
        <v>291.0718079639509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3.65</v>
      </c>
      <c r="FE8" s="12">
        <f>IF('Données projet'!$A$218&gt;35,FE7+FD8-FM7,IF(A8&lt;'Données projet'!$A$218,$FB$205^A8,IF(A8='Données projet'!$A$218,'Données projet'!$B$218,FE7+FD8-FM7)))</f>
        <v>2.9230127856917649</v>
      </c>
      <c r="FF8" s="17">
        <f>FE8*VLOOKUP('Données projet'!$B$16,Paramètres!$A$1:$I$89,3,0)*VLOOKUP('Données projet'!$B$16,Paramètres!$A$1:$I$89,5,0)</f>
        <v>2.9639349646914495</v>
      </c>
      <c r="FG8" s="13">
        <f t="shared" si="47"/>
        <v>1.2036361467970902</v>
      </c>
      <c r="FH8" s="20">
        <f t="shared" si="22"/>
        <v>7.2585196858425398</v>
      </c>
      <c r="FI8" s="59">
        <f t="shared" si="23"/>
        <v>300.59185301917586</v>
      </c>
      <c r="FJ8" s="59">
        <f ca="1">AVERAGE(OFFSET($FI$3,0,0,'Données projet'!$E$16+1,1))-AVERAGE(OFFSET($H$3,0,0,'Données projet'!$E$16+1,1))</f>
        <v>356.65981389369125</v>
      </c>
      <c r="FK8" s="59">
        <f t="shared" si="48"/>
        <v>231.92898690465887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3.65</v>
      </c>
      <c r="FZ8" s="12">
        <f>IF('Données projet'!$A$244&gt;35,FZ7+FY8-GH7,IF(A8&lt;'Données projet'!$A$244,$FW$205^A8,IF(A8='Données projet'!$A$244,'Données projet'!$B$244,FZ7+FY8-GH7)))</f>
        <v>2.9230127856917649</v>
      </c>
      <c r="GA8" s="17">
        <f>FZ8*VLOOKUP('Données projet'!$B$17,Paramètres!$A$1:$I$89,3,0)*VLOOKUP('Données projet'!$B$17,Paramètres!$A$1:$I$89,5,0)</f>
        <v>2.8271379663210752</v>
      </c>
      <c r="GB8" s="13">
        <f t="shared" si="49"/>
        <v>1.1544158385061292</v>
      </c>
      <c r="GC8" s="20">
        <f t="shared" si="25"/>
        <v>6.9345395434073795</v>
      </c>
      <c r="GD8" s="59">
        <f t="shared" si="26"/>
        <v>300.26787287674068</v>
      </c>
      <c r="GE8" s="59">
        <f ca="1">AVERAGE(OFFSET($GD$3,0,0,'Données projet'!$E$17+1,1))-AVERAGE(OFFSET($H$3,0,0,'Données projet'!$E$17+1,1))</f>
        <v>337.76140497227715</v>
      </c>
      <c r="GF8" s="59">
        <f t="shared" si="50"/>
        <v>219.76562717496353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301.33290077663611</v>
      </c>
      <c r="S9" s="59">
        <f ca="1">AVERAGE(OFFSET($R$3,0,0,'Données projet'!$E$9+1,1))-AVERAGE(OFFSET($H$3,0,0,'Données projet'!$E$9+1,1))</f>
        <v>312.53389584272878</v>
      </c>
      <c r="T9" s="59">
        <f t="shared" si="34"/>
        <v>203.5274665601915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7.1333333333333337</v>
      </c>
      <c r="AI9" s="13">
        <f>IF('Données projet'!$A$62&gt;35,AI8+AH9-AQ8,IF(A9&lt;'Données projet'!$A$62,$AF$205^A9,IF(A9='Données projet'!$A$62,'Données projet'!$B$62,AI8+AH9-AQ8)))</f>
        <v>6.4826639792067677</v>
      </c>
      <c r="AJ9" s="13">
        <f>AI9*VLOOKUP('Données projet'!$B$10,Paramètres!$A$1:$I$89,3,0)*VLOOKUP('Données projet'!$B$10,Paramètres!$A$1:$I$89,5,0)</f>
        <v>5.6632552522350332</v>
      </c>
      <c r="AK9" s="13">
        <f t="shared" si="35"/>
        <v>2.1328548607386395</v>
      </c>
      <c r="AL9" s="20">
        <f t="shared" si="4"/>
        <v>13.578225113429147</v>
      </c>
      <c r="AM9" s="59">
        <f t="shared" si="5"/>
        <v>306.91155844676246</v>
      </c>
      <c r="AN9" s="59">
        <f ca="1">AVERAGE(OFFSET($AM$3,0,0,'Données projet'!$E$10+1,1))-AVERAGE(OFFSET($H$3,0,0,'Données projet'!$E$10+1,1))</f>
        <v>243.05628303465238</v>
      </c>
      <c r="AO9" s="59">
        <f t="shared" si="36"/>
        <v>352.47096767658394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1.9</v>
      </c>
      <c r="BD9" s="12">
        <f>IF('Données projet'!$A$88&gt;35,BD8+BC9-BL8,IF(A9&lt;'Données projet'!$A$88,$BA$205^A9,IF(A9='Données projet'!$A$88,'Données projet'!$B$88,BD8+BC9-BL8)))</f>
        <v>5.8512972424092187</v>
      </c>
      <c r="BE9" s="13">
        <f>BD9*VLOOKUP('Données projet'!$B$11,Paramètres!$A$1:$I$89,3,0)*VLOOKUP('Données projet'!$B$11,Paramètres!$A$1:$I$89,5,0)</f>
        <v>4.6552920860607747</v>
      </c>
      <c r="BF9" s="13">
        <f t="shared" si="37"/>
        <v>1.7937006960002178</v>
      </c>
      <c r="BG9" s="20">
        <f t="shared" si="7"/>
        <v>11.231995762089561</v>
      </c>
      <c r="BH9" s="59">
        <f t="shared" si="8"/>
        <v>304.5653290954229</v>
      </c>
      <c r="BI9" s="59">
        <f ca="1">AVERAGE(OFFSET($BH$3,0,0,'Données projet'!$E$11+1,1))-AVERAGE(OFFSET($H$3,0,0,'Données projet'!$E$11+1,1))</f>
        <v>325.72928944930294</v>
      </c>
      <c r="BJ9" s="59">
        <f t="shared" si="38"/>
        <v>318.38876834819752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15.15</v>
      </c>
      <c r="BY9" s="12">
        <f>IF('Données projet'!$A$114&gt;35,BY8+BX9-CG8,IF(A9&lt;'Données projet'!$A$114,$BV$205^A9,IF(A9='Données projet'!$A$114,'Données projet'!$B$114,BY8+BX9-CG8)))</f>
        <v>5.5517869097143953</v>
      </c>
      <c r="BZ9" s="13">
        <f>BY9*VLOOKUP('Données projet'!$B$12,Paramètres!$A$1:$I$89,3,0)*VLOOKUP('Données projet'!$B$12,Paramètres!$A$1:$I$89,5,0)</f>
        <v>3.1034488825303472</v>
      </c>
      <c r="CA9" s="13">
        <f t="shared" si="39"/>
        <v>1.2535623800234499</v>
      </c>
      <c r="CB9" s="20">
        <f t="shared" si="10"/>
        <v>7.5884612822811972</v>
      </c>
      <c r="CC9" s="59">
        <f t="shared" si="11"/>
        <v>300.92179461561449</v>
      </c>
      <c r="CD9" s="59">
        <f ca="1">AVERAGE(OFFSET($CC$3,0,0,'Données projet'!$E$12+1,1))-AVERAGE(OFFSET($H$3,0,0,'Données projet'!$E$12+1,1))</f>
        <v>475.54809021014017</v>
      </c>
      <c r="CE9" s="59">
        <f t="shared" si="40"/>
        <v>593.51433014569966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7.9</v>
      </c>
      <c r="CT9" s="12">
        <f>IF('Données projet'!$A$140&gt;35,CT8+CS9-DB8,IF(A9&lt;'Données projet'!$A$140,$CQ$205^A9,IF(A9='Données projet'!$A$140,'Données projet'!$B$140,CT8+CS9-DB8)))</f>
        <v>4.566643676946887</v>
      </c>
      <c r="CU9" s="17">
        <f>CT9*VLOOKUP('Données projet'!$B$13,Paramètres!$A$1:$I$89,3,0)*VLOOKUP('Données projet'!$B$13,Paramètres!$A$1:$I$89,5,0)</f>
        <v>2.1371892408111433</v>
      </c>
      <c r="CV9" s="13">
        <f t="shared" si="41"/>
        <v>0.9015738804633705</v>
      </c>
      <c r="CW9" s="20">
        <f t="shared" si="13"/>
        <v>5.292512436219778</v>
      </c>
      <c r="CX9" s="59">
        <f t="shared" si="14"/>
        <v>298.62584576955311</v>
      </c>
      <c r="CY9" s="59">
        <f ca="1">AVERAGE(OFFSET($CX$3,0,0,'Données projet'!$E$13+1,1))-AVERAGE(OFFSET($H$3,0,0,'Données projet'!$E$13+1,1))</f>
        <v>226.0452828290525</v>
      </c>
      <c r="CZ9" s="59">
        <f t="shared" si="42"/>
        <v>179.89696397462069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3.8333333333333335</v>
      </c>
      <c r="DO9" s="12">
        <f>IF('Données projet'!$A$166&gt;35,DO8+DN9-DW8,IF(A9&lt;'Données projet'!$A$166,$DL$205^A9,IF(A9='Données projet'!$A$166,'Données projet'!$B$166,DO8+DN9-DW8)))</f>
        <v>6.7823299831252681</v>
      </c>
      <c r="DP9" s="17">
        <f>DO9*VLOOKUP('Données projet'!$B$14,Paramètres!$A$1:$I$89,3,0)*VLOOKUP('Données projet'!$B$14,Paramètres!$A$1:$I$89,5,0)</f>
        <v>4.0558333299089107</v>
      </c>
      <c r="DQ9" s="13">
        <f t="shared" si="43"/>
        <v>1.5880041793453468</v>
      </c>
      <c r="DR9" s="20">
        <f t="shared" si="16"/>
        <v>9.8296836619511652</v>
      </c>
      <c r="DS9" s="59">
        <f t="shared" si="17"/>
        <v>303.16301699528447</v>
      </c>
      <c r="DT9" s="59">
        <f ca="1">AVERAGE(OFFSET($DS$3,0,0,'Données projet'!$E$14+1,1))-AVERAGE(OFFSET($H$3,0,0,'Données projet'!$E$14+1,1))</f>
        <v>252.81045065813976</v>
      </c>
      <c r="DU9" s="59">
        <f t="shared" si="44"/>
        <v>254.36590349790589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1.9</v>
      </c>
      <c r="EJ9" s="12">
        <f>IF('Données projet'!$A$192&gt;35,EJ8+EI9-ER8,IF(A9&lt;'Données projet'!$A$192,$EG$205^A9,IF(A9='Données projet'!$A$192,'Données projet'!$B$192,EJ8+EI9-ER8)))</f>
        <v>5.8512972424092187</v>
      </c>
      <c r="EK9" s="17">
        <f>EJ9*VLOOKUP('Données projet'!$B$15,Paramètres!$A$1:$I$89,3,0)*VLOOKUP('Données projet'!$B$15,Paramètres!$A$1:$I$89,5,0)</f>
        <v>4.290171138134439</v>
      </c>
      <c r="EL9" s="13">
        <f t="shared" si="45"/>
        <v>1.6688090117596963</v>
      </c>
      <c r="EM9" s="20">
        <f t="shared" si="19"/>
        <v>10.378557094398952</v>
      </c>
      <c r="EN9" s="59">
        <f t="shared" si="20"/>
        <v>303.71189042773227</v>
      </c>
      <c r="EO9" s="59">
        <f ca="1">AVERAGE(OFFSET($EN$3,0,0,'Données projet'!$E$15+1,1))-AVERAGE(OFFSET($H$3,0,0,'Données projet'!$E$15+1,1))</f>
        <v>296.91321813251051</v>
      </c>
      <c r="EP9" s="59">
        <f t="shared" si="46"/>
        <v>291.0718079639509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3.65</v>
      </c>
      <c r="FE9" s="12">
        <f>IF('Données projet'!$A$218&gt;35,FE8+FD9-FM8,IF(A9&lt;'Données projet'!$A$218,$FB$205^A9,IF(A9='Données projet'!$A$218,'Données projet'!$B$218,FE8+FD9-FM8)))</f>
        <v>3.6224037772879885</v>
      </c>
      <c r="FF9" s="17">
        <f>FE9*VLOOKUP('Données projet'!$B$16,Paramètres!$A$1:$I$89,3,0)*VLOOKUP('Données projet'!$B$16,Paramètres!$A$1:$I$89,5,0)</f>
        <v>3.6731174301700205</v>
      </c>
      <c r="FG9" s="13">
        <f t="shared" si="47"/>
        <v>1.4548453345092642</v>
      </c>
      <c r="FH9" s="20">
        <f t="shared" si="22"/>
        <v>8.9312018151497536</v>
      </c>
      <c r="FI9" s="59">
        <f t="shared" si="23"/>
        <v>302.26453514848305</v>
      </c>
      <c r="FJ9" s="59">
        <f ca="1">AVERAGE(OFFSET($FI$3,0,0,'Données projet'!$E$16+1,1))-AVERAGE(OFFSET($H$3,0,0,'Données projet'!$E$16+1,1))</f>
        <v>356.65981389369125</v>
      </c>
      <c r="FK9" s="59">
        <f t="shared" si="48"/>
        <v>231.92898690465887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3.65</v>
      </c>
      <c r="FZ9" s="12">
        <f>IF('Données projet'!$A$244&gt;35,FZ8+FY9-GH8,IF(A9&lt;'Données projet'!$A$244,$FW$205^A9,IF(A9='Données projet'!$A$244,'Données projet'!$B$244,FZ8+FY9-GH8)))</f>
        <v>3.6224037772879885</v>
      </c>
      <c r="GA9" s="17">
        <f>FZ9*VLOOKUP('Données projet'!$B$17,Paramètres!$A$1:$I$89,3,0)*VLOOKUP('Données projet'!$B$17,Paramètres!$A$1:$I$89,5,0)</f>
        <v>3.5035889333929422</v>
      </c>
      <c r="GB9" s="13">
        <f t="shared" si="49"/>
        <v>1.3953523257036018</v>
      </c>
      <c r="GC9" s="20">
        <f t="shared" si="25"/>
        <v>8.5323226929264795</v>
      </c>
      <c r="GD9" s="59">
        <f t="shared" si="26"/>
        <v>301.86565602625978</v>
      </c>
      <c r="GE9" s="59">
        <f ca="1">AVERAGE(OFFSET($GD$3,0,0,'Données projet'!$E$17+1,1))-AVERAGE(OFFSET($H$3,0,0,'Données projet'!$E$17+1,1))</f>
        <v>337.76140497227715</v>
      </c>
      <c r="GF9" s="59">
        <f t="shared" si="50"/>
        <v>219.76562717496353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303.17693934275616</v>
      </c>
      <c r="S10" s="59">
        <f ca="1">AVERAGE(OFFSET($R$3,0,0,'Données projet'!$E$9+1,1))-AVERAGE(OFFSET($H$3,0,0,'Données projet'!$E$9+1,1))</f>
        <v>312.53389584272878</v>
      </c>
      <c r="T10" s="59">
        <f t="shared" si="34"/>
        <v>203.5274665601915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7.1333333333333337</v>
      </c>
      <c r="AI10" s="13">
        <f>IF('Données projet'!$A$62&gt;35,AI9+AH10-AQ9,IF(A10&lt;'Données projet'!$A$62,$AF$205^A10,IF(A10='Données projet'!$A$62,'Données projet'!$B$62,AI9+AH10-AQ9)))</f>
        <v>8.8520888204701524</v>
      </c>
      <c r="AJ10" s="13">
        <f>AI10*VLOOKUP('Données projet'!$B$10,Paramètres!$A$1:$I$89,3,0)*VLOOKUP('Données projet'!$B$10,Paramètres!$A$1:$I$89,5,0)</f>
        <v>7.7331847935627263</v>
      </c>
      <c r="AK10" s="13">
        <f t="shared" si="35"/>
        <v>2.8087011802427866</v>
      </c>
      <c r="AL10" s="20">
        <f t="shared" si="4"/>
        <v>18.360451404377937</v>
      </c>
      <c r="AM10" s="59">
        <f t="shared" si="5"/>
        <v>311.69378473771127</v>
      </c>
      <c r="AN10" s="59">
        <f ca="1">AVERAGE(OFFSET($AM$3,0,0,'Données projet'!$E$10+1,1))-AVERAGE(OFFSET($H$3,0,0,'Données projet'!$E$10+1,1))</f>
        <v>243.05628303465238</v>
      </c>
      <c r="AO10" s="59">
        <f t="shared" si="36"/>
        <v>352.47096767658394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1.9</v>
      </c>
      <c r="BD10" s="12">
        <f>IF('Données projet'!$A$88&gt;35,BD9+BC10-BL9,IF(A10&lt;'Données projet'!$A$88,$BA$205^A10,IF(A10='Données projet'!$A$88,'Données projet'!$B$88,BD9+BC10-BL9)))</f>
        <v>7.8546623499408135</v>
      </c>
      <c r="BE10" s="13">
        <f>BD10*VLOOKUP('Données projet'!$B$11,Paramètres!$A$1:$I$89,3,0)*VLOOKUP('Données projet'!$B$11,Paramètres!$A$1:$I$89,5,0)</f>
        <v>6.2491693656129108</v>
      </c>
      <c r="BF10" s="13">
        <f t="shared" si="37"/>
        <v>2.326701366112224</v>
      </c>
      <c r="BG10" s="20">
        <f t="shared" si="7"/>
        <v>14.936308191087944</v>
      </c>
      <c r="BH10" s="59">
        <f t="shared" si="8"/>
        <v>308.26964152442127</v>
      </c>
      <c r="BI10" s="59">
        <f ca="1">AVERAGE(OFFSET($BH$3,0,0,'Données projet'!$E$11+1,1))-AVERAGE(OFFSET($H$3,0,0,'Données projet'!$E$11+1,1))</f>
        <v>325.72928944930294</v>
      </c>
      <c r="BJ10" s="59">
        <f t="shared" si="38"/>
        <v>318.38876834819752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15.15</v>
      </c>
      <c r="BY10" s="12">
        <f>IF('Données projet'!$A$114&gt;35,BY9+BX10-CG9,IF(A10&lt;'Données projet'!$A$114,$BV$205^A10,IF(A10='Données projet'!$A$114,'Données projet'!$B$114,BY9+BX10-CG9)))</f>
        <v>7.3876263213909033</v>
      </c>
      <c r="BZ10" s="13">
        <f>BY10*VLOOKUP('Données projet'!$B$12,Paramètres!$A$1:$I$89,3,0)*VLOOKUP('Données projet'!$B$12,Paramètres!$A$1:$I$89,5,0)</f>
        <v>4.1296831136575154</v>
      </c>
      <c r="CA10" s="13">
        <f t="shared" si="39"/>
        <v>1.6135264372417262</v>
      </c>
      <c r="CB10" s="20">
        <f t="shared" si="10"/>
        <v>10.002756634482845</v>
      </c>
      <c r="CC10" s="59">
        <f t="shared" si="11"/>
        <v>303.33608996781618</v>
      </c>
      <c r="CD10" s="59">
        <f ca="1">AVERAGE(OFFSET($CC$3,0,0,'Données projet'!$E$12+1,1))-AVERAGE(OFFSET($H$3,0,0,'Données projet'!$E$12+1,1))</f>
        <v>475.54809021014017</v>
      </c>
      <c r="CE10" s="59">
        <f t="shared" si="40"/>
        <v>593.51433014569966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7.9</v>
      </c>
      <c r="CT10" s="12">
        <f>IF('Données projet'!$A$140&gt;35,CT9+CS10-DB9,IF(A10&lt;'Données projet'!$A$140,$CQ$205^A10,IF(A10='Données projet'!$A$140,'Données projet'!$B$140,CT9+CS10-DB9)))</f>
        <v>5.8820671812210037</v>
      </c>
      <c r="CU10" s="17">
        <f>CT10*VLOOKUP('Données projet'!$B$13,Paramètres!$A$1:$I$89,3,0)*VLOOKUP('Données projet'!$B$13,Paramètres!$A$1:$I$89,5,0)</f>
        <v>2.7528074408114294</v>
      </c>
      <c r="CV10" s="13">
        <f t="shared" si="41"/>
        <v>1.1275556652411438</v>
      </c>
      <c r="CW10" s="20">
        <f t="shared" si="13"/>
        <v>6.7582990763748976</v>
      </c>
      <c r="CX10" s="59">
        <f t="shared" si="14"/>
        <v>300.09163240970821</v>
      </c>
      <c r="CY10" s="59">
        <f ca="1">AVERAGE(OFFSET($CX$3,0,0,'Données projet'!$E$13+1,1))-AVERAGE(OFFSET($H$3,0,0,'Données projet'!$E$13+1,1))</f>
        <v>226.0452828290525</v>
      </c>
      <c r="CZ10" s="59">
        <f t="shared" si="42"/>
        <v>179.89696397462069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3.8333333333333335</v>
      </c>
      <c r="DO10" s="12">
        <f>IF('Données projet'!$A$166&gt;35,DO9+DN10-DW9,IF(A10&lt;'Données projet'!$A$166,$DL$205^A10,IF(A10='Données projet'!$A$166,'Données projet'!$B$166,DO9+DN10-DW9)))</f>
        <v>9.3312982020644135</v>
      </c>
      <c r="DP10" s="17">
        <f>DO10*VLOOKUP('Données projet'!$B$14,Paramètres!$A$1:$I$89,3,0)*VLOOKUP('Données projet'!$B$14,Paramètres!$A$1:$I$89,5,0)</f>
        <v>5.5801163248345196</v>
      </c>
      <c r="DQ10" s="13">
        <f t="shared" si="43"/>
        <v>2.1051645241317321</v>
      </c>
      <c r="DR10" s="20">
        <f t="shared" si="16"/>
        <v>13.38519747861622</v>
      </c>
      <c r="DS10" s="59">
        <f t="shared" si="17"/>
        <v>306.71853081194956</v>
      </c>
      <c r="DT10" s="59">
        <f ca="1">AVERAGE(OFFSET($DS$3,0,0,'Données projet'!$E$14+1,1))-AVERAGE(OFFSET($H$3,0,0,'Données projet'!$E$14+1,1))</f>
        <v>252.81045065813976</v>
      </c>
      <c r="DU10" s="59">
        <f t="shared" si="44"/>
        <v>254.36590349790589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1.9</v>
      </c>
      <c r="EJ10" s="12">
        <f>IF('Données projet'!$A$192&gt;35,EJ9+EI10-ER9,IF(A10&lt;'Données projet'!$A$192,$EG$205^A10,IF(A10='Données projet'!$A$192,'Données projet'!$B$192,EJ9+EI10-ER9)))</f>
        <v>7.8546623499408135</v>
      </c>
      <c r="EK10" s="17">
        <f>EJ10*VLOOKUP('Données projet'!$B$15,Paramètres!$A$1:$I$89,3,0)*VLOOKUP('Données projet'!$B$15,Paramètres!$A$1:$I$89,5,0)</f>
        <v>5.7590384349766044</v>
      </c>
      <c r="EL10" s="13">
        <f t="shared" si="45"/>
        <v>2.1646979432521807</v>
      </c>
      <c r="EM10" s="20">
        <f t="shared" si="19"/>
        <v>13.800507525415135</v>
      </c>
      <c r="EN10" s="59">
        <f t="shared" si="20"/>
        <v>307.13384085874844</v>
      </c>
      <c r="EO10" s="59">
        <f ca="1">AVERAGE(OFFSET($EN$3,0,0,'Données projet'!$E$15+1,1))-AVERAGE(OFFSET($H$3,0,0,'Données projet'!$E$15+1,1))</f>
        <v>296.91321813251051</v>
      </c>
      <c r="EP10" s="59">
        <f t="shared" si="46"/>
        <v>291.0718079639509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3.65</v>
      </c>
      <c r="FE10" s="12">
        <f>IF('Données projet'!$A$218&gt;35,FE9+FD10-FM9,IF(A10&lt;'Données projet'!$A$218,$FB$205^A10,IF(A10='Données projet'!$A$218,'Données projet'!$B$218,FE9+FD10-FM9)))</f>
        <v>4.4891384635544309</v>
      </c>
      <c r="FF10" s="17">
        <f>FE10*VLOOKUP('Données projet'!$B$16,Paramètres!$A$1:$I$89,3,0)*VLOOKUP('Données projet'!$B$16,Paramètres!$A$1:$I$89,5,0)</f>
        <v>4.5519864020441929</v>
      </c>
      <c r="FG10" s="13">
        <f t="shared" si="47"/>
        <v>1.7584840343783612</v>
      </c>
      <c r="FH10" s="20">
        <f t="shared" si="22"/>
        <v>10.990736010102614</v>
      </c>
      <c r="FI10" s="59">
        <f t="shared" si="23"/>
        <v>304.32406934343595</v>
      </c>
      <c r="FJ10" s="59">
        <f ca="1">AVERAGE(OFFSET($FI$3,0,0,'Données projet'!$E$16+1,1))-AVERAGE(OFFSET($H$3,0,0,'Données projet'!$E$16+1,1))</f>
        <v>356.65981389369125</v>
      </c>
      <c r="FK10" s="59">
        <f t="shared" si="48"/>
        <v>231.92898690465887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3.65</v>
      </c>
      <c r="FZ10" s="12">
        <f>IF('Données projet'!$A$244&gt;35,FZ9+FY10-GH9,IF(A10&lt;'Données projet'!$A$244,$FW$205^A10,IF(A10='Données projet'!$A$244,'Données projet'!$B$244,FZ9+FY10-GH9)))</f>
        <v>4.4891384635544309</v>
      </c>
      <c r="GA10" s="17">
        <f>FZ10*VLOOKUP('Données projet'!$B$17,Paramètres!$A$1:$I$89,3,0)*VLOOKUP('Données projet'!$B$17,Paramètres!$A$1:$I$89,5,0)</f>
        <v>4.3418947219498456</v>
      </c>
      <c r="GB10" s="13">
        <f t="shared" si="49"/>
        <v>1.6865743243491664</v>
      </c>
      <c r="GC10" s="20">
        <f t="shared" si="25"/>
        <v>10.499583588970779</v>
      </c>
      <c r="GD10" s="59">
        <f t="shared" si="26"/>
        <v>303.83291692230409</v>
      </c>
      <c r="GE10" s="59">
        <f ca="1">AVERAGE(OFFSET($GD$3,0,0,'Données projet'!$E$17+1,1))-AVERAGE(OFFSET($H$3,0,0,'Données projet'!$E$17+1,1))</f>
        <v>337.76140497227715</v>
      </c>
      <c r="GF10" s="59">
        <f t="shared" si="50"/>
        <v>219.76562717496353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305.44758777557922</v>
      </c>
      <c r="S11" s="59">
        <f ca="1">AVERAGE(OFFSET($R$3,0,0,'Données projet'!$E$9+1,1))-AVERAGE(OFFSET($H$3,0,0,'Données projet'!$E$9+1,1))</f>
        <v>312.53389584272878</v>
      </c>
      <c r="T11" s="59">
        <f t="shared" si="34"/>
        <v>203.5274665601915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7.1333333333333337</v>
      </c>
      <c r="AI11" s="13">
        <f>IF('Données projet'!$A$62&gt;35,AI10+AH11-AQ10,IF(A11&lt;'Données projet'!$A$62,$AF$205^A11,IF(A11='Données projet'!$A$62,'Données projet'!$B$62,AI10+AH11-AQ10)))</f>
        <v>12.087542519068045</v>
      </c>
      <c r="AJ11" s="13">
        <f>AI11*VLOOKUP('Données projet'!$B$10,Paramètres!$A$1:$I$89,3,0)*VLOOKUP('Données projet'!$B$10,Paramètres!$A$1:$I$89,5,0)</f>
        <v>10.559677144657845</v>
      </c>
      <c r="AK11" s="13">
        <f t="shared" si="35"/>
        <v>3.6987056480557761</v>
      </c>
      <c r="AL11" s="20">
        <f t="shared" si="4"/>
        <v>24.83335003064289</v>
      </c>
      <c r="AM11" s="59">
        <f t="shared" si="5"/>
        <v>318.16668336397618</v>
      </c>
      <c r="AN11" s="59">
        <f ca="1">AVERAGE(OFFSET($AM$3,0,0,'Données projet'!$E$10+1,1))-AVERAGE(OFFSET($H$3,0,0,'Données projet'!$E$10+1,1))</f>
        <v>243.05628303465238</v>
      </c>
      <c r="AO11" s="59">
        <f t="shared" si="36"/>
        <v>352.47096767658394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1.9</v>
      </c>
      <c r="BD11" s="12">
        <f>IF('Données projet'!$A$88&gt;35,BD10+BC11-BL10,IF(A11&lt;'Données projet'!$A$88,$BA$205^A11,IF(A11='Données projet'!$A$88,'Données projet'!$B$88,BD10+BC11-BL10)))</f>
        <v>10.543938903738736</v>
      </c>
      <c r="BE11" s="13">
        <f>BD11*VLOOKUP('Données projet'!$B$11,Paramètres!$A$1:$I$89,3,0)*VLOOKUP('Données projet'!$B$11,Paramètres!$A$1:$I$89,5,0)</f>
        <v>8.3887577918145393</v>
      </c>
      <c r="BF11" s="13">
        <f t="shared" si="37"/>
        <v>3.0180839306915423</v>
      </c>
      <c r="BG11" s="20">
        <f t="shared" si="7"/>
        <v>19.866916000031427</v>
      </c>
      <c r="BH11" s="59">
        <f t="shared" si="8"/>
        <v>313.20024933336475</v>
      </c>
      <c r="BI11" s="59">
        <f ca="1">AVERAGE(OFFSET($BH$3,0,0,'Données projet'!$E$11+1,1))-AVERAGE(OFFSET($H$3,0,0,'Données projet'!$E$11+1,1))</f>
        <v>325.72928944930294</v>
      </c>
      <c r="BJ11" s="59">
        <f t="shared" si="38"/>
        <v>318.38876834819752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15.15</v>
      </c>
      <c r="BY11" s="12">
        <f>IF('Données projet'!$A$114&gt;35,BY10+BX11-CG10,IF(A11&lt;'Données projet'!$A$114,$BV$205^A11,IF(A11='Données projet'!$A$114,'Données projet'!$B$114,BY10+BX11-CG10)))</f>
        <v>9.8305326829115192</v>
      </c>
      <c r="BZ11" s="13">
        <f>BY11*VLOOKUP('Données projet'!$B$12,Paramètres!$A$1:$I$89,3,0)*VLOOKUP('Données projet'!$B$12,Paramètres!$A$1:$I$89,5,0)</f>
        <v>5.4952677697475387</v>
      </c>
      <c r="CA11" s="13">
        <f t="shared" si="39"/>
        <v>2.0768552129246873</v>
      </c>
      <c r="CB11" s="20">
        <f t="shared" si="10"/>
        <v>13.188114194820793</v>
      </c>
      <c r="CC11" s="59">
        <f t="shared" si="11"/>
        <v>306.52144752815411</v>
      </c>
      <c r="CD11" s="59">
        <f ca="1">AVERAGE(OFFSET($CC$3,0,0,'Données projet'!$E$12+1,1))-AVERAGE(OFFSET($H$3,0,0,'Données projet'!$E$12+1,1))</f>
        <v>475.54809021014017</v>
      </c>
      <c r="CE11" s="59">
        <f t="shared" si="40"/>
        <v>593.51433014569966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7.9</v>
      </c>
      <c r="CT11" s="12">
        <f>IF('Données projet'!$A$140&gt;35,CT10+CS11-DB10,IF(A11&lt;'Données projet'!$A$140,$CQ$205^A11,IF(A11='Données projet'!$A$140,'Données projet'!$B$140,CT10+CS11-DB10)))</f>
        <v>7.5763989424129567</v>
      </c>
      <c r="CU11" s="17">
        <f>CT11*VLOOKUP('Données projet'!$B$13,Paramètres!$A$1:$I$89,3,0)*VLOOKUP('Données projet'!$B$13,Paramètres!$A$1:$I$89,5,0)</f>
        <v>3.5457547050492639</v>
      </c>
      <c r="CV11" s="13">
        <f t="shared" si="41"/>
        <v>1.4101803587787649</v>
      </c>
      <c r="CW11" s="20">
        <f t="shared" si="13"/>
        <v>8.631586902833817</v>
      </c>
      <c r="CX11" s="59">
        <f t="shared" si="14"/>
        <v>301.96492023616713</v>
      </c>
      <c r="CY11" s="59">
        <f ca="1">AVERAGE(OFFSET($CX$3,0,0,'Données projet'!$E$13+1,1))-AVERAGE(OFFSET($H$3,0,0,'Données projet'!$E$13+1,1))</f>
        <v>226.0452828290525</v>
      </c>
      <c r="CZ11" s="59">
        <f t="shared" si="42"/>
        <v>179.89696397462069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3.8333333333333335</v>
      </c>
      <c r="DO11" s="12">
        <f>IF('Données projet'!$A$166&gt;35,DO10+DN11-DW10,IF(A11&lt;'Données projet'!$A$166,$DL$205^A11,IF(A11='Données projet'!$A$166,'Données projet'!$B$166,DO10+DN11-DW10)))</f>
        <v>12.838232045991907</v>
      </c>
      <c r="DP11" s="17">
        <f>DO11*VLOOKUP('Données projet'!$B$14,Paramètres!$A$1:$I$89,3,0)*VLOOKUP('Données projet'!$B$14,Paramètres!$A$1:$I$89,5,0)</f>
        <v>7.6772627635031609</v>
      </c>
      <c r="DQ11" s="13">
        <f t="shared" si="43"/>
        <v>2.7907468577883434</v>
      </c>
      <c r="DR11" s="20">
        <f t="shared" si="16"/>
        <v>18.23178342374937</v>
      </c>
      <c r="DS11" s="59">
        <f t="shared" si="17"/>
        <v>311.56511675708271</v>
      </c>
      <c r="DT11" s="59">
        <f ca="1">AVERAGE(OFFSET($DS$3,0,0,'Données projet'!$E$14+1,1))-AVERAGE(OFFSET($H$3,0,0,'Données projet'!$E$14+1,1))</f>
        <v>252.81045065813976</v>
      </c>
      <c r="DU11" s="59">
        <f t="shared" si="44"/>
        <v>254.36590349790589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1.9</v>
      </c>
      <c r="EJ11" s="12">
        <f>IF('Données projet'!$A$192&gt;35,EJ10+EI11-ER10,IF(A11&lt;'Données projet'!$A$192,$EG$205^A11,IF(A11='Données projet'!$A$192,'Données projet'!$B$192,EJ10+EI11-ER10)))</f>
        <v>10.543938903738736</v>
      </c>
      <c r="EK11" s="17">
        <f>EJ11*VLOOKUP('Données projet'!$B$15,Paramètres!$A$1:$I$89,3,0)*VLOOKUP('Données projet'!$B$15,Paramètres!$A$1:$I$89,5,0)</f>
        <v>7.730816004221241</v>
      </c>
      <c r="EL11" s="13">
        <f t="shared" si="45"/>
        <v>2.8079409641844508</v>
      </c>
      <c r="EM11" s="20">
        <f t="shared" si="19"/>
        <v>18.355001719973249</v>
      </c>
      <c r="EN11" s="59">
        <f t="shared" si="20"/>
        <v>311.68833505330656</v>
      </c>
      <c r="EO11" s="59">
        <f ca="1">AVERAGE(OFFSET($EN$3,0,0,'Données projet'!$E$15+1,1))-AVERAGE(OFFSET($H$3,0,0,'Données projet'!$E$15+1,1))</f>
        <v>296.91321813251051</v>
      </c>
      <c r="EP11" s="59">
        <f t="shared" si="46"/>
        <v>291.0718079639509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3.65</v>
      </c>
      <c r="FE11" s="12">
        <f>IF('Données projet'!$A$218&gt;35,FE10+FD11-FM10,IF(A11&lt;'Données projet'!$A$218,$FB$205^A11,IF(A11='Données projet'!$A$218,'Données projet'!$B$218,FE10+FD11-FM10)))</f>
        <v>5.563257268920875</v>
      </c>
      <c r="FF11" s="17">
        <f>FE11*VLOOKUP('Données projet'!$B$16,Paramètres!$A$1:$I$89,3,0)*VLOOKUP('Données projet'!$B$16,Paramètres!$A$1:$I$89,5,0)</f>
        <v>5.6411428706857674</v>
      </c>
      <c r="FG11" s="13">
        <f t="shared" si="47"/>
        <v>2.125494735292019</v>
      </c>
      <c r="FH11" s="20">
        <f t="shared" si="22"/>
        <v>13.526893830411311</v>
      </c>
      <c r="FI11" s="59">
        <f t="shared" si="23"/>
        <v>306.86022716374464</v>
      </c>
      <c r="FJ11" s="59">
        <f ca="1">AVERAGE(OFFSET($FI$3,0,0,'Données projet'!$E$16+1,1))-AVERAGE(OFFSET($H$3,0,0,'Données projet'!$E$16+1,1))</f>
        <v>356.65981389369125</v>
      </c>
      <c r="FK11" s="59">
        <f t="shared" si="48"/>
        <v>231.92898690465887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3.65</v>
      </c>
      <c r="FZ11" s="12">
        <f>IF('Données projet'!$A$244&gt;35,FZ10+FY11-GH10,IF(A11&lt;'Données projet'!$A$244,$FW$205^A11,IF(A11='Données projet'!$A$244,'Données projet'!$B$244,FZ10+FY11-GH10)))</f>
        <v>5.563257268920875</v>
      </c>
      <c r="GA11" s="17">
        <f>FZ11*VLOOKUP('Données projet'!$B$17,Paramètres!$A$1:$I$89,3,0)*VLOOKUP('Données projet'!$B$17,Paramètres!$A$1:$I$89,5,0)</f>
        <v>5.3807824305002701</v>
      </c>
      <c r="GB11" s="13">
        <f t="shared" si="49"/>
        <v>2.0385768519929188</v>
      </c>
      <c r="GC11" s="20">
        <f t="shared" si="25"/>
        <v>12.922050750342303</v>
      </c>
      <c r="GD11" s="59">
        <f t="shared" si="26"/>
        <v>306.25538408367561</v>
      </c>
      <c r="GE11" s="59">
        <f ca="1">AVERAGE(OFFSET($GD$3,0,0,'Données projet'!$E$17+1,1))-AVERAGE(OFFSET($H$3,0,0,'Données projet'!$E$17+1,1))</f>
        <v>337.76140497227715</v>
      </c>
      <c r="GF11" s="59">
        <f t="shared" si="50"/>
        <v>219.76562717496353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308.24387113376753</v>
      </c>
      <c r="S12" s="59">
        <f ca="1">AVERAGE(OFFSET($R$3,0,0,'Données projet'!$E$9+1,1))-AVERAGE(OFFSET($H$3,0,0,'Données projet'!$E$9+1,1))</f>
        <v>312.53389584272878</v>
      </c>
      <c r="T12" s="59">
        <f t="shared" si="34"/>
        <v>203.5274665601915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7.1333333333333337</v>
      </c>
      <c r="AI12" s="13">
        <f>IF('Données projet'!$A$62&gt;35,AI11+AH12-AQ11,IF(A12&lt;'Données projet'!$A$62,$AF$205^A12,IF(A12='Données projet'!$A$62,'Données projet'!$B$62,AI11+AH12-AQ11)))</f>
        <v>16.505560112818404</v>
      </c>
      <c r="AJ12" s="13">
        <f>AI12*VLOOKUP('Données projet'!$B$10,Paramètres!$A$1:$I$89,3,0)*VLOOKUP('Données projet'!$B$10,Paramètres!$A$1:$I$89,5,0)</f>
        <v>14.419257314558161</v>
      </c>
      <c r="AK12" s="13">
        <f t="shared" si="35"/>
        <v>4.870729420129039</v>
      </c>
      <c r="AL12" s="20">
        <f t="shared" si="4"/>
        <v>33.596726896246878</v>
      </c>
      <c r="AM12" s="59">
        <f t="shared" si="5"/>
        <v>326.93006022958019</v>
      </c>
      <c r="AN12" s="59">
        <f ca="1">AVERAGE(OFFSET($AM$3,0,0,'Données projet'!$E$10+1,1))-AVERAGE(OFFSET($H$3,0,0,'Données projet'!$E$10+1,1))</f>
        <v>243.05628303465238</v>
      </c>
      <c r="AO12" s="59">
        <f t="shared" si="36"/>
        <v>352.47096767658394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1.9</v>
      </c>
      <c r="BD12" s="12">
        <f>IF('Données projet'!$A$88&gt;35,BD11+BC12-BL11,IF(A12&lt;'Données projet'!$A$88,$BA$205^A12,IF(A12='Données projet'!$A$88,'Données projet'!$B$88,BD11+BC12-BL11)))</f>
        <v>14.153969025366564</v>
      </c>
      <c r="BE12" s="13">
        <f>BD12*VLOOKUP('Données projet'!$B$11,Paramètres!$A$1:$I$89,3,0)*VLOOKUP('Données projet'!$B$11,Paramètres!$A$1:$I$89,5,0)</f>
        <v>11.260897756581638</v>
      </c>
      <c r="BF12" s="13">
        <f t="shared" si="37"/>
        <v>3.9149117911590028</v>
      </c>
      <c r="BG12" s="20">
        <f t="shared" si="7"/>
        <v>26.431201628981615</v>
      </c>
      <c r="BH12" s="59">
        <f t="shared" si="8"/>
        <v>319.76453496231494</v>
      </c>
      <c r="BI12" s="59">
        <f ca="1">AVERAGE(OFFSET($BH$3,0,0,'Données projet'!$E$11+1,1))-AVERAGE(OFFSET($H$3,0,0,'Données projet'!$E$11+1,1))</f>
        <v>325.72928944930294</v>
      </c>
      <c r="BJ12" s="59">
        <f t="shared" si="38"/>
        <v>318.38876834819752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15.15</v>
      </c>
      <c r="BY12" s="12">
        <f>IF('Données projet'!$A$114&gt;35,BY11+BX12-CG11,IF(A12&lt;'Données projet'!$A$114,$BV$205^A12,IF(A12='Données projet'!$A$114,'Données projet'!$B$114,BY11+BX12-CG11)))</f>
        <v>13.081248106712142</v>
      </c>
      <c r="BZ12" s="13">
        <f>BY12*VLOOKUP('Données projet'!$B$12,Paramètres!$A$1:$I$89,3,0)*VLOOKUP('Données projet'!$B$12,Paramètres!$A$1:$I$89,5,0)</f>
        <v>7.3124176916520867</v>
      </c>
      <c r="CA12" s="13">
        <f t="shared" si="39"/>
        <v>2.6732301844560715</v>
      </c>
      <c r="CB12" s="20">
        <f t="shared" si="10"/>
        <v>17.391670050888376</v>
      </c>
      <c r="CC12" s="59">
        <f t="shared" si="11"/>
        <v>310.72500338422168</v>
      </c>
      <c r="CD12" s="59">
        <f ca="1">AVERAGE(OFFSET($CC$3,0,0,'Données projet'!$E$12+1,1))-AVERAGE(OFFSET($H$3,0,0,'Données projet'!$E$12+1,1))</f>
        <v>475.54809021014017</v>
      </c>
      <c r="CE12" s="59">
        <f t="shared" si="40"/>
        <v>593.51433014569966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7.9</v>
      </c>
      <c r="CT12" s="12">
        <f>IF('Données projet'!$A$140&gt;35,CT11+CS12-DB11,IF(A12&lt;'Données projet'!$A$140,$CQ$205^A12,IF(A12='Données projet'!$A$140,'Données projet'!$B$140,CT11+CS12-DB11)))</f>
        <v>9.7587836327093171</v>
      </c>
      <c r="CU12" s="17">
        <f>CT12*VLOOKUP('Données projet'!$B$13,Paramètres!$A$1:$I$89,3,0)*VLOOKUP('Données projet'!$B$13,Paramètres!$A$1:$I$89,5,0)</f>
        <v>4.5671107401079603</v>
      </c>
      <c r="CV12" s="13">
        <f t="shared" si="41"/>
        <v>1.763645650133036</v>
      </c>
      <c r="CW12" s="20">
        <f t="shared" si="13"/>
        <v>11.026067379669733</v>
      </c>
      <c r="CX12" s="59">
        <f t="shared" si="14"/>
        <v>304.35940071300303</v>
      </c>
      <c r="CY12" s="59">
        <f ca="1">AVERAGE(OFFSET($CX$3,0,0,'Données projet'!$E$13+1,1))-AVERAGE(OFFSET($H$3,0,0,'Données projet'!$E$13+1,1))</f>
        <v>226.0452828290525</v>
      </c>
      <c r="CZ12" s="59">
        <f t="shared" si="42"/>
        <v>179.89696397462069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3.8333333333333335</v>
      </c>
      <c r="DO12" s="12">
        <f>IF('Données projet'!$A$166&gt;35,DO11+DN12-DW11,IF(A12&lt;'Données projet'!$A$166,$DL$205^A12,IF(A12='Données projet'!$A$166,'Données projet'!$B$166,DO11+DN12-DW11)))</f>
        <v>17.663158812165008</v>
      </c>
      <c r="DP12" s="17">
        <f>DO12*VLOOKUP('Données projet'!$B$14,Paramètres!$A$1:$I$89,3,0)*VLOOKUP('Données projet'!$B$14,Paramètres!$A$1:$I$89,5,0)</f>
        <v>10.562568969674675</v>
      </c>
      <c r="DQ12" s="13">
        <f t="shared" si="43"/>
        <v>3.6996006416494942</v>
      </c>
      <c r="DR12" s="20">
        <f t="shared" si="16"/>
        <v>24.839945406389592</v>
      </c>
      <c r="DS12" s="59">
        <f t="shared" si="17"/>
        <v>318.17327873972289</v>
      </c>
      <c r="DT12" s="59">
        <f ca="1">AVERAGE(OFFSET($DS$3,0,0,'Données projet'!$E$14+1,1))-AVERAGE(OFFSET($H$3,0,0,'Données projet'!$E$14+1,1))</f>
        <v>252.81045065813976</v>
      </c>
      <c r="DU12" s="59">
        <f t="shared" si="44"/>
        <v>254.36590349790589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1.9</v>
      </c>
      <c r="EJ12" s="12">
        <f>IF('Données projet'!$A$192&gt;35,EJ11+EI12-ER11,IF(A12&lt;'Données projet'!$A$192,$EG$205^A12,IF(A12='Données projet'!$A$192,'Données projet'!$B$192,EJ11+EI12-ER11)))</f>
        <v>14.153969025366564</v>
      </c>
      <c r="EK12" s="17">
        <f>EJ12*VLOOKUP('Données projet'!$B$15,Paramètres!$A$1:$I$89,3,0)*VLOOKUP('Données projet'!$B$15,Paramètres!$A$1:$I$89,5,0)</f>
        <v>10.377690089398765</v>
      </c>
      <c r="EL12" s="13">
        <f t="shared" si="45"/>
        <v>3.6423245482922235</v>
      </c>
      <c r="EM12" s="20">
        <f t="shared" si="19"/>
        <v>24.418192160645134</v>
      </c>
      <c r="EN12" s="59">
        <f t="shared" si="20"/>
        <v>317.75152549397842</v>
      </c>
      <c r="EO12" s="59">
        <f ca="1">AVERAGE(OFFSET($EN$3,0,0,'Données projet'!$E$15+1,1))-AVERAGE(OFFSET($H$3,0,0,'Données projet'!$E$15+1,1))</f>
        <v>296.91321813251051</v>
      </c>
      <c r="EP12" s="59">
        <f t="shared" si="46"/>
        <v>291.0718079639509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3.65</v>
      </c>
      <c r="FE12" s="12">
        <f>IF('Données projet'!$A$218&gt;35,FE11+FD12-FM11,IF(A12&lt;'Données projet'!$A$218,$FB$205^A12,IF(A12='Données projet'!$A$218,'Données projet'!$B$218,FE11+FD12-FM11)))</f>
        <v>6.8943811137639424</v>
      </c>
      <c r="FF12" s="17">
        <f>FE12*VLOOKUP('Données projet'!$B$16,Paramètres!$A$1:$I$89,3,0)*VLOOKUP('Données projet'!$B$16,Paramètres!$A$1:$I$89,5,0)</f>
        <v>6.9909024493566383</v>
      </c>
      <c r="FG12" s="13">
        <f t="shared" si="47"/>
        <v>2.5691037174250742</v>
      </c>
      <c r="FH12" s="20">
        <f t="shared" si="22"/>
        <v>16.650344073811482</v>
      </c>
      <c r="FI12" s="59">
        <f t="shared" si="23"/>
        <v>309.9836774071448</v>
      </c>
      <c r="FJ12" s="59">
        <f ca="1">AVERAGE(OFFSET($FI$3,0,0,'Données projet'!$E$16+1,1))-AVERAGE(OFFSET($H$3,0,0,'Données projet'!$E$16+1,1))</f>
        <v>356.65981389369125</v>
      </c>
      <c r="FK12" s="59">
        <f t="shared" si="48"/>
        <v>231.92898690465887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3.65</v>
      </c>
      <c r="FZ12" s="12">
        <f>IF('Données projet'!$A$244&gt;35,FZ11+FY12-GH11,IF(A12&lt;'Données projet'!$A$244,$FW$205^A12,IF(A12='Données projet'!$A$244,'Données projet'!$B$244,FZ11+FY12-GH11)))</f>
        <v>6.8943811137639424</v>
      </c>
      <c r="GA12" s="17">
        <f>FZ12*VLOOKUP('Données projet'!$B$17,Paramètres!$A$1:$I$89,3,0)*VLOOKUP('Données projet'!$B$17,Paramètres!$A$1:$I$89,5,0)</f>
        <v>6.6682454132324853</v>
      </c>
      <c r="GB12" s="13">
        <f t="shared" si="49"/>
        <v>2.4640453263659414</v>
      </c>
      <c r="GC12" s="20">
        <f t="shared" si="25"/>
        <v>15.905406371467258</v>
      </c>
      <c r="GD12" s="59">
        <f t="shared" si="26"/>
        <v>309.23873970480059</v>
      </c>
      <c r="GE12" s="59">
        <f ca="1">AVERAGE(OFFSET($GD$3,0,0,'Données projet'!$E$17+1,1))-AVERAGE(OFFSET($H$3,0,0,'Données projet'!$E$17+1,1))</f>
        <v>337.76140497227715</v>
      </c>
      <c r="GF12" s="59">
        <f t="shared" si="50"/>
        <v>219.76562717496353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311.68787167067455</v>
      </c>
      <c r="S13" s="59">
        <f ca="1">AVERAGE(OFFSET($R$3,0,0,'Données projet'!$E$9+1,1))-AVERAGE(OFFSET($H$3,0,0,'Données projet'!$E$9+1,1))</f>
        <v>312.53389584272878</v>
      </c>
      <c r="T13" s="59">
        <f t="shared" si="34"/>
        <v>203.5274665601915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7.1333333333333337</v>
      </c>
      <c r="AI13" s="13">
        <f>IF('Données projet'!$A$62&gt;35,AI12+AH13-AQ12,IF(A13&lt;'Données projet'!$A$62,$AF$205^A13,IF(A13='Données projet'!$A$62,'Données projet'!$B$62,AI12+AH13-AQ12)))</f>
        <v>22.538370740628146</v>
      </c>
      <c r="AJ13" s="13">
        <f>AI13*VLOOKUP('Données projet'!$B$10,Paramètres!$A$1:$I$89,3,0)*VLOOKUP('Données projet'!$B$10,Paramètres!$A$1:$I$89,5,0)</f>
        <v>19.689520679012752</v>
      </c>
      <c r="AK13" s="13">
        <f t="shared" si="35"/>
        <v>6.414137090520053</v>
      </c>
      <c r="AL13" s="20">
        <f t="shared" si="4"/>
        <v>45.463870615269634</v>
      </c>
      <c r="AM13" s="59">
        <f t="shared" si="5"/>
        <v>338.79720394860294</v>
      </c>
      <c r="AN13" s="59">
        <f ca="1">AVERAGE(OFFSET($AM$3,0,0,'Données projet'!$E$10+1,1))-AVERAGE(OFFSET($H$3,0,0,'Données projet'!$E$10+1,1))</f>
        <v>243.05628303465238</v>
      </c>
      <c r="AO13" s="59">
        <f t="shared" si="36"/>
        <v>352.47096767658394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19</v>
      </c>
      <c r="BB13" s="12">
        <f>VLOOKUP(A13,'Données projet'!$A$87:$I$107,9,0)</f>
        <v>1.9</v>
      </c>
      <c r="BC13" s="12">
        <f t="array" ref="BC13">INDEX(BB:BB,MIN(IF(ISNUMBER(BB13:BB209),ROW(BB13:BB209),"")))</f>
        <v>1.9</v>
      </c>
      <c r="BD13" s="12">
        <f>IF('Données projet'!$A$88&gt;35,BD12+BC13-BL12,IF(A13&lt;'Données projet'!$A$88,$BA$205^A13,IF(A13='Données projet'!$A$88,'Données projet'!$B$88,BD12+BC13-BL12)))</f>
        <v>19</v>
      </c>
      <c r="BE13" s="13">
        <f>BD13*VLOOKUP('Données projet'!$B$11,Paramètres!$A$1:$I$89,3,0)*VLOOKUP('Données projet'!$B$11,Paramètres!$A$1:$I$89,5,0)</f>
        <v>15.116400000000001</v>
      </c>
      <c r="BF13" s="13">
        <f t="shared" si="37"/>
        <v>5.0782333044806913</v>
      </c>
      <c r="BG13" s="20">
        <f t="shared" si="7"/>
        <v>35.172319671970541</v>
      </c>
      <c r="BH13" s="59">
        <f t="shared" si="8"/>
        <v>328.50565300530388</v>
      </c>
      <c r="BI13" s="59">
        <f ca="1">AVERAGE(OFFSET($BH$3,0,0,'Données projet'!$E$11+1,1))-AVERAGE(OFFSET($H$3,0,0,'Données projet'!$E$11+1,1))</f>
        <v>325.72928944930294</v>
      </c>
      <c r="BJ13" s="59">
        <f t="shared" si="38"/>
        <v>318.38876834819752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7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0.159</v>
      </c>
      <c r="BO13" s="16">
        <f>IF(ISNA(VLOOKUP(A13,'Données projet'!$A$87:$I$107,7,0)),0%,VLOOKUP(A13,'Données projet'!$A$87:$I$107,7,0))</f>
        <v>0.7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0.97504282545720555</v>
      </c>
      <c r="BR13" s="21">
        <f>EXP(-LN(2)/2)*BR12+(1-EXP(-LN(2)/2))/(LN(2)/2)*BL13*BO13*VLOOKUP('Données projet'!$B$11,Paramètres!$A$1:$I$89,3,0)*0.475*44/12</f>
        <v>3.6782830649742295</v>
      </c>
      <c r="BS13" s="22">
        <f t="shared" si="9"/>
        <v>4.653325890431435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15.15</v>
      </c>
      <c r="BY13" s="12">
        <f>IF('Données projet'!$A$114&gt;35,BY12+BX13-CG12,IF(A13&lt;'Données projet'!$A$114,$BV$205^A13,IF(A13='Données projet'!$A$114,'Données projet'!$B$114,BY12+BX13-CG12)))</f>
        <v>17.406895185529201</v>
      </c>
      <c r="BZ13" s="13">
        <f>BY13*VLOOKUP('Données projet'!$B$12,Paramètres!$A$1:$I$89,3,0)*VLOOKUP('Données projet'!$B$12,Paramètres!$A$1:$I$89,5,0)</f>
        <v>9.7304544087108251</v>
      </c>
      <c r="CA13" s="13">
        <f t="shared" si="39"/>
        <v>3.4408559511587775</v>
      </c>
      <c r="CB13" s="20">
        <f t="shared" si="10"/>
        <v>22.940032210106224</v>
      </c>
      <c r="CC13" s="59">
        <f t="shared" si="11"/>
        <v>316.27336554343952</v>
      </c>
      <c r="CD13" s="59">
        <f ca="1">AVERAGE(OFFSET($CC$3,0,0,'Données projet'!$E$12+1,1))-AVERAGE(OFFSET($H$3,0,0,'Données projet'!$E$12+1,1))</f>
        <v>475.54809021014017</v>
      </c>
      <c r="CE13" s="59">
        <f t="shared" si="40"/>
        <v>593.51433014569966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7.9</v>
      </c>
      <c r="CT13" s="12">
        <f>IF('Données projet'!$A$140&gt;35,CT12+CS13-DB12,IF(A13&lt;'Données projet'!$A$140,$CQ$205^A13,IF(A13='Données projet'!$A$140,'Données projet'!$B$140,CT12+CS13-DB12)))</f>
        <v>12.569805089976542</v>
      </c>
      <c r="CU13" s="17">
        <f>CT13*VLOOKUP('Données projet'!$B$13,Paramètres!$A$1:$I$89,3,0)*VLOOKUP('Données projet'!$B$13,Paramètres!$A$1:$I$89,5,0)</f>
        <v>5.8826687821090227</v>
      </c>
      <c r="CV13" s="13">
        <f t="shared" si="41"/>
        <v>2.2057079152108381</v>
      </c>
      <c r="CW13" s="20">
        <f t="shared" si="13"/>
        <v>14.087256081165423</v>
      </c>
      <c r="CX13" s="59">
        <f t="shared" si="14"/>
        <v>307.42058941449875</v>
      </c>
      <c r="CY13" s="59">
        <f ca="1">AVERAGE(OFFSET($CX$3,0,0,'Données projet'!$E$13+1,1))-AVERAGE(OFFSET($H$3,0,0,'Données projet'!$E$13+1,1))</f>
        <v>226.0452828290525</v>
      </c>
      <c r="CZ13" s="59">
        <f t="shared" si="42"/>
        <v>179.89696397462069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3.8333333333333335</v>
      </c>
      <c r="DO13" s="12">
        <f>IF('Données projet'!$A$166&gt;35,DO12+DN13-DW12,IF(A13&lt;'Données projet'!$A$166,$DL$205^A13,IF(A13='Données projet'!$A$166,'Données projet'!$B$166,DO12+DN13-DW12)))</f>
        <v>24.301413006564612</v>
      </c>
      <c r="DP13" s="17">
        <f>DO13*VLOOKUP('Données projet'!$B$14,Paramètres!$A$1:$I$89,3,0)*VLOOKUP('Données projet'!$B$14,Paramètres!$A$1:$I$89,5,0)</f>
        <v>14.53224497792564</v>
      </c>
      <c r="DQ13" s="13">
        <f t="shared" si="43"/>
        <v>4.9044379892414502</v>
      </c>
      <c r="DR13" s="20">
        <f t="shared" si="16"/>
        <v>33.852222834482681</v>
      </c>
      <c r="DS13" s="59">
        <f t="shared" si="17"/>
        <v>327.185556167816</v>
      </c>
      <c r="DT13" s="59">
        <f ca="1">AVERAGE(OFFSET($DS$3,0,0,'Données projet'!$E$14+1,1))-AVERAGE(OFFSET($H$3,0,0,'Données projet'!$E$14+1,1))</f>
        <v>252.81045065813976</v>
      </c>
      <c r="DU13" s="59">
        <f t="shared" si="44"/>
        <v>254.36590349790589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>
        <f>VLOOKUP(A13,'Données projet'!$A$191:$I$211,2,0)</f>
        <v>19</v>
      </c>
      <c r="EH13" s="12">
        <f>VLOOKUP(A13,'Données projet'!$A$191:$I$211,9,0)</f>
        <v>1.9</v>
      </c>
      <c r="EI13" s="12">
        <f t="array" ref="EI13">INDEX(EH:EH,MIN(IF(ISNUMBER(EH13:EH209),ROW(EH13:EH209),"")))</f>
        <v>1.9</v>
      </c>
      <c r="EJ13" s="12">
        <f>IF('Données projet'!$A$192&gt;35,EJ12+EI13-ER12,IF(A13&lt;'Données projet'!$A$192,$EG$205^A13,IF(A13='Données projet'!$A$192,'Données projet'!$B$192,EJ12+EI13-ER12)))</f>
        <v>19</v>
      </c>
      <c r="EK13" s="17">
        <f>EJ13*VLOOKUP('Données projet'!$B$15,Paramètres!$A$1:$I$89,3,0)*VLOOKUP('Données projet'!$B$15,Paramètres!$A$1:$I$89,5,0)</f>
        <v>13.9308</v>
      </c>
      <c r="EL13" s="13">
        <f t="shared" si="45"/>
        <v>4.7246463812124082</v>
      </c>
      <c r="EM13" s="20">
        <f t="shared" si="19"/>
        <v>32.491569113944941</v>
      </c>
      <c r="EN13" s="59">
        <f t="shared" si="20"/>
        <v>325.82490244727825</v>
      </c>
      <c r="EO13" s="59">
        <f ca="1">AVERAGE(OFFSET($EN$3,0,0,'Données projet'!$E$15+1,1))-AVERAGE(OFFSET($H$3,0,0,'Données projet'!$E$15+1,1))</f>
        <v>296.91321813251051</v>
      </c>
      <c r="EP13" s="59">
        <f t="shared" si="46"/>
        <v>291.0718079639509</v>
      </c>
      <c r="EQ13" s="15">
        <f>IF(ISNA(VLOOKUP(A13,'Données projet'!$A$191:$I$211,3,0)),0,VLOOKUP(A13,'Données projet'!$A$191:$I$211,3,0))</f>
        <v>1</v>
      </c>
      <c r="ER13" s="15">
        <f>IF(ISNA(VLOOKUP(A13,'Données projet'!$A$191:$I$211,4,0)),0,VLOOKUP(A13,'Données projet'!$A$191:$I$211,4,0))</f>
        <v>7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0.129</v>
      </c>
      <c r="EU13" s="16">
        <f>IF(ISNA(VLOOKUP(A13,'Données projet'!$A$191:$I$211,7,0)),0%,VLOOKUP(A13,'Données projet'!$A$191:$I$211,7,0))</f>
        <v>0.7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0.72902758055827321</v>
      </c>
      <c r="EX13" s="21">
        <f>EXP(-LN(2)/2)*EX12+(1-EXP(-LN(2)/2))/(LN(2)/2)*ER13*EU13*VLOOKUP('Données projet'!$B$15,Paramètres!$A$1:$I$89,3,0)*0.475*44/12</f>
        <v>3.389790275564486</v>
      </c>
      <c r="EY13" s="22">
        <f t="shared" si="21"/>
        <v>4.1188178561227593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3.65</v>
      </c>
      <c r="FE13" s="12">
        <f>IF('Données projet'!$A$218&gt;35,FE12+FD13-FM12,IF(A13&lt;'Données projet'!$A$218,$FB$205^A13,IF(A13='Données projet'!$A$218,'Données projet'!$B$218,FE12+FD13-FM12)))</f>
        <v>8.5440037453175322</v>
      </c>
      <c r="FF13" s="17">
        <f>FE13*VLOOKUP('Données projet'!$B$16,Paramètres!$A$1:$I$89,3,0)*VLOOKUP('Données projet'!$B$16,Paramètres!$A$1:$I$89,5,0)</f>
        <v>8.6636197977519771</v>
      </c>
      <c r="FG13" s="13">
        <f t="shared" si="47"/>
        <v>3.1052976990698267</v>
      </c>
      <c r="FH13" s="20">
        <f t="shared" si="22"/>
        <v>20.497531306964643</v>
      </c>
      <c r="FI13" s="59">
        <f t="shared" si="23"/>
        <v>313.83086464029793</v>
      </c>
      <c r="FJ13" s="59">
        <f ca="1">AVERAGE(OFFSET($FI$3,0,0,'Données projet'!$E$16+1,1))-AVERAGE(OFFSET($H$3,0,0,'Données projet'!$E$16+1,1))</f>
        <v>356.65981389369125</v>
      </c>
      <c r="FK13" s="59">
        <f t="shared" si="48"/>
        <v>231.92898690465887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3.65</v>
      </c>
      <c r="FZ13" s="12">
        <f>IF('Données projet'!$A$244&gt;35,FZ12+FY13-GH12,IF(A13&lt;'Données projet'!$A$244,$FW$205^A13,IF(A13='Données projet'!$A$244,'Données projet'!$B$244,FZ12+FY13-GH12)))</f>
        <v>8.5440037453175322</v>
      </c>
      <c r="GA13" s="17">
        <f>FZ13*VLOOKUP('Données projet'!$B$17,Paramètres!$A$1:$I$89,3,0)*VLOOKUP('Données projet'!$B$17,Paramètres!$A$1:$I$89,5,0)</f>
        <v>8.2637604224711172</v>
      </c>
      <c r="GB13" s="13">
        <f t="shared" si="49"/>
        <v>2.9783127206856603</v>
      </c>
      <c r="GC13" s="20">
        <f t="shared" si="25"/>
        <v>19.579944057664719</v>
      </c>
      <c r="GD13" s="59">
        <f t="shared" si="26"/>
        <v>312.91327739099802</v>
      </c>
      <c r="GE13" s="59">
        <f ca="1">AVERAGE(OFFSET($GD$3,0,0,'Données projet'!$E$17+1,1))-AVERAGE(OFFSET($H$3,0,0,'Données projet'!$E$17+1,1))</f>
        <v>337.76140497227715</v>
      </c>
      <c r="GF13" s="59">
        <f t="shared" si="50"/>
        <v>219.76562717496353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315.93011288122739</v>
      </c>
      <c r="S14" s="59">
        <f ca="1">AVERAGE(OFFSET($R$3,0,0,'Données projet'!$E$9+1,1))-AVERAGE(OFFSET($H$3,0,0,'Données projet'!$E$9+1,1))</f>
        <v>312.53389584272878</v>
      </c>
      <c r="T14" s="59">
        <f t="shared" si="34"/>
        <v>203.5274665601915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7.1333333333333337</v>
      </c>
      <c r="AI14" s="13">
        <f>IF('Données projet'!$A$62&gt;35,AI13+AH14-AQ13,IF(A14&lt;'Données projet'!$A$62,$AF$205^A14,IF(A14='Données projet'!$A$62,'Données projet'!$B$62,AI13+AH14-AQ13)))</f>
        <v>30.776184035554262</v>
      </c>
      <c r="AJ14" s="13">
        <f>AI14*VLOOKUP('Données projet'!$B$10,Paramètres!$A$1:$I$89,3,0)*VLOOKUP('Données projet'!$B$10,Paramètres!$A$1:$I$89,5,0)</f>
        <v>26.886074373460207</v>
      </c>
      <c r="AK14" s="13">
        <f t="shared" si="35"/>
        <v>8.4466105725279856</v>
      </c>
      <c r="AL14" s="20">
        <f t="shared" si="4"/>
        <v>61.537759614262761</v>
      </c>
      <c r="AM14" s="59">
        <f t="shared" si="5"/>
        <v>354.87109294759608</v>
      </c>
      <c r="AN14" s="59">
        <f ca="1">AVERAGE(OFFSET($AM$3,0,0,'Données projet'!$E$10+1,1))-AVERAGE(OFFSET($H$3,0,0,'Données projet'!$E$10+1,1))</f>
        <v>243.05628303465238</v>
      </c>
      <c r="AO14" s="59">
        <f t="shared" si="36"/>
        <v>352.47096767658394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14.6</v>
      </c>
      <c r="BD14" s="12">
        <f>IF('Données projet'!$A$88&gt;35,BD13+BC14-BL13,IF(A14&lt;'Données projet'!$A$88,$BA$205^A14,IF(A14='Données projet'!$A$88,'Données projet'!$B$88,BD13+BC14-BL13)))</f>
        <v>26.6</v>
      </c>
      <c r="BE14" s="13">
        <f>BD14*VLOOKUP('Données projet'!$B$11,Paramètres!$A$1:$I$89,3,0)*VLOOKUP('Données projet'!$B$11,Paramètres!$A$1:$I$89,5,0)</f>
        <v>21.162960000000002</v>
      </c>
      <c r="BF14" s="13">
        <f t="shared" si="37"/>
        <v>6.8364616466980515</v>
      </c>
      <c r="BG14" s="20">
        <f t="shared" si="7"/>
        <v>48.765659367999113</v>
      </c>
      <c r="BH14" s="59">
        <f t="shared" si="8"/>
        <v>342.09899270133241</v>
      </c>
      <c r="BI14" s="59">
        <f ca="1">AVERAGE(OFFSET($BH$3,0,0,'Données projet'!$E$11+1,1))-AVERAGE(OFFSET($H$3,0,0,'Données projet'!$E$11+1,1))</f>
        <v>325.72928944930294</v>
      </c>
      <c r="BJ14" s="59">
        <f t="shared" si="38"/>
        <v>318.38876834819752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0.9483802281198046</v>
      </c>
      <c r="BR14" s="21">
        <f>EXP(-LN(2)/2)*BR13+(1-EXP(-LN(2)/2))/(LN(2)/2)*BL14*BO14*VLOOKUP('Données projet'!$B$11,Paramètres!$A$1:$I$89,3,0)*0.475*44/12</f>
        <v>2.6009388983669162</v>
      </c>
      <c r="BS14" s="22">
        <f t="shared" si="9"/>
        <v>3.5493191264867208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15.15</v>
      </c>
      <c r="BY14" s="12">
        <f>IF('Données projet'!$A$114&gt;35,BY13+BX14-CG13,IF(A14&lt;'Données projet'!$A$114,$BV$205^A14,IF(A14='Données projet'!$A$114,'Données projet'!$B$114,BY13+BX14-CG13)))</f>
        <v>23.162927384927961</v>
      </c>
      <c r="BZ14" s="13">
        <f>BY14*VLOOKUP('Données projet'!$B$12,Paramètres!$A$1:$I$89,3,0)*VLOOKUP('Données projet'!$B$12,Paramètres!$A$1:$I$89,5,0)</f>
        <v>12.94807640817473</v>
      </c>
      <c r="CA14" s="13">
        <f t="shared" si="39"/>
        <v>4.4289076733711168</v>
      </c>
      <c r="CB14" s="20">
        <f t="shared" si="10"/>
        <v>30.264913942025682</v>
      </c>
      <c r="CC14" s="59">
        <f t="shared" si="11"/>
        <v>323.59824727535897</v>
      </c>
      <c r="CD14" s="59">
        <f ca="1">AVERAGE(OFFSET($CC$3,0,0,'Données projet'!$E$12+1,1))-AVERAGE(OFFSET($H$3,0,0,'Données projet'!$E$12+1,1))</f>
        <v>475.54809021014017</v>
      </c>
      <c r="CE14" s="59">
        <f t="shared" si="40"/>
        <v>593.51433014569966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7.9</v>
      </c>
      <c r="CT14" s="12">
        <f>IF('Données projet'!$A$140&gt;35,CT13+CS14-DB13,IF(A14&lt;'Données projet'!$A$140,$CQ$205^A14,IF(A14='Données projet'!$A$140,'Données projet'!$B$140,CT13+CS14-DB13)))</f>
        <v>16.190542381779895</v>
      </c>
      <c r="CU14" s="17">
        <f>CT14*VLOOKUP('Données projet'!$B$13,Paramètres!$A$1:$I$89,3,0)*VLOOKUP('Données projet'!$B$13,Paramètres!$A$1:$I$89,5,0)</f>
        <v>7.5771738346729904</v>
      </c>
      <c r="CV14" s="13">
        <f t="shared" si="41"/>
        <v>2.7585742106736397</v>
      </c>
      <c r="CW14" s="20">
        <f t="shared" si="13"/>
        <v>18.001427845645381</v>
      </c>
      <c r="CX14" s="59">
        <f t="shared" si="14"/>
        <v>311.33476117897868</v>
      </c>
      <c r="CY14" s="59">
        <f ca="1">AVERAGE(OFFSET($CX$3,0,0,'Données projet'!$E$13+1,1))-AVERAGE(OFFSET($H$3,0,0,'Données projet'!$E$13+1,1))</f>
        <v>226.0452828290525</v>
      </c>
      <c r="CZ14" s="59">
        <f t="shared" si="42"/>
        <v>179.89696397462069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3.8333333333333335</v>
      </c>
      <c r="DO14" s="12">
        <f>IF('Données projet'!$A$166&gt;35,DO13+DN14-DW13,IF(A14&lt;'Données projet'!$A$166,$DL$205^A14,IF(A14='Données projet'!$A$166,'Données projet'!$B$166,DO13+DN14-DW13)))</f>
        <v>33.434488156721827</v>
      </c>
      <c r="DP14" s="17">
        <f>DO14*VLOOKUP('Données projet'!$B$14,Paramètres!$A$1:$I$89,3,0)*VLOOKUP('Données projet'!$B$14,Paramètres!$A$1:$I$89,5,0)</f>
        <v>19.993823917719652</v>
      </c>
      <c r="DQ14" s="13">
        <f t="shared" si="43"/>
        <v>6.5016509402458835</v>
      </c>
      <c r="DR14" s="20">
        <f t="shared" si="16"/>
        <v>46.146285377623315</v>
      </c>
      <c r="DS14" s="59">
        <f t="shared" si="17"/>
        <v>339.47961871095663</v>
      </c>
      <c r="DT14" s="59">
        <f ca="1">AVERAGE(OFFSET($DS$3,0,0,'Données projet'!$E$14+1,1))-AVERAGE(OFFSET($H$3,0,0,'Données projet'!$E$14+1,1))</f>
        <v>252.81045065813976</v>
      </c>
      <c r="DU14" s="59">
        <f t="shared" si="44"/>
        <v>254.36590349790589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14.6</v>
      </c>
      <c r="EJ14" s="12">
        <f>IF('Données projet'!$A$192&gt;35,EJ13+EI14-ER13,IF(A14&lt;'Données projet'!$A$192,$EG$205^A14,IF(A14='Données projet'!$A$192,'Données projet'!$B$192,EJ13+EI14-ER13)))</f>
        <v>26.6</v>
      </c>
      <c r="EK14" s="17">
        <f>EJ14*VLOOKUP('Données projet'!$B$15,Paramètres!$A$1:$I$89,3,0)*VLOOKUP('Données projet'!$B$15,Paramètres!$A$1:$I$89,5,0)</f>
        <v>19.503120000000003</v>
      </c>
      <c r="EL14" s="13">
        <f t="shared" si="45"/>
        <v>6.3604529061061674</v>
      </c>
      <c r="EM14" s="20">
        <f t="shared" si="19"/>
        <v>45.045722811468245</v>
      </c>
      <c r="EN14" s="59">
        <f t="shared" si="20"/>
        <v>338.37905614480155</v>
      </c>
      <c r="EO14" s="59">
        <f ca="1">AVERAGE(OFFSET($EN$3,0,0,'Données projet'!$E$15+1,1))-AVERAGE(OFFSET($H$3,0,0,'Données projet'!$E$15+1,1))</f>
        <v>296.91321813251051</v>
      </c>
      <c r="EP14" s="59">
        <f t="shared" si="46"/>
        <v>291.0718079639509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0.70909228303001304</v>
      </c>
      <c r="EX14" s="21">
        <f>EXP(-LN(2)/2)*EX13+(1-EXP(-LN(2)/2))/(LN(2)/2)*ER14*EU14*VLOOKUP('Données projet'!$B$15,Paramètres!$A$1:$I$89,3,0)*0.475*44/12</f>
        <v>2.396943690651864</v>
      </c>
      <c r="EY14" s="22">
        <f t="shared" si="21"/>
        <v>3.1060359736818768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3.65</v>
      </c>
      <c r="FE14" s="12">
        <f>IF('Données projet'!$A$218&gt;35,FE13+FD14-FM13,IF(A14&lt;'Données projet'!$A$218,$FB$205^A14,IF(A14='Données projet'!$A$218,'Données projet'!$B$218,FE13+FD14-FM13)))</f>
        <v>10.588332555950936</v>
      </c>
      <c r="FF14" s="17">
        <f>FE14*VLOOKUP('Données projet'!$B$16,Paramètres!$A$1:$I$89,3,0)*VLOOKUP('Données projet'!$B$16,Paramètres!$A$1:$I$89,5,0)</f>
        <v>10.736569211734251</v>
      </c>
      <c r="FG14" s="13">
        <f t="shared" si="47"/>
        <v>3.7533999637480915</v>
      </c>
      <c r="FH14" s="20">
        <f t="shared" si="22"/>
        <v>25.23669631396508</v>
      </c>
      <c r="FI14" s="59">
        <f t="shared" si="23"/>
        <v>318.57002964729838</v>
      </c>
      <c r="FJ14" s="59">
        <f ca="1">AVERAGE(OFFSET($FI$3,0,0,'Données projet'!$E$16+1,1))-AVERAGE(OFFSET($H$3,0,0,'Données projet'!$E$16+1,1))</f>
        <v>356.65981389369125</v>
      </c>
      <c r="FK14" s="59">
        <f t="shared" si="48"/>
        <v>231.92898690465887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3.65</v>
      </c>
      <c r="FZ14" s="12">
        <f>IF('Données projet'!$A$244&gt;35,FZ13+FY14-GH13,IF(A14&lt;'Données projet'!$A$244,$FW$205^A14,IF(A14='Données projet'!$A$244,'Données projet'!$B$244,FZ13+FY14-GH13)))</f>
        <v>10.588332555950936</v>
      </c>
      <c r="GA14" s="17">
        <f>FZ14*VLOOKUP('Données projet'!$B$17,Paramètres!$A$1:$I$89,3,0)*VLOOKUP('Données projet'!$B$17,Paramètres!$A$1:$I$89,5,0)</f>
        <v>10.241035248115747</v>
      </c>
      <c r="GB14" s="13">
        <f t="shared" si="49"/>
        <v>3.5999121311945652</v>
      </c>
      <c r="GC14" s="20">
        <f t="shared" si="25"/>
        <v>24.106316685632123</v>
      </c>
      <c r="GD14" s="59">
        <f t="shared" si="26"/>
        <v>317.43965001896544</v>
      </c>
      <c r="GE14" s="59">
        <f ca="1">AVERAGE(OFFSET($GD$3,0,0,'Données projet'!$E$17+1,1))-AVERAGE(OFFSET($H$3,0,0,'Données projet'!$E$17+1,1))</f>
        <v>337.76140497227715</v>
      </c>
      <c r="GF14" s="59">
        <f t="shared" si="50"/>
        <v>219.76562717496353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321.15620406350808</v>
      </c>
      <c r="S15" s="59">
        <f ca="1">AVERAGE(OFFSET($R$3,0,0,'Données projet'!$E$9+1,1))-AVERAGE(OFFSET($H$3,0,0,'Données projet'!$E$9+1,1))</f>
        <v>312.53389584272878</v>
      </c>
      <c r="T15" s="59">
        <f t="shared" si="34"/>
        <v>203.5274665601915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7.1333333333333337</v>
      </c>
      <c r="AI15" s="13">
        <f>IF('Données projet'!$A$62&gt;35,AI14+AH15-AQ14,IF(A15&lt;'Données projet'!$A$62,$AF$205^A15,IF(A15='Données projet'!$A$62,'Données projet'!$B$62,AI14+AH15-AQ14)))</f>
        <v>42.024932267304926</v>
      </c>
      <c r="AJ15" s="13">
        <f>AI15*VLOOKUP('Données projet'!$B$10,Paramètres!$A$1:$I$89,3,0)*VLOOKUP('Données projet'!$B$10,Paramètres!$A$1:$I$89,5,0)</f>
        <v>36.71298082871759</v>
      </c>
      <c r="AK15" s="13">
        <f t="shared" si="35"/>
        <v>11.123122121818724</v>
      </c>
      <c r="AL15" s="20">
        <f t="shared" si="4"/>
        <v>83.314545972184078</v>
      </c>
      <c r="AM15" s="59">
        <f t="shared" si="5"/>
        <v>376.64787930551739</v>
      </c>
      <c r="AN15" s="59">
        <f ca="1">AVERAGE(OFFSET($AM$3,0,0,'Données projet'!$E$10+1,1))-AVERAGE(OFFSET($H$3,0,0,'Données projet'!$E$10+1,1))</f>
        <v>243.05628303465238</v>
      </c>
      <c r="AO15" s="59">
        <f t="shared" si="36"/>
        <v>352.47096767658394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14.6</v>
      </c>
      <c r="BD15" s="12">
        <f>IF('Données projet'!$A$88&gt;35,BD14+BC15-BL14,IF(A15&lt;'Données projet'!$A$88,$BA$205^A15,IF(A15='Données projet'!$A$88,'Données projet'!$B$88,BD14+BC15-BL14)))</f>
        <v>41.2</v>
      </c>
      <c r="BE15" s="13">
        <f>BD15*VLOOKUP('Données projet'!$B$11,Paramètres!$A$1:$I$89,3,0)*VLOOKUP('Données projet'!$B$11,Paramètres!$A$1:$I$89,5,0)</f>
        <v>32.77872</v>
      </c>
      <c r="BF15" s="13">
        <f t="shared" si="37"/>
        <v>10.063038810723747</v>
      </c>
      <c r="BG15" s="20">
        <f t="shared" si="7"/>
        <v>74.616063262010528</v>
      </c>
      <c r="BH15" s="59">
        <f t="shared" si="8"/>
        <v>367.94939659534384</v>
      </c>
      <c r="BI15" s="59">
        <f ca="1">AVERAGE(OFFSET($BH$3,0,0,'Données projet'!$E$11+1,1))-AVERAGE(OFFSET($H$3,0,0,'Données projet'!$E$11+1,1))</f>
        <v>325.72928944930294</v>
      </c>
      <c r="BJ15" s="59">
        <f t="shared" si="38"/>
        <v>318.38876834819752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0.92244672090871993</v>
      </c>
      <c r="BR15" s="21">
        <f>EXP(-LN(2)/2)*BR14+(1-EXP(-LN(2)/2))/(LN(2)/2)*BL15*BO15*VLOOKUP('Données projet'!$B$11,Paramètres!$A$1:$I$89,3,0)*0.475*44/12</f>
        <v>1.839141532487115</v>
      </c>
      <c r="BS15" s="22">
        <f t="shared" si="9"/>
        <v>2.7615882533958347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15.15</v>
      </c>
      <c r="BY15" s="12">
        <f>IF('Données projet'!$A$114&gt;35,BY14+BX15-CG14,IF(A15&lt;'Données projet'!$A$114,$BV$205^A15,IF(A15='Données projet'!$A$114,'Données projet'!$B$114,BY14+BX15-CG14)))</f>
        <v>30.822337890876113</v>
      </c>
      <c r="BZ15" s="13">
        <f>BY15*VLOOKUP('Données projet'!$B$12,Paramètres!$A$1:$I$89,3,0)*VLOOKUP('Données projet'!$B$12,Paramètres!$A$1:$I$89,5,0)</f>
        <v>17.229686880999751</v>
      </c>
      <c r="CA15" s="13">
        <f t="shared" si="39"/>
        <v>5.7006813007210422</v>
      </c>
      <c r="CB15" s="20">
        <f t="shared" si="10"/>
        <v>39.937057916497047</v>
      </c>
      <c r="CC15" s="59">
        <f t="shared" si="11"/>
        <v>333.27039124983037</v>
      </c>
      <c r="CD15" s="59">
        <f ca="1">AVERAGE(OFFSET($CC$3,0,0,'Données projet'!$E$12+1,1))-AVERAGE(OFFSET($H$3,0,0,'Données projet'!$E$12+1,1))</f>
        <v>475.54809021014017</v>
      </c>
      <c r="CE15" s="59">
        <f t="shared" si="40"/>
        <v>593.51433014569966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7.9</v>
      </c>
      <c r="CT15" s="12">
        <f>IF('Données projet'!$A$140&gt;35,CT14+CS15-DB14,IF(A15&lt;'Données projet'!$A$140,$CQ$205^A15,IF(A15='Données projet'!$A$140,'Données projet'!$B$140,CT14+CS15-DB14)))</f>
        <v>20.854234472198982</v>
      </c>
      <c r="CU15" s="17">
        <f>CT15*VLOOKUP('Données projet'!$B$13,Paramètres!$A$1:$I$89,3,0)*VLOOKUP('Données projet'!$B$13,Paramètres!$A$1:$I$89,5,0)</f>
        <v>9.7597817329891239</v>
      </c>
      <c r="CV15" s="13">
        <f t="shared" si="41"/>
        <v>3.4500178483814818</v>
      </c>
      <c r="CW15" s="20">
        <f t="shared" si="13"/>
        <v>23.00706760422047</v>
      </c>
      <c r="CX15" s="59">
        <f t="shared" si="14"/>
        <v>316.3404009375538</v>
      </c>
      <c r="CY15" s="59">
        <f ca="1">AVERAGE(OFFSET($CX$3,0,0,'Données projet'!$E$13+1,1))-AVERAGE(OFFSET($H$3,0,0,'Données projet'!$E$13+1,1))</f>
        <v>226.0452828290525</v>
      </c>
      <c r="CZ15" s="59">
        <f t="shared" si="42"/>
        <v>179.89696397462069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>
        <f>VLOOKUP(A15,'Données projet'!$A$165:$I$185,2,0)</f>
        <v>46</v>
      </c>
      <c r="DM15" s="12">
        <f>VLOOKUP(A15,'Données projet'!$A$165:$I$185,9,0)</f>
        <v>3.8333333333333335</v>
      </c>
      <c r="DN15" s="12">
        <f t="array" ref="DN15">INDEX(DM:DM,MIN(IF(ISNUMBER(DM15:DM211),ROW(DM15:DM211),"")))</f>
        <v>3.8333333333333335</v>
      </c>
      <c r="DO15" s="12">
        <f>IF('Données projet'!$A$166&gt;35,DO14+DN15-DW14,IF(A15&lt;'Données projet'!$A$166,$DL$205^A15,IF(A15='Données projet'!$A$166,'Données projet'!$B$166,DO14+DN15-DW14)))</f>
        <v>46</v>
      </c>
      <c r="DP15" s="17">
        <f>DO15*VLOOKUP('Données projet'!$B$14,Paramètres!$A$1:$I$89,3,0)*VLOOKUP('Données projet'!$B$14,Paramètres!$A$1:$I$89,5,0)</f>
        <v>27.508000000000003</v>
      </c>
      <c r="DQ15" s="13">
        <f t="shared" si="43"/>
        <v>8.619023227845549</v>
      </c>
      <c r="DR15" s="20">
        <f t="shared" si="16"/>
        <v>62.921232121831004</v>
      </c>
      <c r="DS15" s="59">
        <f t="shared" si="17"/>
        <v>356.25456545516431</v>
      </c>
      <c r="DT15" s="59">
        <f ca="1">AVERAGE(OFFSET($DS$3,0,0,'Données projet'!$E$14+1,1))-AVERAGE(OFFSET($H$3,0,0,'Données projet'!$E$14+1,1))</f>
        <v>252.81045065813976</v>
      </c>
      <c r="DU15" s="59">
        <f t="shared" si="44"/>
        <v>254.36590349790589</v>
      </c>
      <c r="DV15" s="15">
        <f>IF(ISNA(VLOOKUP(A15,'Données projet'!$A$165:$I$185,3,0)),0,VLOOKUP(A15,'Données projet'!$A$165:$I$185,3,0))</f>
        <v>1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14.6</v>
      </c>
      <c r="EJ15" s="12">
        <f>IF('Données projet'!$A$192&gt;35,EJ14+EI15-ER14,IF(A15&lt;'Données projet'!$A$192,$EG$205^A15,IF(A15='Données projet'!$A$192,'Données projet'!$B$192,EJ14+EI15-ER14)))</f>
        <v>41.2</v>
      </c>
      <c r="EK15" s="17">
        <f>EJ15*VLOOKUP('Données projet'!$B$15,Paramètres!$A$1:$I$89,3,0)*VLOOKUP('Données projet'!$B$15,Paramètres!$A$1:$I$89,5,0)</f>
        <v>30.207840000000001</v>
      </c>
      <c r="EL15" s="13">
        <f t="shared" si="45"/>
        <v>9.3623701493068516</v>
      </c>
      <c r="EM15" s="20">
        <f t="shared" si="19"/>
        <v>68.918116010042766</v>
      </c>
      <c r="EN15" s="59">
        <f t="shared" si="20"/>
        <v>362.25144934337607</v>
      </c>
      <c r="EO15" s="59">
        <f ca="1">AVERAGE(OFFSET($EN$3,0,0,'Données projet'!$E$15+1,1))-AVERAGE(OFFSET($H$3,0,0,'Données projet'!$E$15+1,1))</f>
        <v>296.91321813251051</v>
      </c>
      <c r="EP15" s="59">
        <f t="shared" si="46"/>
        <v>291.0718079639509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0.68970211726101482</v>
      </c>
      <c r="EX15" s="21">
        <f>EXP(-LN(2)/2)*EX14+(1-EXP(-LN(2)/2))/(LN(2)/2)*ER15*EU15*VLOOKUP('Données projet'!$B$15,Paramètres!$A$1:$I$89,3,0)*0.475*44/12</f>
        <v>1.6948951377822434</v>
      </c>
      <c r="EY15" s="22">
        <f t="shared" si="21"/>
        <v>2.3845972550432584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3.65</v>
      </c>
      <c r="FE15" s="12">
        <f>IF('Données projet'!$A$218&gt;35,FE14+FD15-FM14,IF(A15&lt;'Données projet'!$A$218,$FB$205^A15,IF(A15='Données projet'!$A$218,'Données projet'!$B$218,FE14+FD15-FM14)))</f>
        <v>13.121809125710287</v>
      </c>
      <c r="FF15" s="17">
        <f>FE15*VLOOKUP('Données projet'!$B$16,Paramètres!$A$1:$I$89,3,0)*VLOOKUP('Données projet'!$B$16,Paramètres!$A$1:$I$89,5,0)</f>
        <v>13.305514453470233</v>
      </c>
      <c r="FG15" s="13">
        <f t="shared" si="47"/>
        <v>4.5367667299931158</v>
      </c>
      <c r="FH15" s="20">
        <f t="shared" si="22"/>
        <v>31.075306394532003</v>
      </c>
      <c r="FI15" s="59">
        <f t="shared" si="23"/>
        <v>324.40863972786531</v>
      </c>
      <c r="FJ15" s="59">
        <f ca="1">AVERAGE(OFFSET($FI$3,0,0,'Données projet'!$E$16+1,1))-AVERAGE(OFFSET($H$3,0,0,'Données projet'!$E$16+1,1))</f>
        <v>356.65981389369125</v>
      </c>
      <c r="FK15" s="59">
        <f t="shared" si="48"/>
        <v>231.92898690465887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3.65</v>
      </c>
      <c r="FZ15" s="12">
        <f>IF('Données projet'!$A$244&gt;35,FZ14+FY15-GH14,IF(A15&lt;'Données projet'!$A$244,$FW$205^A15,IF(A15='Données projet'!$A$244,'Données projet'!$B$244,FZ14+FY15-GH14)))</f>
        <v>13.121809125710287</v>
      </c>
      <c r="GA15" s="17">
        <f>FZ15*VLOOKUP('Données projet'!$B$17,Paramètres!$A$1:$I$89,3,0)*VLOOKUP('Données projet'!$B$17,Paramètres!$A$1:$I$89,5,0)</f>
        <v>12.69141378638699</v>
      </c>
      <c r="GB15" s="13">
        <f t="shared" si="49"/>
        <v>4.3512446702837533</v>
      </c>
      <c r="GC15" s="20">
        <f t="shared" si="25"/>
        <v>29.682630145368211</v>
      </c>
      <c r="GD15" s="59">
        <f t="shared" si="26"/>
        <v>323.01596347870151</v>
      </c>
      <c r="GE15" s="59">
        <f ca="1">AVERAGE(OFFSET($GD$3,0,0,'Données projet'!$E$17+1,1))-AVERAGE(OFFSET($H$3,0,0,'Données projet'!$E$17+1,1))</f>
        <v>337.76140497227715</v>
      </c>
      <c r="GF15" s="59">
        <f t="shared" si="50"/>
        <v>219.76562717496353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327.59504121177019</v>
      </c>
      <c r="S16" s="59">
        <f ca="1">AVERAGE(OFFSET($R$3,0,0,'Données projet'!$E$9+1,1))-AVERAGE(OFFSET($H$3,0,0,'Données projet'!$E$9+1,1))</f>
        <v>312.53389584272878</v>
      </c>
      <c r="T16" s="59">
        <f t="shared" si="34"/>
        <v>203.5274665601915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7.1333333333333337</v>
      </c>
      <c r="AI16" s="13">
        <f>IF('Données projet'!$A$62&gt;35,AI15+AH16-AQ15,IF(A16&lt;'Données projet'!$A$62,$AF$205^A16,IF(A16='Données projet'!$A$62,'Données projet'!$B$62,AI15+AH16-AQ15)))</f>
        <v>57.385117337200782</v>
      </c>
      <c r="AJ16" s="13">
        <f>AI16*VLOOKUP('Données projet'!$B$10,Paramètres!$A$1:$I$89,3,0)*VLOOKUP('Données projet'!$B$10,Paramètres!$A$1:$I$89,5,0)</f>
        <v>50.131638505778611</v>
      </c>
      <c r="AK16" s="13">
        <f t="shared" si="35"/>
        <v>14.647750677567194</v>
      </c>
      <c r="AL16" s="20">
        <f t="shared" si="4"/>
        <v>112.82410282766058</v>
      </c>
      <c r="AM16" s="59">
        <f t="shared" si="5"/>
        <v>406.15743616099388</v>
      </c>
      <c r="AN16" s="59">
        <f ca="1">AVERAGE(OFFSET($AM$3,0,0,'Données projet'!$E$10+1,1))-AVERAGE(OFFSET($H$3,0,0,'Données projet'!$E$10+1,1))</f>
        <v>243.05628303465238</v>
      </c>
      <c r="AO16" s="59">
        <f t="shared" si="36"/>
        <v>352.47096767658394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14.6</v>
      </c>
      <c r="BD16" s="12">
        <f>IF('Données projet'!$A$88&gt;35,BD15+BC16-BL15,IF(A16&lt;'Données projet'!$A$88,$BA$205^A16,IF(A16='Données projet'!$A$88,'Données projet'!$B$88,BD15+BC16-BL15)))</f>
        <v>55.800000000000004</v>
      </c>
      <c r="BE16" s="13">
        <f>BD16*VLOOKUP('Données projet'!$B$11,Paramètres!$A$1:$I$89,3,0)*VLOOKUP('Données projet'!$B$11,Paramètres!$A$1:$I$89,5,0)</f>
        <v>44.394480000000001</v>
      </c>
      <c r="BF16" s="13">
        <f t="shared" si="37"/>
        <v>13.1562447968447</v>
      </c>
      <c r="BG16" s="20">
        <f t="shared" si="7"/>
        <v>100.2341790211712</v>
      </c>
      <c r="BH16" s="59">
        <f t="shared" si="8"/>
        <v>393.56751235450452</v>
      </c>
      <c r="BI16" s="59">
        <f ca="1">AVERAGE(OFFSET($BH$3,0,0,'Données projet'!$E$11+1,1))-AVERAGE(OFFSET($H$3,0,0,'Données projet'!$E$11+1,1))</f>
        <v>325.72928944930294</v>
      </c>
      <c r="BJ16" s="59">
        <f t="shared" si="38"/>
        <v>318.38876834819752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0.89722236681610623</v>
      </c>
      <c r="BR16" s="21">
        <f>EXP(-LN(2)/2)*BR15+(1-EXP(-LN(2)/2))/(LN(2)/2)*BL16*BO16*VLOOKUP('Données projet'!$B$11,Paramètres!$A$1:$I$89,3,0)*0.475*44/12</f>
        <v>1.3004694491834581</v>
      </c>
      <c r="BS16" s="22">
        <f t="shared" si="9"/>
        <v>2.1976918159995642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15.15</v>
      </c>
      <c r="BY16" s="12">
        <f>IF('Données projet'!$A$114&gt;35,BY15+BX16-CG15,IF(A16&lt;'Données projet'!$A$114,$BV$205^A16,IF(A16='Données projet'!$A$114,'Données projet'!$B$114,BY15+BX16-CG15)))</f>
        <v>41.014527104959527</v>
      </c>
      <c r="BZ16" s="13">
        <f>BY16*VLOOKUP('Données projet'!$B$12,Paramètres!$A$1:$I$89,3,0)*VLOOKUP('Données projet'!$B$12,Paramètres!$A$1:$I$89,5,0)</f>
        <v>22.927120651672375</v>
      </c>
      <c r="CA16" s="13">
        <f t="shared" si="39"/>
        <v>7.3376483975459479</v>
      </c>
      <c r="CB16" s="20">
        <f t="shared" si="10"/>
        <v>52.711139427388581</v>
      </c>
      <c r="CC16" s="59">
        <f t="shared" si="11"/>
        <v>346.04447276072187</v>
      </c>
      <c r="CD16" s="59">
        <f ca="1">AVERAGE(OFFSET($CC$3,0,0,'Données projet'!$E$12+1,1))-AVERAGE(OFFSET($H$3,0,0,'Données projet'!$E$12+1,1))</f>
        <v>475.54809021014017</v>
      </c>
      <c r="CE16" s="59">
        <f t="shared" si="40"/>
        <v>593.51433014569966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7.9</v>
      </c>
      <c r="CT16" s="12">
        <f>IF('Données projet'!$A$140&gt;35,CT15+CS16-DB15,IF(A16&lt;'Données projet'!$A$140,$CQ$205^A16,IF(A16='Données projet'!$A$140,'Données projet'!$B$140,CT15+CS16-DB15)))</f>
        <v>26.861304900499697</v>
      </c>
      <c r="CU16" s="17">
        <f>CT16*VLOOKUP('Données projet'!$B$13,Paramètres!$A$1:$I$89,3,0)*VLOOKUP('Données projet'!$B$13,Paramètres!$A$1:$I$89,5,0)</f>
        <v>12.571090693433858</v>
      </c>
      <c r="CV16" s="13">
        <f t="shared" si="41"/>
        <v>4.3147735914069099</v>
      </c>
      <c r="CW16" s="20">
        <f t="shared" si="13"/>
        <v>29.409546962764335</v>
      </c>
      <c r="CX16" s="59">
        <f t="shared" si="14"/>
        <v>322.74288029609767</v>
      </c>
      <c r="CY16" s="59">
        <f ca="1">AVERAGE(OFFSET($CX$3,0,0,'Données projet'!$E$13+1,1))-AVERAGE(OFFSET($H$3,0,0,'Données projet'!$E$13+1,1))</f>
        <v>226.0452828290525</v>
      </c>
      <c r="CZ16" s="59">
        <f t="shared" si="42"/>
        <v>179.89696397462069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15.25</v>
      </c>
      <c r="DO16" s="12">
        <f>IF('Données projet'!$A$166&gt;35,DO15+DN16-DW15,IF(A16&lt;'Données projet'!$A$166,$DL$205^A16,IF(A16='Données projet'!$A$166,'Données projet'!$B$166,DO15+DN16-DW15)))</f>
        <v>61.25</v>
      </c>
      <c r="DP16" s="17">
        <f>DO16*VLOOKUP('Données projet'!$B$14,Paramètres!$A$1:$I$89,3,0)*VLOOKUP('Données projet'!$B$14,Paramètres!$A$1:$I$89,5,0)</f>
        <v>36.627500000000005</v>
      </c>
      <c r="DQ16" s="13">
        <f t="shared" si="43"/>
        <v>11.100235041832279</v>
      </c>
      <c r="DR16" s="20">
        <f t="shared" si="16"/>
        <v>83.125805197857886</v>
      </c>
      <c r="DS16" s="59">
        <f t="shared" si="17"/>
        <v>376.45913853119123</v>
      </c>
      <c r="DT16" s="59">
        <f ca="1">AVERAGE(OFFSET($DS$3,0,0,'Données projet'!$E$14+1,1))-AVERAGE(OFFSET($H$3,0,0,'Données projet'!$E$14+1,1))</f>
        <v>252.81045065813976</v>
      </c>
      <c r="DU16" s="59">
        <f t="shared" si="44"/>
        <v>254.36590349790589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14.6</v>
      </c>
      <c r="EJ16" s="12">
        <f>IF('Données projet'!$A$192&gt;35,EJ15+EI16-ER15,IF(A16&lt;'Données projet'!$A$192,$EG$205^A16,IF(A16='Données projet'!$A$192,'Données projet'!$B$192,EJ15+EI16-ER15)))</f>
        <v>55.800000000000004</v>
      </c>
      <c r="EK16" s="17">
        <f>EJ16*VLOOKUP('Données projet'!$B$15,Paramètres!$A$1:$I$89,3,0)*VLOOKUP('Données projet'!$B$15,Paramètres!$A$1:$I$89,5,0)</f>
        <v>40.912559999999999</v>
      </c>
      <c r="EL16" s="13">
        <f t="shared" si="45"/>
        <v>12.240202574960914</v>
      </c>
      <c r="EM16" s="20">
        <f t="shared" si="19"/>
        <v>92.57439481805693</v>
      </c>
      <c r="EN16" s="59">
        <f t="shared" si="20"/>
        <v>385.90772815139024</v>
      </c>
      <c r="EO16" s="59">
        <f ca="1">AVERAGE(OFFSET($EN$3,0,0,'Données projet'!$E$15+1,1))-AVERAGE(OFFSET($H$3,0,0,'Données projet'!$E$15+1,1))</f>
        <v>296.91321813251051</v>
      </c>
      <c r="EP16" s="59">
        <f t="shared" si="46"/>
        <v>291.0718079639509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0.67084217659465439</v>
      </c>
      <c r="EX16" s="21">
        <f>EXP(-LN(2)/2)*EX15+(1-EXP(-LN(2)/2))/(LN(2)/2)*ER16*EU16*VLOOKUP('Données projet'!$B$15,Paramètres!$A$1:$I$89,3,0)*0.475*44/12</f>
        <v>1.1984718453259322</v>
      </c>
      <c r="EY16" s="22">
        <f t="shared" si="21"/>
        <v>1.8693140219205866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3.65</v>
      </c>
      <c r="FE16" s="12">
        <f>IF('Données projet'!$A$218&gt;35,FE15+FD16-FM15,IF(A16&lt;'Données projet'!$A$218,$FB$205^A16,IF(A16='Données projet'!$A$218,'Données projet'!$B$218,FE15+FD16-FM15)))</f>
        <v>16.261472127148366</v>
      </c>
      <c r="FF16" s="17">
        <f>FE16*VLOOKUP('Données projet'!$B$16,Paramètres!$A$1:$I$89,3,0)*VLOOKUP('Données projet'!$B$16,Paramètres!$A$1:$I$89,5,0)</f>
        <v>16.489132736928447</v>
      </c>
      <c r="FG16" s="13">
        <f t="shared" si="47"/>
        <v>5.4836288594779292</v>
      </c>
      <c r="FH16" s="20">
        <f t="shared" si="22"/>
        <v>38.269226447074438</v>
      </c>
      <c r="FI16" s="59">
        <f t="shared" si="23"/>
        <v>331.60255978040777</v>
      </c>
      <c r="FJ16" s="59">
        <f ca="1">AVERAGE(OFFSET($FI$3,0,0,'Données projet'!$E$16+1,1))-AVERAGE(OFFSET($H$3,0,0,'Données projet'!$E$16+1,1))</f>
        <v>356.65981389369125</v>
      </c>
      <c r="FK16" s="59">
        <f t="shared" si="48"/>
        <v>231.92898690465887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3.65</v>
      </c>
      <c r="FZ16" s="12">
        <f>IF('Données projet'!$A$244&gt;35,FZ15+FY16-GH15,IF(A16&lt;'Données projet'!$A$244,$FW$205^A16,IF(A16='Données projet'!$A$244,'Données projet'!$B$244,FZ15+FY16-GH15)))</f>
        <v>16.261472127148366</v>
      </c>
      <c r="GA16" s="17">
        <f>FZ16*VLOOKUP('Données projet'!$B$17,Paramètres!$A$1:$I$89,3,0)*VLOOKUP('Données projet'!$B$17,Paramètres!$A$1:$I$89,5,0)</f>
        <v>15.728095841377899</v>
      </c>
      <c r="GB16" s="13">
        <f t="shared" si="49"/>
        <v>5.2593867546400634</v>
      </c>
      <c r="GC16" s="20">
        <f t="shared" si="25"/>
        <v>36.553198854731285</v>
      </c>
      <c r="GD16" s="59">
        <f t="shared" si="26"/>
        <v>329.88653218806462</v>
      </c>
      <c r="GE16" s="59">
        <f ca="1">AVERAGE(OFFSET($GD$3,0,0,'Données projet'!$E$17+1,1))-AVERAGE(OFFSET($H$3,0,0,'Données projet'!$E$17+1,1))</f>
        <v>337.76140497227715</v>
      </c>
      <c r="GF16" s="59">
        <f t="shared" si="50"/>
        <v>219.76562717496353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335.52892963000164</v>
      </c>
      <c r="S17" s="59">
        <f ca="1">AVERAGE(OFFSET($R$3,0,0,'Données projet'!$E$9+1,1))-AVERAGE(OFFSET($H$3,0,0,'Données projet'!$E$9+1,1))</f>
        <v>312.53389584272878</v>
      </c>
      <c r="T17" s="59">
        <f t="shared" si="34"/>
        <v>203.5274665601915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7.1333333333333337</v>
      </c>
      <c r="AI17" s="13">
        <f>IF('Données projet'!$A$62&gt;35,AI16+AH17-AQ16,IF(A17&lt;'Données projet'!$A$62,$AF$205^A17,IF(A17='Données projet'!$A$62,'Données projet'!$B$62,AI16+AH17-AQ16)))</f>
        <v>78.35947648549265</v>
      </c>
      <c r="AJ17" s="13">
        <f>AI17*VLOOKUP('Données projet'!$B$10,Paramètres!$A$1:$I$89,3,0)*VLOOKUP('Données projet'!$B$10,Paramètres!$A$1:$I$89,5,0)</f>
        <v>68.454838657726384</v>
      </c>
      <c r="AK17" s="13">
        <f t="shared" si="35"/>
        <v>19.289242495261615</v>
      </c>
      <c r="AL17" s="20">
        <f t="shared" si="4"/>
        <v>152.8209413414541</v>
      </c>
      <c r="AM17" s="59">
        <f t="shared" si="5"/>
        <v>446.15427467478742</v>
      </c>
      <c r="AN17" s="59">
        <f ca="1">AVERAGE(OFFSET($AM$3,0,0,'Données projet'!$E$10+1,1))-AVERAGE(OFFSET($H$3,0,0,'Données projet'!$E$10+1,1))</f>
        <v>243.05628303465238</v>
      </c>
      <c r="AO17" s="59">
        <f t="shared" si="36"/>
        <v>352.47096767658394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14.6</v>
      </c>
      <c r="BD17" s="12">
        <f>IF('Données projet'!$A$88&gt;35,BD16+BC17-BL16,IF(A17&lt;'Données projet'!$A$88,$BA$205^A17,IF(A17='Données projet'!$A$88,'Données projet'!$B$88,BD16+BC17-BL16)))</f>
        <v>70.400000000000006</v>
      </c>
      <c r="BE17" s="13">
        <f>BD17*VLOOKUP('Données projet'!$B$11,Paramètres!$A$1:$I$89,3,0)*VLOOKUP('Données projet'!$B$11,Paramètres!$A$1:$I$89,5,0)</f>
        <v>56.01024000000001</v>
      </c>
      <c r="BF17" s="13">
        <f t="shared" si="37"/>
        <v>16.155528478402793</v>
      </c>
      <c r="BG17" s="20">
        <f t="shared" si="7"/>
        <v>125.68871343321821</v>
      </c>
      <c r="BH17" s="59">
        <f t="shared" si="8"/>
        <v>419.02204676655151</v>
      </c>
      <c r="BI17" s="59">
        <f ca="1">AVERAGE(OFFSET($BH$3,0,0,'Données projet'!$E$11+1,1))-AVERAGE(OFFSET($H$3,0,0,'Données projet'!$E$11+1,1))</f>
        <v>325.72928944930294</v>
      </c>
      <c r="BJ17" s="59">
        <f t="shared" si="38"/>
        <v>318.38876834819752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0.87268777401264619</v>
      </c>
      <c r="BR17" s="21">
        <f>EXP(-LN(2)/2)*BR16+(1-EXP(-LN(2)/2))/(LN(2)/2)*BL17*BO17*VLOOKUP('Données projet'!$B$11,Paramètres!$A$1:$I$89,3,0)*0.475*44/12</f>
        <v>0.91957076624355749</v>
      </c>
      <c r="BS17" s="22">
        <f t="shared" si="9"/>
        <v>1.7922585402562037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15.15</v>
      </c>
      <c r="BY17" s="12">
        <f>IF('Données projet'!$A$114&gt;35,BY16+BX17-CG16,IF(A17&lt;'Données projet'!$A$114,$BV$205^A17,IF(A17='Données projet'!$A$114,'Données projet'!$B$114,BY16+BX17-CG16)))</f>
        <v>54.577022664507709</v>
      </c>
      <c r="BZ17" s="13">
        <f>BY17*VLOOKUP('Données projet'!$B$12,Paramètres!$A$1:$I$89,3,0)*VLOOKUP('Données projet'!$B$12,Paramètres!$A$1:$I$89,5,0)</f>
        <v>30.50855566945981</v>
      </c>
      <c r="CA17" s="13">
        <f t="shared" si="39"/>
        <v>9.4446753231405243</v>
      </c>
      <c r="CB17" s="20">
        <f t="shared" si="10"/>
        <v>69.585210645445571</v>
      </c>
      <c r="CC17" s="59">
        <f t="shared" si="11"/>
        <v>362.91854397877887</v>
      </c>
      <c r="CD17" s="59">
        <f ca="1">AVERAGE(OFFSET($CC$3,0,0,'Données projet'!$E$12+1,1))-AVERAGE(OFFSET($H$3,0,0,'Données projet'!$E$12+1,1))</f>
        <v>475.54809021014017</v>
      </c>
      <c r="CE17" s="59">
        <f t="shared" si="40"/>
        <v>593.51433014569966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7.9</v>
      </c>
      <c r="CT17" s="12">
        <f>IF('Données projet'!$A$140&gt;35,CT16+CS17-DB16,IF(A17&lt;'Données projet'!$A$140,$CQ$205^A17,IF(A17='Données projet'!$A$140,'Données projet'!$B$140,CT16+CS17-DB16)))</f>
        <v>34.598714324397214</v>
      </c>
      <c r="CU17" s="17">
        <f>CT17*VLOOKUP('Données projet'!$B$13,Paramètres!$A$1:$I$89,3,0)*VLOOKUP('Données projet'!$B$13,Paramètres!$A$1:$I$89,5,0)</f>
        <v>16.192198303817896</v>
      </c>
      <c r="CV17" s="13">
        <f t="shared" si="41"/>
        <v>5.3962825594761723</v>
      </c>
      <c r="CW17" s="20">
        <f t="shared" si="13"/>
        <v>37.599937503570509</v>
      </c>
      <c r="CX17" s="59">
        <f t="shared" si="14"/>
        <v>330.93327083690383</v>
      </c>
      <c r="CY17" s="59">
        <f ca="1">AVERAGE(OFFSET($CX$3,0,0,'Données projet'!$E$13+1,1))-AVERAGE(OFFSET($H$3,0,0,'Données projet'!$E$13+1,1))</f>
        <v>226.0452828290525</v>
      </c>
      <c r="CZ17" s="59">
        <f t="shared" si="42"/>
        <v>179.89696397462069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15.25</v>
      </c>
      <c r="DO17" s="12">
        <f>IF('Données projet'!$A$166&gt;35,DO16+DN17-DW16,IF(A17&lt;'Données projet'!$A$166,$DL$205^A17,IF(A17='Données projet'!$A$166,'Données projet'!$B$166,DO16+DN17-DW16)))</f>
        <v>76.5</v>
      </c>
      <c r="DP17" s="17">
        <f>DO17*VLOOKUP('Données projet'!$B$14,Paramètres!$A$1:$I$89,3,0)*VLOOKUP('Données projet'!$B$14,Paramètres!$A$1:$I$89,5,0)</f>
        <v>45.747000000000007</v>
      </c>
      <c r="DQ17" s="13">
        <f t="shared" si="43"/>
        <v>13.509786169595499</v>
      </c>
      <c r="DR17" s="20">
        <f t="shared" si="16"/>
        <v>103.20556924537884</v>
      </c>
      <c r="DS17" s="59">
        <f t="shared" si="17"/>
        <v>396.53890257871217</v>
      </c>
      <c r="DT17" s="59">
        <f ca="1">AVERAGE(OFFSET($DS$3,0,0,'Données projet'!$E$14+1,1))-AVERAGE(OFFSET($H$3,0,0,'Données projet'!$E$14+1,1))</f>
        <v>252.81045065813976</v>
      </c>
      <c r="DU17" s="59">
        <f t="shared" si="44"/>
        <v>254.36590349790589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14.6</v>
      </c>
      <c r="EJ17" s="12">
        <f>IF('Données projet'!$A$192&gt;35,EJ16+EI17-ER16,IF(A17&lt;'Données projet'!$A$192,$EG$205^A17,IF(A17='Données projet'!$A$192,'Données projet'!$B$192,EJ16+EI17-ER16)))</f>
        <v>70.400000000000006</v>
      </c>
      <c r="EK17" s="17">
        <f>EJ17*VLOOKUP('Données projet'!$B$15,Paramètres!$A$1:$I$89,3,0)*VLOOKUP('Données projet'!$B$15,Paramètres!$A$1:$I$89,5,0)</f>
        <v>51.617280000000001</v>
      </c>
      <c r="EL17" s="13">
        <f t="shared" si="45"/>
        <v>15.030652312628483</v>
      </c>
      <c r="EM17" s="20">
        <f t="shared" si="19"/>
        <v>116.07848211116128</v>
      </c>
      <c r="EN17" s="59">
        <f t="shared" si="20"/>
        <v>409.41181544449461</v>
      </c>
      <c r="EO17" s="59">
        <f ca="1">AVERAGE(OFFSET($EN$3,0,0,'Données projet'!$E$15+1,1))-AVERAGE(OFFSET($H$3,0,0,'Données projet'!$E$15+1,1))</f>
        <v>296.91321813251051</v>
      </c>
      <c r="EP17" s="59">
        <f t="shared" si="46"/>
        <v>291.0718079639509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0.65249796199761678</v>
      </c>
      <c r="EX17" s="21">
        <f>EXP(-LN(2)/2)*EX16+(1-EXP(-LN(2)/2))/(LN(2)/2)*ER17*EU17*VLOOKUP('Données projet'!$B$15,Paramètres!$A$1:$I$89,3,0)*0.475*44/12</f>
        <v>0.84744756889112183</v>
      </c>
      <c r="EY17" s="22">
        <f t="shared" si="21"/>
        <v>1.4999455308887386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3.65</v>
      </c>
      <c r="FE17" s="12">
        <f>IF('Données projet'!$A$218&gt;35,FE16+FD17-FM16,IF(A17&lt;'Données projet'!$A$218,$FB$205^A17,IF(A17='Données projet'!$A$218,'Données projet'!$B$218,FE16+FD17-FM16)))</f>
        <v>20.152364144963837</v>
      </c>
      <c r="FF17" s="17">
        <f>FE17*VLOOKUP('Données projet'!$B$16,Paramètres!$A$1:$I$89,3,0)*VLOOKUP('Données projet'!$B$16,Paramètres!$A$1:$I$89,5,0)</f>
        <v>20.434497242993334</v>
      </c>
      <c r="FG17" s="13">
        <f t="shared" si="47"/>
        <v>6.6281092368495731</v>
      </c>
      <c r="FH17" s="20">
        <f t="shared" si="22"/>
        <v>47.134039619059727</v>
      </c>
      <c r="FI17" s="59">
        <f t="shared" si="23"/>
        <v>340.46737295239302</v>
      </c>
      <c r="FJ17" s="59">
        <f ca="1">AVERAGE(OFFSET($FI$3,0,0,'Données projet'!$E$16+1,1))-AVERAGE(OFFSET($H$3,0,0,'Données projet'!$E$16+1,1))</f>
        <v>356.65981389369125</v>
      </c>
      <c r="FK17" s="59">
        <f t="shared" si="48"/>
        <v>231.92898690465887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3.65</v>
      </c>
      <c r="FZ17" s="12">
        <f>IF('Données projet'!$A$244&gt;35,FZ16+FY17-GH16,IF(A17&lt;'Données projet'!$A$244,$FW$205^A17,IF(A17='Données projet'!$A$244,'Données projet'!$B$244,FZ16+FY17-GH16)))</f>
        <v>20.152364144963837</v>
      </c>
      <c r="GA17" s="17">
        <f>FZ17*VLOOKUP('Données projet'!$B$17,Paramètres!$A$1:$I$89,3,0)*VLOOKUP('Données projet'!$B$17,Paramètres!$A$1:$I$89,5,0)</f>
        <v>19.491366601009023</v>
      </c>
      <c r="GB17" s="13">
        <f t="shared" si="49"/>
        <v>6.3570658813537859</v>
      </c>
      <c r="GC17" s="20">
        <f t="shared" si="25"/>
        <v>45.01935324011523</v>
      </c>
      <c r="GD17" s="59">
        <f t="shared" si="26"/>
        <v>338.35268657344852</v>
      </c>
      <c r="GE17" s="59">
        <f ca="1">AVERAGE(OFFSET($GD$3,0,0,'Données projet'!$E$17+1,1))-AVERAGE(OFFSET($H$3,0,0,'Données projet'!$E$17+1,1))</f>
        <v>337.76140497227715</v>
      </c>
      <c r="GF17" s="59">
        <f t="shared" si="50"/>
        <v>219.76562717496353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345.30607962204783</v>
      </c>
      <c r="S18" s="59">
        <f ca="1">AVERAGE(OFFSET($R$3,0,0,'Données projet'!$E$9+1,1))-AVERAGE(OFFSET($H$3,0,0,'Données projet'!$E$9+1,1))</f>
        <v>312.53389584272878</v>
      </c>
      <c r="T18" s="59">
        <f t="shared" si="34"/>
        <v>203.5274665601915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107</v>
      </c>
      <c r="AG18" s="12">
        <f>VLOOKUP(A18,'Données projet'!$A$61:$I$81,9,0)</f>
        <v>7.1333333333333337</v>
      </c>
      <c r="AH18" s="12">
        <f t="array" ref="AH18">INDEX(AG:AG,MIN(IF(ISNUMBER(AG18:AG214),ROW(AG18:AG214),"")))</f>
        <v>7.1333333333333337</v>
      </c>
      <c r="AI18" s="13">
        <f>IF('Données projet'!$A$62&gt;35,AI17+AH18-AQ17,IF(A18&lt;'Données projet'!$A$62,$AF$205^A18,IF(A18='Données projet'!$A$62,'Données projet'!$B$62,AI17+AH18-AQ17)))</f>
        <v>107</v>
      </c>
      <c r="AJ18" s="13">
        <f>AI18*VLOOKUP('Données projet'!$B$10,Paramètres!$A$1:$I$89,3,0)*VLOOKUP('Données projet'!$B$10,Paramètres!$A$1:$I$89,5,0)</f>
        <v>93.475200000000015</v>
      </c>
      <c r="AK18" s="13">
        <f t="shared" si="35"/>
        <v>25.401502539965662</v>
      </c>
      <c r="AL18" s="20">
        <f t="shared" si="4"/>
        <v>207.04359025710687</v>
      </c>
      <c r="AM18" s="59">
        <f t="shared" si="5"/>
        <v>500.37692359044019</v>
      </c>
      <c r="AN18" s="59">
        <f ca="1">AVERAGE(OFFSET($AM$3,0,0,'Données projet'!$E$10+1,1))-AVERAGE(OFFSET($H$3,0,0,'Données projet'!$E$10+1,1))</f>
        <v>243.05628303465238</v>
      </c>
      <c r="AO18" s="59">
        <f t="shared" si="36"/>
        <v>352.47096767658394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34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4.3000000000000003E-2</v>
      </c>
      <c r="AT18" s="16">
        <f>IF(ISNA(VLOOKUP(A18,'Données projet'!$A$61:$I$81,7,0)),0%,VLOOKUP(A18,'Données projet'!$A$61:$I$81,7,0))</f>
        <v>0.5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1.4063510773890098</v>
      </c>
      <c r="AW18" s="21">
        <f>EXP(-LN(2)/2)*AW17+(1-EXP(-LN(2)/2))/(LN(2)/2)*AQ18*AT18*VLOOKUP('Données projet'!$B$10,Paramètres!$A$1:$I$89,3,0)*0.475*44/12</f>
        <v>14.012506914187542</v>
      </c>
      <c r="AX18" s="21">
        <f t="shared" si="6"/>
        <v>15.418857991576552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85</v>
      </c>
      <c r="BB18" s="12">
        <f>VLOOKUP(A18,'Données projet'!$A$87:$I$107,9,0)</f>
        <v>14.6</v>
      </c>
      <c r="BC18" s="12">
        <f t="array" ref="BC18">INDEX(BB:BB,MIN(IF(ISNUMBER(BB18:BB214),ROW(BB18:BB214),"")))</f>
        <v>14.6</v>
      </c>
      <c r="BD18" s="12">
        <f>IF('Données projet'!$A$88&gt;35,BD17+BC18-BL17,IF(A18&lt;'Données projet'!$A$88,$BA$205^A18,IF(A18='Données projet'!$A$88,'Données projet'!$B$88,BD17+BC18-BL17)))</f>
        <v>85</v>
      </c>
      <c r="BE18" s="13">
        <f>BD18*VLOOKUP('Données projet'!$B$11,Paramètres!$A$1:$I$89,3,0)*VLOOKUP('Données projet'!$B$11,Paramètres!$A$1:$I$89,5,0)</f>
        <v>67.626000000000005</v>
      </c>
      <c r="BF18" s="13">
        <f t="shared" si="37"/>
        <v>19.082731089464875</v>
      </c>
      <c r="BG18" s="20">
        <f t="shared" si="7"/>
        <v>151.01770664748466</v>
      </c>
      <c r="BH18" s="59">
        <f t="shared" si="8"/>
        <v>444.35103998081797</v>
      </c>
      <c r="BI18" s="59">
        <f ca="1">AVERAGE(OFFSET($BH$3,0,0,'Données projet'!$E$11+1,1))-AVERAGE(OFFSET($H$3,0,0,'Données projet'!$E$11+1,1))</f>
        <v>325.72928944930294</v>
      </c>
      <c r="BJ18" s="59">
        <f t="shared" si="38"/>
        <v>318.38876834819752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42</v>
      </c>
      <c r="BM18" s="16">
        <f>IF(ISNA(VLOOKUP(A18,'Données projet'!$A$87:$I$107,5,0)),0%,VLOOKUP(A18,'Données projet'!$A$87:$I$107,5,0)*VLOOKUP('Données projet'!$B$11,Paramètres!$A$1:$I$89,7,0))</f>
        <v>0.10600000000000001</v>
      </c>
      <c r="BN18" s="16">
        <f>IF(ISNA(VLOOKUP(A18,'Données projet'!$A$87:$I$107,6,0)),0%,VLOOKUP(A18,'Données projet'!$A$87:$I$107,6,0)*VLOOKUP('Données projet'!$B$11,Paramètres!$A$1:$I$89,7,0))</f>
        <v>0.10600000000000001</v>
      </c>
      <c r="BO18" s="16">
        <f>IF(ISNA(VLOOKUP(A18,'Données projet'!$A$87:$I$107,7,0)),0%,VLOOKUP(A18,'Données projet'!$A$87:$I$107,7,0))</f>
        <v>0.6</v>
      </c>
      <c r="BP18" s="21">
        <f>EXP(-LN(2)/35)*BP17+(1-EXP(-LN(2)/35))/(LN(2)/35)*BL18*BM18*VLOOKUP('Données projet'!$B$11,Paramètres!$A$1:$I$89,3,0)*0.475*44/12</f>
        <v>3.9155884655739612</v>
      </c>
      <c r="BQ18" s="21">
        <f>EXP(-LN(2)/25)*BQ17+(1-EXP(-LN(2)/25))/(LN(2)/25)*Calculateur!BL18*Calculateur!BN18*VLOOKUP('Données projet'!$B$11,Paramètres!$A$1:$I$89,3,0)*0.475*44/12</f>
        <v>4.7489953827684372</v>
      </c>
      <c r="BR18" s="21">
        <f>EXP(-LN(2)/2)*BR17+(1-EXP(-LN(2)/2))/(LN(2)/2)*BL18*BO18*VLOOKUP('Données projet'!$B$11,Paramètres!$A$1:$I$89,3,0)*0.475*44/12</f>
        <v>19.567119058744911</v>
      </c>
      <c r="BS18" s="22">
        <f t="shared" si="9"/>
        <v>28.23170290708731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15.15</v>
      </c>
      <c r="BY18" s="12">
        <f>IF('Données projet'!$A$114&gt;35,BY17+BX18-CG17,IF(A18&lt;'Données projet'!$A$114,$BV$205^A18,IF(A18='Données projet'!$A$114,'Données projet'!$B$114,BY17+BX18-CG17)))</f>
        <v>72.624302001570669</v>
      </c>
      <c r="BZ18" s="13">
        <f>BY18*VLOOKUP('Données projet'!$B$12,Paramètres!$A$1:$I$89,3,0)*VLOOKUP('Données projet'!$B$12,Paramètres!$A$1:$I$89,5,0)</f>
        <v>40.596984818878006</v>
      </c>
      <c r="CA18" s="13">
        <f t="shared" si="39"/>
        <v>12.156741114683665</v>
      </c>
      <c r="CB18" s="20">
        <f t="shared" si="10"/>
        <v>91.879406000953239</v>
      </c>
      <c r="CC18" s="59">
        <f t="shared" si="11"/>
        <v>385.21273933428654</v>
      </c>
      <c r="CD18" s="59">
        <f ca="1">AVERAGE(OFFSET($CC$3,0,0,'Données projet'!$E$12+1,1))-AVERAGE(OFFSET($H$3,0,0,'Données projet'!$E$12+1,1))</f>
        <v>475.54809021014017</v>
      </c>
      <c r="CE18" s="59">
        <f t="shared" si="40"/>
        <v>593.51433014569966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7.9</v>
      </c>
      <c r="CT18" s="12">
        <f>IF('Données projet'!$A$140&gt;35,CT17+CS18-DB17,IF(A18&lt;'Données projet'!$A$140,$CQ$205^A18,IF(A18='Données projet'!$A$140,'Données projet'!$B$140,CT17+CS18-DB17)))</f>
        <v>44.564887571004775</v>
      </c>
      <c r="CU18" s="17">
        <f>CT18*VLOOKUP('Données projet'!$B$13,Paramètres!$A$1:$I$89,3,0)*VLOOKUP('Données projet'!$B$13,Paramètres!$A$1:$I$89,5,0)</f>
        <v>20.856367383230236</v>
      </c>
      <c r="CV18" s="13">
        <f t="shared" si="41"/>
        <v>6.7488744993944465</v>
      </c>
      <c r="CW18" s="20">
        <f t="shared" si="13"/>
        <v>48.079129612237985</v>
      </c>
      <c r="CX18" s="59">
        <f t="shared" si="14"/>
        <v>341.41246294557129</v>
      </c>
      <c r="CY18" s="59">
        <f ca="1">AVERAGE(OFFSET($CX$3,0,0,'Données projet'!$E$13+1,1))-AVERAGE(OFFSET($H$3,0,0,'Données projet'!$E$13+1,1))</f>
        <v>226.0452828290525</v>
      </c>
      <c r="CZ18" s="59">
        <f t="shared" si="42"/>
        <v>179.89696397462069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15.25</v>
      </c>
      <c r="DO18" s="12">
        <f>IF('Données projet'!$A$166&gt;35,DO17+DN18-DW17,IF(A18&lt;'Données projet'!$A$166,$DL$205^A18,IF(A18='Données projet'!$A$166,'Données projet'!$B$166,DO17+DN18-DW17)))</f>
        <v>91.75</v>
      </c>
      <c r="DP18" s="17">
        <f>DO18*VLOOKUP('Données projet'!$B$14,Paramètres!$A$1:$I$89,3,0)*VLOOKUP('Données projet'!$B$14,Paramètres!$A$1:$I$89,5,0)</f>
        <v>54.866500000000002</v>
      </c>
      <c r="DQ18" s="13">
        <f t="shared" si="43"/>
        <v>15.863680596172721</v>
      </c>
      <c r="DR18" s="20">
        <f t="shared" si="16"/>
        <v>123.18839787166746</v>
      </c>
      <c r="DS18" s="59">
        <f t="shared" si="17"/>
        <v>416.52173120500078</v>
      </c>
      <c r="DT18" s="59">
        <f ca="1">AVERAGE(OFFSET($DS$3,0,0,'Données projet'!$E$14+1,1))-AVERAGE(OFFSET($H$3,0,0,'Données projet'!$E$14+1,1))</f>
        <v>252.81045065813976</v>
      </c>
      <c r="DU18" s="59">
        <f t="shared" si="44"/>
        <v>254.36590349790589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>
        <f>VLOOKUP(A18,'Données projet'!$A$191:$I$211,2,0)</f>
        <v>85</v>
      </c>
      <c r="EH18" s="12">
        <f>VLOOKUP(A18,'Données projet'!$A$191:$I$211,9,0)</f>
        <v>14.6</v>
      </c>
      <c r="EI18" s="12">
        <f t="array" ref="EI18">INDEX(EH:EH,MIN(IF(ISNUMBER(EH18:EH214),ROW(EH18:EH214),"")))</f>
        <v>14.6</v>
      </c>
      <c r="EJ18" s="12">
        <f>IF('Données projet'!$A$192&gt;35,EJ17+EI18-ER17,IF(A18&lt;'Données projet'!$A$192,$EG$205^A18,IF(A18='Données projet'!$A$192,'Données projet'!$B$192,EJ17+EI18-ER17)))</f>
        <v>85</v>
      </c>
      <c r="EK18" s="17">
        <f>EJ18*VLOOKUP('Données projet'!$B$15,Paramètres!$A$1:$I$89,3,0)*VLOOKUP('Données projet'!$B$15,Paramètres!$A$1:$I$89,5,0)</f>
        <v>62.321999999999996</v>
      </c>
      <c r="EL18" s="13">
        <f t="shared" si="45"/>
        <v>17.754039836243702</v>
      </c>
      <c r="EM18" s="20">
        <f t="shared" si="19"/>
        <v>139.46576938145776</v>
      </c>
      <c r="EN18" s="59">
        <f t="shared" si="20"/>
        <v>432.79910271479105</v>
      </c>
      <c r="EO18" s="59">
        <f ca="1">AVERAGE(OFFSET($EN$3,0,0,'Données projet'!$E$15+1,1))-AVERAGE(OFFSET($H$3,0,0,'Données projet'!$E$15+1,1))</f>
        <v>296.91321813251051</v>
      </c>
      <c r="EP18" s="59">
        <f t="shared" si="46"/>
        <v>291.0718079639509</v>
      </c>
      <c r="EQ18" s="15">
        <f>IF(ISNA(VLOOKUP(A18,'Données projet'!$A$191:$I$211,3,0)),0,VLOOKUP(A18,'Données projet'!$A$191:$I$211,3,0))</f>
        <v>2</v>
      </c>
      <c r="ER18" s="15">
        <f>IF(ISNA(VLOOKUP(A18,'Données projet'!$A$191:$I$211,4,0)),0,VLOOKUP(A18,'Données projet'!$A$191:$I$211,4,0))</f>
        <v>42</v>
      </c>
      <c r="ES18" s="16">
        <f>IF(ISNA(VLOOKUP(A18,'Données projet'!$A$191:$I$211,5,0)),0%,VLOOKUP(A18,'Données projet'!$A$191:$I$211,5,0)*VLOOKUP('Données projet'!$B$15,Paramètres!$A$1:$I$89,7,0))</f>
        <v>8.6000000000000007E-2</v>
      </c>
      <c r="ET18" s="16">
        <f>IF(ISNA(VLOOKUP(A18,'Données projet'!$A$191:$I$211,6,0)),0%,VLOOKUP(A18,'Données projet'!$A$191:$I$211,6,0)*VLOOKUP('Données projet'!$B$15,Paramètres!$A$1:$I$89,7,0))</f>
        <v>8.6000000000000007E-2</v>
      </c>
      <c r="EU18" s="16">
        <f>IF(ISNA(VLOOKUP(A18,'Données projet'!$A$191:$I$211,7,0)),0%,VLOOKUP(A18,'Données projet'!$A$191:$I$211,7,0))</f>
        <v>0.6</v>
      </c>
      <c r="EV18" s="21">
        <f>EXP(-LN(2)/35)*EV17+(1-EXP(-LN(2)/35))/(LN(2)/35)*ER18*ES18*VLOOKUP('Données projet'!$B$15,Paramètres!$A$1:$I$89,3,0)*0.475*44/12</f>
        <v>2.927637546772095</v>
      </c>
      <c r="EW18" s="21">
        <f>EXP(-LN(2)/25)*EW17+(1-EXP(-LN(2)/25))/(LN(2)/25)*Calculateur!ER18*Calculateur!ET18*VLOOKUP('Données projet'!$B$15,Paramètres!$A$1:$I$89,3,0)*0.475*44/12</f>
        <v>3.5507656931465084</v>
      </c>
      <c r="EX18" s="21">
        <f>EXP(-LN(2)/2)*EX17+(1-EXP(-LN(2)/2))/(LN(2)/2)*ER18*EU18*VLOOKUP('Données projet'!$B$15,Paramètres!$A$1:$I$89,3,0)*0.475*44/12</f>
        <v>18.032443054137463</v>
      </c>
      <c r="EY18" s="22">
        <f t="shared" si="21"/>
        <v>24.510846294056066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3.65</v>
      </c>
      <c r="FE18" s="12">
        <f>IF('Données projet'!$A$218&gt;35,FE17+FD18-FM17,IF(A18&lt;'Données projet'!$A$218,$FB$205^A18,IF(A18='Données projet'!$A$218,'Données projet'!$B$218,FE17+FD18-FM17)))</f>
        <v>24.974232188561476</v>
      </c>
      <c r="FF18" s="17">
        <f>FE18*VLOOKUP('Données projet'!$B$16,Paramètres!$A$1:$I$89,3,0)*VLOOKUP('Données projet'!$B$16,Paramètres!$A$1:$I$89,5,0)</f>
        <v>25.323871439201337</v>
      </c>
      <c r="FG18" s="13">
        <f t="shared" si="47"/>
        <v>8.0114524854610902</v>
      </c>
      <c r="FH18" s="20">
        <f t="shared" si="22"/>
        <v>58.059022502120392</v>
      </c>
      <c r="FI18" s="59">
        <f t="shared" si="23"/>
        <v>351.39235583545371</v>
      </c>
      <c r="FJ18" s="59">
        <f ca="1">AVERAGE(OFFSET($FI$3,0,0,'Données projet'!$E$16+1,1))-AVERAGE(OFFSET($H$3,0,0,'Données projet'!$E$16+1,1))</f>
        <v>356.65981389369125</v>
      </c>
      <c r="FK18" s="59">
        <f t="shared" si="48"/>
        <v>231.92898690465887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3.65</v>
      </c>
      <c r="FZ18" s="12">
        <f>IF('Données projet'!$A$244&gt;35,FZ17+FY18-GH17,IF(A18&lt;'Données projet'!$A$244,$FW$205^A18,IF(A18='Données projet'!$A$244,'Données projet'!$B$244,FZ17+FY18-GH17)))</f>
        <v>24.974232188561476</v>
      </c>
      <c r="GA18" s="17">
        <f>FZ18*VLOOKUP('Données projet'!$B$17,Paramètres!$A$1:$I$89,3,0)*VLOOKUP('Données projet'!$B$17,Paramètres!$A$1:$I$89,5,0)</f>
        <v>24.155077372776663</v>
      </c>
      <c r="GB18" s="13">
        <f t="shared" si="49"/>
        <v>7.6838400568695304</v>
      </c>
      <c r="GC18" s="20">
        <f t="shared" si="25"/>
        <v>55.452781189967119</v>
      </c>
      <c r="GD18" s="59">
        <f t="shared" si="26"/>
        <v>348.78611452330045</v>
      </c>
      <c r="GE18" s="59">
        <f ca="1">AVERAGE(OFFSET($GD$3,0,0,'Données projet'!$E$17+1,1))-AVERAGE(OFFSET($H$3,0,0,'Données projet'!$E$17+1,1))</f>
        <v>337.76140497227715</v>
      </c>
      <c r="GF18" s="59">
        <f t="shared" si="50"/>
        <v>219.76562717496353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357.3560328458579</v>
      </c>
      <c r="S19" s="59">
        <f ca="1">AVERAGE(OFFSET($R$3,0,0,'Données projet'!$E$9+1,1))-AVERAGE(OFFSET($H$3,0,0,'Données projet'!$E$9+1,1))</f>
        <v>312.53389584272878</v>
      </c>
      <c r="T19" s="59">
        <f t="shared" si="34"/>
        <v>203.5274665601915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16.2</v>
      </c>
      <c r="AI19" s="13">
        <f>IF('Données projet'!$A$62&gt;35,AI18+AH19-AQ18,IF(A19&lt;'Données projet'!$A$62,$AF$205^A19,IF(A19='Données projet'!$A$62,'Données projet'!$B$62,AI18+AH19-AQ18)))</f>
        <v>89.2</v>
      </c>
      <c r="AJ19" s="13">
        <f>AI19*VLOOKUP('Données projet'!$B$10,Paramètres!$A$1:$I$89,3,0)*VLOOKUP('Données projet'!$B$10,Paramètres!$A$1:$I$89,5,0)</f>
        <v>77.925120000000007</v>
      </c>
      <c r="AK19" s="13">
        <f t="shared" si="35"/>
        <v>21.629091902424182</v>
      </c>
      <c r="AL19" s="20">
        <f t="shared" si="4"/>
        <v>173.3902523967221</v>
      </c>
      <c r="AM19" s="59">
        <f t="shared" si="5"/>
        <v>466.72358573005545</v>
      </c>
      <c r="AN19" s="59">
        <f ca="1">AVERAGE(OFFSET($AM$3,0,0,'Données projet'!$E$10+1,1))-AVERAGE(OFFSET($H$3,0,0,'Données projet'!$E$10+1,1))</f>
        <v>243.05628303465238</v>
      </c>
      <c r="AO19" s="59">
        <f t="shared" si="36"/>
        <v>352.47096767658394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1.3678943332210185</v>
      </c>
      <c r="AW19" s="21">
        <f>EXP(-LN(2)/2)*AW18+(1-EXP(-LN(2)/2))/(LN(2)/2)*AQ19*AT19*VLOOKUP('Données projet'!$B$10,Paramètres!$A$1:$I$89,3,0)*0.475*44/12</f>
        <v>9.9083386604453949</v>
      </c>
      <c r="AX19" s="21">
        <f t="shared" si="6"/>
        <v>11.276232993666413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16</v>
      </c>
      <c r="BD19" s="12">
        <f>IF('Données projet'!$A$88&gt;35,BD18+BC19-BL18,IF(A19&lt;'Données projet'!$A$88,$BA$205^A19,IF(A19='Données projet'!$A$88,'Données projet'!$B$88,BD18+BC19-BL18)))</f>
        <v>59</v>
      </c>
      <c r="BE19" s="13">
        <f>BD19*VLOOKUP('Données projet'!$B$11,Paramètres!$A$1:$I$89,3,0)*VLOOKUP('Données projet'!$B$11,Paramètres!$A$1:$I$89,5,0)</f>
        <v>46.940400000000004</v>
      </c>
      <c r="BF19" s="13">
        <f t="shared" si="37"/>
        <v>13.82072434588865</v>
      </c>
      <c r="BG19" s="20">
        <f t="shared" si="7"/>
        <v>105.82562490242275</v>
      </c>
      <c r="BH19" s="59">
        <f t="shared" si="8"/>
        <v>399.15895823575607</v>
      </c>
      <c r="BI19" s="59">
        <f ca="1">AVERAGE(OFFSET($BH$3,0,0,'Données projet'!$E$11+1,1))-AVERAGE(OFFSET($H$3,0,0,'Données projet'!$E$11+1,1))</f>
        <v>325.72928944930294</v>
      </c>
      <c r="BJ19" s="59">
        <f t="shared" si="38"/>
        <v>318.38876834819752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3.8388061640371975</v>
      </c>
      <c r="BQ19" s="21">
        <f>EXP(-LN(2)/25)*BQ18+(1-EXP(-LN(2)/25))/(LN(2)/25)*Calculateur!BL19*Calculateur!BN19*VLOOKUP('Données projet'!$B$11,Paramètres!$A$1:$I$89,3,0)*0.475*44/12</f>
        <v>4.6191338542878215</v>
      </c>
      <c r="BR19" s="21">
        <f>EXP(-LN(2)/2)*BR18+(1-EXP(-LN(2)/2))/(LN(2)/2)*BL19*BO19*VLOOKUP('Données projet'!$B$11,Paramètres!$A$1:$I$89,3,0)*0.475*44/12</f>
        <v>13.836042574723063</v>
      </c>
      <c r="BS19" s="22">
        <f t="shared" si="9"/>
        <v>22.293982593048081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15.15</v>
      </c>
      <c r="BY19" s="12">
        <f>IF('Données projet'!$A$114&gt;35,BY18+BX19-CG18,IF(A19&lt;'Données projet'!$A$114,$BV$205^A19,IF(A19='Données projet'!$A$114,'Données projet'!$B$114,BY18+BX19-CG18)))</f>
        <v>96.639372829791554</v>
      </c>
      <c r="BZ19" s="13">
        <f>BY19*VLOOKUP('Données projet'!$B$12,Paramètres!$A$1:$I$89,3,0)*VLOOKUP('Données projet'!$B$12,Paramètres!$A$1:$I$89,5,0)</f>
        <v>54.021409411853483</v>
      </c>
      <c r="CA19" s="13">
        <f t="shared" si="39"/>
        <v>15.647584429646512</v>
      </c>
      <c r="CB19" s="20">
        <f t="shared" si="10"/>
        <v>121.34016427394583</v>
      </c>
      <c r="CC19" s="59">
        <f t="shared" si="11"/>
        <v>414.67349760727916</v>
      </c>
      <c r="CD19" s="59">
        <f ca="1">AVERAGE(OFFSET($CC$3,0,0,'Données projet'!$E$12+1,1))-AVERAGE(OFFSET($H$3,0,0,'Données projet'!$E$12+1,1))</f>
        <v>475.54809021014017</v>
      </c>
      <c r="CE19" s="59">
        <f t="shared" si="40"/>
        <v>593.51433014569966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7.9</v>
      </c>
      <c r="CT19" s="12">
        <f>IF('Données projet'!$A$140&gt;35,CT18+CS19-DB18,IF(A19&lt;'Données projet'!$A$140,$CQ$205^A19,IF(A19='Données projet'!$A$140,'Données projet'!$B$140,CT18+CS19-DB18)))</f>
        <v>57.401820934596167</v>
      </c>
      <c r="CU19" s="17">
        <f>CT19*VLOOKUP('Données projet'!$B$13,Paramètres!$A$1:$I$89,3,0)*VLOOKUP('Données projet'!$B$13,Paramètres!$A$1:$I$89,5,0)</f>
        <v>26.864052197391008</v>
      </c>
      <c r="CV19" s="13">
        <f t="shared" si="41"/>
        <v>8.4404970471001413</v>
      </c>
      <c r="CW19" s="20">
        <f t="shared" si="13"/>
        <v>61.488756600822086</v>
      </c>
      <c r="CX19" s="59">
        <f t="shared" si="14"/>
        <v>354.82208993415543</v>
      </c>
      <c r="CY19" s="59">
        <f ca="1">AVERAGE(OFFSET($CX$3,0,0,'Données projet'!$E$13+1,1))-AVERAGE(OFFSET($H$3,0,0,'Données projet'!$E$13+1,1))</f>
        <v>226.0452828290525</v>
      </c>
      <c r="CZ19" s="59">
        <f t="shared" si="42"/>
        <v>179.89696397462069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>
        <f>VLOOKUP(A19,'Données projet'!$A$165:$I$185,2,0)</f>
        <v>107</v>
      </c>
      <c r="DM19" s="12">
        <f>VLOOKUP(A19,'Données projet'!$A$165:$I$185,9,0)</f>
        <v>15.25</v>
      </c>
      <c r="DN19" s="12">
        <f t="array" ref="DN19">INDEX(DM:DM,MIN(IF(ISNUMBER(DM19:DM215),ROW(DM19:DM215),"")))</f>
        <v>15.25</v>
      </c>
      <c r="DO19" s="12">
        <f>IF('Données projet'!$A$166&gt;35,DO18+DN19-DW18,IF(A19&lt;'Données projet'!$A$166,$DL$205^A19,IF(A19='Données projet'!$A$166,'Données projet'!$B$166,DO18+DN19-DW18)))</f>
        <v>107</v>
      </c>
      <c r="DP19" s="17">
        <f>DO19*VLOOKUP('Données projet'!$B$14,Paramètres!$A$1:$I$89,3,0)*VLOOKUP('Données projet'!$B$14,Paramètres!$A$1:$I$89,5,0)</f>
        <v>63.986000000000004</v>
      </c>
      <c r="DQ19" s="13">
        <f t="shared" si="43"/>
        <v>18.172251427996663</v>
      </c>
      <c r="DR19" s="20">
        <f t="shared" si="16"/>
        <v>143.09228790376088</v>
      </c>
      <c r="DS19" s="59">
        <f t="shared" si="17"/>
        <v>436.42562123709422</v>
      </c>
      <c r="DT19" s="59">
        <f ca="1">AVERAGE(OFFSET($DS$3,0,0,'Données projet'!$E$14+1,1))-AVERAGE(OFFSET($H$3,0,0,'Données projet'!$E$14+1,1))</f>
        <v>252.81045065813976</v>
      </c>
      <c r="DU19" s="59">
        <f t="shared" si="44"/>
        <v>254.36590349790589</v>
      </c>
      <c r="DV19" s="15">
        <f>IF(ISNA(VLOOKUP(A19,'Données projet'!$A$165:$I$185,3,0)),0,VLOOKUP(A19,'Données projet'!$A$165:$I$185,3,0))</f>
        <v>2</v>
      </c>
      <c r="DW19" s="15">
        <f>IF(ISNA(VLOOKUP(A19,'Données projet'!$A$165:$I$185,4,0)),0,VLOOKUP(A19,'Données projet'!$A$165:$I$185,4,0))</f>
        <v>25</v>
      </c>
      <c r="DX19" s="16">
        <f>IF(ISNA(VLOOKUP(A19,'Données projet'!$A$165:$I$185,5,0)),0%,VLOOKUP(A19,'Données projet'!$A$165:$I$185,5,0)*VLOOKUP('Données projet'!$B$14,Paramètres!$A$1:$I$89,7,0))</f>
        <v>9.0000000000000011E-2</v>
      </c>
      <c r="DY19" s="16">
        <f>IF(ISNA(VLOOKUP(A19,'Données projet'!$A$165:$I$185,6,0)),0%,VLOOKUP(A19,'Données projet'!$A$165:$I$185,6,0)*VLOOKUP('Données projet'!$B$14,Paramètres!$A$1:$I$89,7,0))</f>
        <v>9.0000000000000011E-2</v>
      </c>
      <c r="DZ19" s="16">
        <f>IF(ISNA(VLOOKUP(A19,'Données projet'!$A$165:$I$185,7,0)),0%,VLOOKUP(A19,'Données projet'!$A$165:$I$185,7,0))</f>
        <v>0.6</v>
      </c>
      <c r="EA19" s="21">
        <f>EXP(-LN(2)/35)*EA18+(1-EXP(-LN(2)/35))/(LN(2)/35)*DW19*DX19*VLOOKUP('Données projet'!$B$14,Paramètres!$A$1:$I$89,3,0)*0.475*44/12</f>
        <v>1.7848924747939015</v>
      </c>
      <c r="EB19" s="21">
        <f>EXP(-LN(2)/25)*EB18+(1-EXP(-LN(2)/25))/(LN(2)/25)*Calculateur!DW19*Calculateur!DY19*VLOOKUP('Données projet'!$B$14,Paramètres!$A$1:$I$89,3,0)*0.475*44/12</f>
        <v>1.7778646730232861</v>
      </c>
      <c r="EC19" s="21">
        <f>EXP(-LN(2)/2)*EC18+(1-EXP(-LN(2)/2))/(LN(2)/2)*DW19*DZ19*VLOOKUP('Données projet'!$B$14,Paramètres!$A$1:$I$89,3,0)*0.475*44/12</f>
        <v>10.1561237088124</v>
      </c>
      <c r="ED19" s="22">
        <f t="shared" si="18"/>
        <v>13.718880856629587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16</v>
      </c>
      <c r="EJ19" s="12">
        <f>IF('Données projet'!$A$192&gt;35,EJ18+EI19-ER18,IF(A19&lt;'Données projet'!$A$192,$EG$205^A19,IF(A19='Données projet'!$A$192,'Données projet'!$B$192,EJ18+EI19-ER18)))</f>
        <v>59</v>
      </c>
      <c r="EK19" s="17">
        <f>EJ19*VLOOKUP('Données projet'!$B$15,Paramètres!$A$1:$I$89,3,0)*VLOOKUP('Données projet'!$B$15,Paramètres!$A$1:$I$89,5,0)</f>
        <v>43.258799999999994</v>
      </c>
      <c r="EL19" s="13">
        <f t="shared" si="45"/>
        <v>12.858415781906348</v>
      </c>
      <c r="EM19" s="20">
        <f t="shared" si="19"/>
        <v>97.737484153486875</v>
      </c>
      <c r="EN19" s="59">
        <f t="shared" si="20"/>
        <v>391.0708174868202</v>
      </c>
      <c r="EO19" s="59">
        <f ca="1">AVERAGE(OFFSET($EN$3,0,0,'Données projet'!$E$15+1,1))-AVERAGE(OFFSET($H$3,0,0,'Données projet'!$E$15+1,1))</f>
        <v>296.91321813251051</v>
      </c>
      <c r="EP19" s="59">
        <f t="shared" si="46"/>
        <v>291.0718079639509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2.8702283601624763</v>
      </c>
      <c r="EW19" s="21">
        <f>EXP(-LN(2)/25)*EW18+(1-EXP(-LN(2)/25))/(LN(2)/25)*Calculateur!ER19*Calculateur!ET19*VLOOKUP('Données projet'!$B$15,Paramètres!$A$1:$I$89,3,0)*0.475*44/12</f>
        <v>3.4536698185407646</v>
      </c>
      <c r="EX19" s="21">
        <f>EXP(-LN(2)/2)*EX18+(1-EXP(-LN(2)/2))/(LN(2)/2)*ER19*EU19*VLOOKUP('Données projet'!$B$15,Paramètres!$A$1:$I$89,3,0)*0.475*44/12</f>
        <v>12.750862764940859</v>
      </c>
      <c r="EY19" s="22">
        <f t="shared" si="21"/>
        <v>19.074760943644101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3.65</v>
      </c>
      <c r="FE19" s="12">
        <f>IF('Données projet'!$A$218&gt;35,FE18+FD19-FM18,IF(A19&lt;'Données projet'!$A$218,$FB$205^A19,IF(A19='Données projet'!$A$218,'Données projet'!$B$218,FE18+FD19-FM18)))</f>
        <v>30.949831440200953</v>
      </c>
      <c r="FF19" s="17">
        <f>FE19*VLOOKUP('Données projet'!$B$16,Paramètres!$A$1:$I$89,3,0)*VLOOKUP('Données projet'!$B$16,Paramètres!$A$1:$I$89,5,0)</f>
        <v>31.383129080363769</v>
      </c>
      <c r="FG19" s="13">
        <f t="shared" si="47"/>
        <v>9.6835113353243223</v>
      </c>
      <c r="FH19" s="20">
        <f t="shared" si="22"/>
        <v>71.524398723990075</v>
      </c>
      <c r="FI19" s="59">
        <f t="shared" si="23"/>
        <v>364.8577320573234</v>
      </c>
      <c r="FJ19" s="59">
        <f ca="1">AVERAGE(OFFSET($FI$3,0,0,'Données projet'!$E$16+1,1))-AVERAGE(OFFSET($H$3,0,0,'Données projet'!$E$16+1,1))</f>
        <v>356.65981389369125</v>
      </c>
      <c r="FK19" s="59">
        <f t="shared" si="48"/>
        <v>231.92898690465887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3.65</v>
      </c>
      <c r="FZ19" s="12">
        <f>IF('Données projet'!$A$244&gt;35,FZ18+FY19-GH18,IF(A19&lt;'Données projet'!$A$244,$FW$205^A19,IF(A19='Données projet'!$A$244,'Données projet'!$B$244,FZ18+FY19-GH18)))</f>
        <v>30.949831440200953</v>
      </c>
      <c r="GA19" s="17">
        <f>FZ19*VLOOKUP('Données projet'!$B$17,Paramètres!$A$1:$I$89,3,0)*VLOOKUP('Données projet'!$B$17,Paramètres!$A$1:$I$89,5,0)</f>
        <v>29.934676968962361</v>
      </c>
      <c r="GB19" s="13">
        <f t="shared" si="49"/>
        <v>9.2875233828754098</v>
      </c>
      <c r="GC19" s="20">
        <f t="shared" si="25"/>
        <v>68.311998946117441</v>
      </c>
      <c r="GD19" s="59">
        <f t="shared" si="26"/>
        <v>361.64533227945077</v>
      </c>
      <c r="GE19" s="59">
        <f ca="1">AVERAGE(OFFSET($GD$3,0,0,'Données projet'!$E$17+1,1))-AVERAGE(OFFSET($H$3,0,0,'Données projet'!$E$17+1,1))</f>
        <v>337.76140497227715</v>
      </c>
      <c r="GF19" s="59">
        <f t="shared" si="50"/>
        <v>219.76562717496353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372.20870820074703</v>
      </c>
      <c r="S20" s="59">
        <f ca="1">AVERAGE(OFFSET($R$3,0,0,'Données projet'!$E$9+1,1))-AVERAGE(OFFSET($H$3,0,0,'Données projet'!$E$9+1,1))</f>
        <v>312.53389584272878</v>
      </c>
      <c r="T20" s="59">
        <f t="shared" si="34"/>
        <v>203.5274665601915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16.2</v>
      </c>
      <c r="AI20" s="13">
        <f>IF('Données projet'!$A$62&gt;35,AI19+AH20-AQ19,IF(A20&lt;'Données projet'!$A$62,$AF$205^A20,IF(A20='Données projet'!$A$62,'Données projet'!$B$62,AI19+AH20-AQ19)))</f>
        <v>105.4</v>
      </c>
      <c r="AJ20" s="13">
        <f>AI20*VLOOKUP('Données projet'!$B$10,Paramètres!$A$1:$I$89,3,0)*VLOOKUP('Données projet'!$B$10,Paramètres!$A$1:$I$89,5,0)</f>
        <v>92.07744000000001</v>
      </c>
      <c r="AK20" s="13">
        <f t="shared" si="35"/>
        <v>25.065586122051112</v>
      </c>
      <c r="AL20" s="20">
        <f t="shared" si="4"/>
        <v>204.02410382923904</v>
      </c>
      <c r="AM20" s="59">
        <f t="shared" si="5"/>
        <v>497.35743716257235</v>
      </c>
      <c r="AN20" s="59">
        <f ca="1">AVERAGE(OFFSET($AM$3,0,0,'Données projet'!$E$10+1,1))-AVERAGE(OFFSET($H$3,0,0,'Données projet'!$E$10+1,1))</f>
        <v>243.05628303465238</v>
      </c>
      <c r="AO20" s="59">
        <f t="shared" si="36"/>
        <v>352.47096767658394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1.3304891907446532</v>
      </c>
      <c r="AW20" s="21">
        <f>EXP(-LN(2)/2)*AW19+(1-EXP(-LN(2)/2))/(LN(2)/2)*AQ20*AT20*VLOOKUP('Données projet'!$B$10,Paramètres!$A$1:$I$89,3,0)*0.475*44/12</f>
        <v>7.0062534570937718</v>
      </c>
      <c r="AX20" s="21">
        <f t="shared" si="6"/>
        <v>8.3367426478384257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16</v>
      </c>
      <c r="BD20" s="12">
        <f>IF('Données projet'!$A$88&gt;35,BD19+BC20-BL19,IF(A20&lt;'Données projet'!$A$88,$BA$205^A20,IF(A20='Données projet'!$A$88,'Données projet'!$B$88,BD19+BC20-BL19)))</f>
        <v>75</v>
      </c>
      <c r="BE20" s="13">
        <f>BD20*VLOOKUP('Données projet'!$B$11,Paramètres!$A$1:$I$89,3,0)*VLOOKUP('Données projet'!$B$11,Paramètres!$A$1:$I$89,5,0)</f>
        <v>59.67</v>
      </c>
      <c r="BF20" s="13">
        <f t="shared" si="37"/>
        <v>17.084807896591332</v>
      </c>
      <c r="BG20" s="20">
        <f t="shared" si="7"/>
        <v>133.68129041989656</v>
      </c>
      <c r="BH20" s="59">
        <f t="shared" si="8"/>
        <v>427.0146237532299</v>
      </c>
      <c r="BI20" s="59">
        <f ca="1">AVERAGE(OFFSET($BH$3,0,0,'Données projet'!$E$11+1,1))-AVERAGE(OFFSET($H$3,0,0,'Données projet'!$E$11+1,1))</f>
        <v>325.72928944930294</v>
      </c>
      <c r="BJ20" s="59">
        <f t="shared" si="38"/>
        <v>318.38876834819752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3.7635295166009901</v>
      </c>
      <c r="BQ20" s="21">
        <f>EXP(-LN(2)/25)*BQ19+(1-EXP(-LN(2)/25))/(LN(2)/25)*Calculateur!BL20*Calculateur!BN20*VLOOKUP('Données projet'!$B$11,Paramètres!$A$1:$I$89,3,0)*0.475*44/12</f>
        <v>4.4928233961326285</v>
      </c>
      <c r="BR20" s="21">
        <f>EXP(-LN(2)/2)*BR19+(1-EXP(-LN(2)/2))/(LN(2)/2)*BL20*BO20*VLOOKUP('Données projet'!$B$11,Paramètres!$A$1:$I$89,3,0)*0.475*44/12</f>
        <v>9.7835595293724573</v>
      </c>
      <c r="BS20" s="22">
        <f t="shared" si="9"/>
        <v>18.039912442106075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15.15</v>
      </c>
      <c r="BY20" s="12">
        <f>IF('Données projet'!$A$114&gt;35,BY19+BX20-CG19,IF(A20&lt;'Données projet'!$A$114,$BV$205^A20,IF(A20='Données projet'!$A$114,'Données projet'!$B$114,BY19+BX20-CG19)))</f>
        <v>128.59563704630816</v>
      </c>
      <c r="BZ20" s="13">
        <f>BY20*VLOOKUP('Données projet'!$B$12,Paramètres!$A$1:$I$89,3,0)*VLOOKUP('Données projet'!$B$12,Paramètres!$A$1:$I$89,5,0)</f>
        <v>71.884961108886259</v>
      </c>
      <c r="CA20" s="13">
        <f t="shared" si="39"/>
        <v>20.140833482681852</v>
      </c>
      <c r="CB20" s="20">
        <f t="shared" si="10"/>
        <v>160.27825891364779</v>
      </c>
      <c r="CC20" s="59">
        <f t="shared" si="11"/>
        <v>453.6115922469811</v>
      </c>
      <c r="CD20" s="59">
        <f ca="1">AVERAGE(OFFSET($CC$3,0,0,'Données projet'!$E$12+1,1))-AVERAGE(OFFSET($H$3,0,0,'Données projet'!$E$12+1,1))</f>
        <v>475.54809021014017</v>
      </c>
      <c r="CE20" s="59">
        <f t="shared" si="40"/>
        <v>593.51433014569966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7.9</v>
      </c>
      <c r="CT20" s="12">
        <f>IF('Données projet'!$A$140&gt;35,CT19+CS20-DB19,IF(A20&lt;'Données projet'!$A$140,$CQ$205^A20,IF(A20='Données projet'!$A$140,'Données projet'!$B$140,CT19+CS20-DB19)))</f>
        <v>73.936437994095741</v>
      </c>
      <c r="CU20" s="17">
        <f>CT20*VLOOKUP('Données projet'!$B$13,Paramètres!$A$1:$I$89,3,0)*VLOOKUP('Données projet'!$B$13,Paramètres!$A$1:$I$89,5,0)</f>
        <v>34.602252981236802</v>
      </c>
      <c r="CV20" s="13">
        <f t="shared" si="41"/>
        <v>10.556129086190376</v>
      </c>
      <c r="CW20" s="20">
        <f t="shared" si="13"/>
        <v>78.650848767435647</v>
      </c>
      <c r="CX20" s="59">
        <f t="shared" si="14"/>
        <v>371.98418210076898</v>
      </c>
      <c r="CY20" s="59">
        <f ca="1">AVERAGE(OFFSET($CX$3,0,0,'Données projet'!$E$13+1,1))-AVERAGE(OFFSET($H$3,0,0,'Données projet'!$E$13+1,1))</f>
        <v>226.0452828290525</v>
      </c>
      <c r="CZ20" s="59">
        <f t="shared" si="42"/>
        <v>179.89696397462069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24.75</v>
      </c>
      <c r="DO20" s="12">
        <f>IF('Données projet'!$A$166&gt;35,DO19+DN20-DW19,IF(A20&lt;'Données projet'!$A$166,$DL$205^A20,IF(A20='Données projet'!$A$166,'Données projet'!$B$166,DO19+DN20-DW19)))</f>
        <v>106.75</v>
      </c>
      <c r="DP20" s="17">
        <f>DO20*VLOOKUP('Données projet'!$B$14,Paramètres!$A$1:$I$89,3,0)*VLOOKUP('Données projet'!$B$14,Paramètres!$A$1:$I$89,5,0)</f>
        <v>63.836500000000008</v>
      </c>
      <c r="DQ20" s="13">
        <f t="shared" si="43"/>
        <v>18.134729963710132</v>
      </c>
      <c r="DR20" s="20">
        <f t="shared" si="16"/>
        <v>142.76655885346182</v>
      </c>
      <c r="DS20" s="59">
        <f t="shared" si="17"/>
        <v>436.09989218679516</v>
      </c>
      <c r="DT20" s="59">
        <f ca="1">AVERAGE(OFFSET($DS$3,0,0,'Données projet'!$E$14+1,1))-AVERAGE(OFFSET($H$3,0,0,'Données projet'!$E$14+1,1))</f>
        <v>252.81045065813976</v>
      </c>
      <c r="DU20" s="59">
        <f t="shared" si="44"/>
        <v>254.36590349790589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1.7498918220401047</v>
      </c>
      <c r="EB20" s="21">
        <f>EXP(-LN(2)/25)*EB19+(1-EXP(-LN(2)/25))/(LN(2)/25)*Calculateur!DW20*Calculateur!DY20*VLOOKUP('Données projet'!$B$14,Paramètres!$A$1:$I$89,3,0)*0.475*44/12</f>
        <v>1.7292488700456246</v>
      </c>
      <c r="EC20" s="21">
        <f>EXP(-LN(2)/2)*EC19+(1-EXP(-LN(2)/2))/(LN(2)/2)*DW20*DZ20*VLOOKUP('Données projet'!$B$14,Paramètres!$A$1:$I$89,3,0)*0.475*44/12</f>
        <v>7.1814639450707176</v>
      </c>
      <c r="ED20" s="22">
        <f t="shared" si="18"/>
        <v>10.660604637156446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16</v>
      </c>
      <c r="EJ20" s="12">
        <f>IF('Données projet'!$A$192&gt;35,EJ19+EI20-ER19,IF(A20&lt;'Données projet'!$A$192,$EG$205^A20,IF(A20='Données projet'!$A$192,'Données projet'!$B$192,EJ19+EI20-ER19)))</f>
        <v>75</v>
      </c>
      <c r="EK20" s="17">
        <f>EJ20*VLOOKUP('Données projet'!$B$15,Paramètres!$A$1:$I$89,3,0)*VLOOKUP('Données projet'!$B$15,Paramètres!$A$1:$I$89,5,0)</f>
        <v>54.99</v>
      </c>
      <c r="EL20" s="13">
        <f t="shared" si="45"/>
        <v>15.895227919347008</v>
      </c>
      <c r="EM20" s="20">
        <f t="shared" si="19"/>
        <v>123.45843862619604</v>
      </c>
      <c r="EN20" s="59">
        <f t="shared" si="20"/>
        <v>416.79177195952934</v>
      </c>
      <c r="EO20" s="59">
        <f ca="1">AVERAGE(OFFSET($EN$3,0,0,'Données projet'!$E$15+1,1))-AVERAGE(OFFSET($H$3,0,0,'Données projet'!$E$15+1,1))</f>
        <v>296.91321813251051</v>
      </c>
      <c r="EP20" s="59">
        <f t="shared" si="46"/>
        <v>291.0718079639509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2.8139449326861259</v>
      </c>
      <c r="EW20" s="21">
        <f>EXP(-LN(2)/25)*EW19+(1-EXP(-LN(2)/25))/(LN(2)/25)*Calculateur!ER20*Calculateur!ET20*VLOOKUP('Données projet'!$B$15,Paramètres!$A$1:$I$89,3,0)*0.475*44/12</f>
        <v>3.3592290357321652</v>
      </c>
      <c r="EX20" s="21">
        <f>EXP(-LN(2)/2)*EX19+(1-EXP(-LN(2)/2))/(LN(2)/2)*ER20*EU20*VLOOKUP('Données projet'!$B$15,Paramètres!$A$1:$I$89,3,0)*0.475*44/12</f>
        <v>9.0162215270687334</v>
      </c>
      <c r="EY20" s="22">
        <f t="shared" si="21"/>
        <v>15.189395495487025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3.65</v>
      </c>
      <c r="FE20" s="12">
        <f>IF('Données projet'!$A$218&gt;35,FE19+FD20-FM19,IF(A20&lt;'Données projet'!$A$218,$FB$205^A20,IF(A20='Données projet'!$A$218,'Données projet'!$B$218,FE19+FD20-FM19)))</f>
        <v>38.355215845858055</v>
      </c>
      <c r="FF20" s="17">
        <f>FE20*VLOOKUP('Données projet'!$B$16,Paramètres!$A$1:$I$89,3,0)*VLOOKUP('Données projet'!$B$16,Paramètres!$A$1:$I$89,5,0)</f>
        <v>38.892188867700071</v>
      </c>
      <c r="FG20" s="13">
        <f t="shared" si="47"/>
        <v>11.704543208803392</v>
      </c>
      <c r="FH20" s="20">
        <f t="shared" si="22"/>
        <v>88.122641699910204</v>
      </c>
      <c r="FI20" s="59">
        <f t="shared" si="23"/>
        <v>381.45597503324353</v>
      </c>
      <c r="FJ20" s="59">
        <f ca="1">AVERAGE(OFFSET($FI$3,0,0,'Données projet'!$E$16+1,1))-AVERAGE(OFFSET($H$3,0,0,'Données projet'!$E$16+1,1))</f>
        <v>356.65981389369125</v>
      </c>
      <c r="FK20" s="59">
        <f t="shared" si="48"/>
        <v>231.92898690465887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3.65</v>
      </c>
      <c r="FZ20" s="12">
        <f>IF('Données projet'!$A$244&gt;35,FZ19+FY20-GH19,IF(A20&lt;'Données projet'!$A$244,$FW$205^A20,IF(A20='Données projet'!$A$244,'Données projet'!$B$244,FZ19+FY20-GH19)))</f>
        <v>38.355215845858055</v>
      </c>
      <c r="GA20" s="17">
        <f>FZ20*VLOOKUP('Données projet'!$B$17,Paramètres!$A$1:$I$89,3,0)*VLOOKUP('Données projet'!$B$17,Paramètres!$A$1:$I$89,5,0)</f>
        <v>37.097164766113913</v>
      </c>
      <c r="GB20" s="13">
        <f t="shared" si="49"/>
        <v>11.225909174194843</v>
      </c>
      <c r="GC20" s="20">
        <f t="shared" si="25"/>
        <v>84.162687112704418</v>
      </c>
      <c r="GD20" s="59">
        <f t="shared" si="26"/>
        <v>377.49602044603773</v>
      </c>
      <c r="GE20" s="59">
        <f ca="1">AVERAGE(OFFSET($GD$3,0,0,'Données projet'!$E$17+1,1))-AVERAGE(OFFSET($H$3,0,0,'Données projet'!$E$17+1,1))</f>
        <v>337.76140497227715</v>
      </c>
      <c r="GF20" s="59">
        <f t="shared" si="50"/>
        <v>219.76562717496353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390.51791836449235</v>
      </c>
      <c r="S21" s="59">
        <f ca="1">AVERAGE(OFFSET($R$3,0,0,'Données projet'!$E$9+1,1))-AVERAGE(OFFSET($H$3,0,0,'Données projet'!$E$9+1,1))</f>
        <v>312.53389584272878</v>
      </c>
      <c r="T21" s="59">
        <f t="shared" si="34"/>
        <v>203.5274665601915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16.2</v>
      </c>
      <c r="AI21" s="13">
        <f>IF('Données projet'!$A$62&gt;35,AI20+AH21-AQ20,IF(A21&lt;'Données projet'!$A$62,$AF$205^A21,IF(A21='Données projet'!$A$62,'Données projet'!$B$62,AI20+AH21-AQ20)))</f>
        <v>121.60000000000001</v>
      </c>
      <c r="AJ21" s="13">
        <f>AI21*VLOOKUP('Données projet'!$B$10,Paramètres!$A$1:$I$89,3,0)*VLOOKUP('Données projet'!$B$10,Paramètres!$A$1:$I$89,5,0)</f>
        <v>106.22976000000003</v>
      </c>
      <c r="AK21" s="13">
        <f t="shared" si="35"/>
        <v>28.440891625171492</v>
      </c>
      <c r="AL21" s="20">
        <f t="shared" si="4"/>
        <v>234.55138491384039</v>
      </c>
      <c r="AM21" s="59">
        <f t="shared" si="5"/>
        <v>527.88471824717374</v>
      </c>
      <c r="AN21" s="59">
        <f ca="1">AVERAGE(OFFSET($AM$3,0,0,'Données projet'!$E$10+1,1))-AVERAGE(OFFSET($H$3,0,0,'Données projet'!$E$10+1,1))</f>
        <v>243.05628303465238</v>
      </c>
      <c r="AO21" s="59">
        <f t="shared" si="36"/>
        <v>352.47096767658394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1.2941068938563549</v>
      </c>
      <c r="AW21" s="21">
        <f>EXP(-LN(2)/2)*AW20+(1-EXP(-LN(2)/2))/(LN(2)/2)*AQ21*AT21*VLOOKUP('Données projet'!$B$10,Paramètres!$A$1:$I$89,3,0)*0.475*44/12</f>
        <v>4.9541693302226983</v>
      </c>
      <c r="AX21" s="21">
        <f t="shared" si="6"/>
        <v>6.2482762240790528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16</v>
      </c>
      <c r="BD21" s="12">
        <f>IF('Données projet'!$A$88&gt;35,BD20+BC21-BL20,IF(A21&lt;'Données projet'!$A$88,$BA$205^A21,IF(A21='Données projet'!$A$88,'Données projet'!$B$88,BD20+BC21-BL20)))</f>
        <v>91</v>
      </c>
      <c r="BE21" s="13">
        <f>BD21*VLOOKUP('Données projet'!$B$11,Paramètres!$A$1:$I$89,3,0)*VLOOKUP('Données projet'!$B$11,Paramètres!$A$1:$I$89,5,0)</f>
        <v>72.399600000000007</v>
      </c>
      <c r="BF21" s="13">
        <f t="shared" si="37"/>
        <v>20.268188832715463</v>
      </c>
      <c r="BG21" s="20">
        <f t="shared" si="7"/>
        <v>161.39639888364613</v>
      </c>
      <c r="BH21" s="59">
        <f t="shared" si="8"/>
        <v>454.72973221697941</v>
      </c>
      <c r="BI21" s="59">
        <f ca="1">AVERAGE(OFFSET($BH$3,0,0,'Données projet'!$E$11+1,1))-AVERAGE(OFFSET($H$3,0,0,'Données projet'!$E$11+1,1))</f>
        <v>325.72928944930294</v>
      </c>
      <c r="BJ21" s="59">
        <f t="shared" si="38"/>
        <v>318.38876834819752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3.6897289983067854</v>
      </c>
      <c r="BQ21" s="21">
        <f>EXP(-LN(2)/25)*BQ20+(1-EXP(-LN(2)/25))/(LN(2)/25)*Calculateur!BL21*Calculateur!BN21*VLOOKUP('Données projet'!$B$11,Paramètres!$A$1:$I$89,3,0)*0.475*44/12</f>
        <v>4.3699669040980682</v>
      </c>
      <c r="BR21" s="21">
        <f>EXP(-LN(2)/2)*BR20+(1-EXP(-LN(2)/2))/(LN(2)/2)*BL21*BO21*VLOOKUP('Données projet'!$B$11,Paramètres!$A$1:$I$89,3,0)*0.475*44/12</f>
        <v>6.9180212873615323</v>
      </c>
      <c r="BS21" s="22">
        <f t="shared" si="9"/>
        <v>14.977717189766388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15.15</v>
      </c>
      <c r="BY21" s="12">
        <f>IF('Données projet'!$A$114&gt;35,BY20+BX21-CG20,IF(A21&lt;'Données projet'!$A$114,$BV$205^A21,IF(A21='Données projet'!$A$114,'Données projet'!$B$114,BY20+BX21-CG20)))</f>
        <v>171.11905202936001</v>
      </c>
      <c r="BZ21" s="13">
        <f>BY21*VLOOKUP('Données projet'!$B$12,Paramètres!$A$1:$I$89,3,0)*VLOOKUP('Données projet'!$B$12,Paramètres!$A$1:$I$89,5,0)</f>
        <v>95.655550084412241</v>
      </c>
      <c r="CA21" s="13">
        <f t="shared" si="39"/>
        <v>25.924331976030281</v>
      </c>
      <c r="CB21" s="20">
        <f t="shared" si="10"/>
        <v>211.75162792193737</v>
      </c>
      <c r="CC21" s="59">
        <f t="shared" si="11"/>
        <v>505.08496125527068</v>
      </c>
      <c r="CD21" s="59">
        <f ca="1">AVERAGE(OFFSET($CC$3,0,0,'Données projet'!$E$12+1,1))-AVERAGE(OFFSET($H$3,0,0,'Données projet'!$E$12+1,1))</f>
        <v>475.54809021014017</v>
      </c>
      <c r="CE21" s="59">
        <f t="shared" si="40"/>
        <v>593.51433014569966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7.9</v>
      </c>
      <c r="CT21" s="12">
        <f>IF('Données projet'!$A$140&gt;35,CT20+CS21-DB20,IF(A21&lt;'Données projet'!$A$140,$CQ$205^A21,IF(A21='Données projet'!$A$140,'Données projet'!$B$140,CT20+CS21-DB20)))</f>
        <v>95.233857990035276</v>
      </c>
      <c r="CU21" s="17">
        <f>CT21*VLOOKUP('Données projet'!$B$13,Paramètres!$A$1:$I$89,3,0)*VLOOKUP('Données projet'!$B$13,Paramètres!$A$1:$I$89,5,0)</f>
        <v>44.569445539336513</v>
      </c>
      <c r="CV21" s="13">
        <f t="shared" si="41"/>
        <v>13.202049673437019</v>
      </c>
      <c r="CW21" s="20">
        <f t="shared" si="13"/>
        <v>100.61868749558056</v>
      </c>
      <c r="CX21" s="59">
        <f t="shared" si="14"/>
        <v>393.95202082891387</v>
      </c>
      <c r="CY21" s="59">
        <f ca="1">AVERAGE(OFFSET($CX$3,0,0,'Données projet'!$E$13+1,1))-AVERAGE(OFFSET($H$3,0,0,'Données projet'!$E$13+1,1))</f>
        <v>226.0452828290525</v>
      </c>
      <c r="CZ21" s="59">
        <f t="shared" si="42"/>
        <v>179.89696397462069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24.75</v>
      </c>
      <c r="DO21" s="12">
        <f>IF('Données projet'!$A$166&gt;35,DO20+DN21-DW20,IF(A21&lt;'Données projet'!$A$166,$DL$205^A21,IF(A21='Données projet'!$A$166,'Données projet'!$B$166,DO20+DN21-DW20)))</f>
        <v>131.5</v>
      </c>
      <c r="DP21" s="17">
        <f>DO21*VLOOKUP('Données projet'!$B$14,Paramètres!$A$1:$I$89,3,0)*VLOOKUP('Données projet'!$B$14,Paramètres!$A$1:$I$89,5,0)</f>
        <v>78.637</v>
      </c>
      <c r="DQ21" s="13">
        <f t="shared" si="43"/>
        <v>21.803590973216835</v>
      </c>
      <c r="DR21" s="20">
        <f t="shared" si="16"/>
        <v>174.93402927835265</v>
      </c>
      <c r="DS21" s="59">
        <f t="shared" si="17"/>
        <v>468.26736261168594</v>
      </c>
      <c r="DT21" s="59">
        <f ca="1">AVERAGE(OFFSET($DS$3,0,0,'Données projet'!$E$14+1,1))-AVERAGE(OFFSET($H$3,0,0,'Données projet'!$E$14+1,1))</f>
        <v>252.81045065813976</v>
      </c>
      <c r="DU21" s="59">
        <f t="shared" si="44"/>
        <v>254.36590349790589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1.7155775107385198</v>
      </c>
      <c r="EB21" s="21">
        <f>EXP(-LN(2)/25)*EB20+(1-EXP(-LN(2)/25))/(LN(2)/25)*Calculateur!DW21*Calculateur!DY21*VLOOKUP('Données projet'!$B$14,Paramètres!$A$1:$I$89,3,0)*0.475*44/12</f>
        <v>1.6819624687569812</v>
      </c>
      <c r="EC21" s="21">
        <f>EXP(-LN(2)/2)*EC20+(1-EXP(-LN(2)/2))/(LN(2)/2)*DW21*DZ21*VLOOKUP('Données projet'!$B$14,Paramètres!$A$1:$I$89,3,0)*0.475*44/12</f>
        <v>5.0780618544062008</v>
      </c>
      <c r="ED21" s="22">
        <f t="shared" si="18"/>
        <v>8.4756018339017025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16</v>
      </c>
      <c r="EJ21" s="12">
        <f>IF('Données projet'!$A$192&gt;35,EJ20+EI21-ER20,IF(A21&lt;'Données projet'!$A$192,$EG$205^A21,IF(A21='Données projet'!$A$192,'Données projet'!$B$192,EJ20+EI21-ER20)))</f>
        <v>91</v>
      </c>
      <c r="EK21" s="17">
        <f>EJ21*VLOOKUP('Données projet'!$B$15,Paramètres!$A$1:$I$89,3,0)*VLOOKUP('Données projet'!$B$15,Paramètres!$A$1:$I$89,5,0)</f>
        <v>66.721199999999996</v>
      </c>
      <c r="EL21" s="13">
        <f t="shared" si="45"/>
        <v>18.856956599005905</v>
      </c>
      <c r="EM21" s="20">
        <f t="shared" si="19"/>
        <v>149.0486227432686</v>
      </c>
      <c r="EN21" s="59">
        <f t="shared" si="20"/>
        <v>442.38195607660191</v>
      </c>
      <c r="EO21" s="59">
        <f ca="1">AVERAGE(OFFSET($EN$3,0,0,'Données projet'!$E$15+1,1))-AVERAGE(OFFSET($H$3,0,0,'Données projet'!$E$15+1,1))</f>
        <v>296.91321813251051</v>
      </c>
      <c r="EP21" s="59">
        <f t="shared" si="46"/>
        <v>291.0718079639509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2.7587651888930855</v>
      </c>
      <c r="EW21" s="21">
        <f>EXP(-LN(2)/25)*EW20+(1-EXP(-LN(2)/25))/(LN(2)/25)*Calculateur!ER21*Calculateur!ET21*VLOOKUP('Données projet'!$B$15,Paramètres!$A$1:$I$89,3,0)*0.475*44/12</f>
        <v>3.2673707410958919</v>
      </c>
      <c r="EX21" s="21">
        <f>EXP(-LN(2)/2)*EX20+(1-EXP(-LN(2)/2))/(LN(2)/2)*ER21*EU21*VLOOKUP('Données projet'!$B$15,Paramètres!$A$1:$I$89,3,0)*0.475*44/12</f>
        <v>6.3754313824704303</v>
      </c>
      <c r="EY21" s="22">
        <f t="shared" si="21"/>
        <v>12.401567312459408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3.65</v>
      </c>
      <c r="FE21" s="12">
        <f>IF('Données projet'!$A$218&gt;35,FE20+FD21-FM20,IF(A21&lt;'Données projet'!$A$218,$FB$205^A21,IF(A21='Données projet'!$A$218,'Données projet'!$B$218,FE20+FD21-FM20)))</f>
        <v>47.532490941824946</v>
      </c>
      <c r="FF21" s="17">
        <f>FE21*VLOOKUP('Données projet'!$B$16,Paramètres!$A$1:$I$89,3,0)*VLOOKUP('Données projet'!$B$16,Paramètres!$A$1:$I$89,5,0)</f>
        <v>48.197945815010499</v>
      </c>
      <c r="FG21" s="13">
        <f t="shared" si="47"/>
        <v>14.147381769152156</v>
      </c>
      <c r="FH21" s="20">
        <f t="shared" si="22"/>
        <v>108.58477887574996</v>
      </c>
      <c r="FI21" s="59">
        <f t="shared" si="23"/>
        <v>401.91811220908329</v>
      </c>
      <c r="FJ21" s="59">
        <f ca="1">AVERAGE(OFFSET($FI$3,0,0,'Données projet'!$E$16+1,1))-AVERAGE(OFFSET($H$3,0,0,'Données projet'!$E$16+1,1))</f>
        <v>356.65981389369125</v>
      </c>
      <c r="FK21" s="59">
        <f t="shared" si="48"/>
        <v>231.92898690465887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3.65</v>
      </c>
      <c r="FZ21" s="12">
        <f>IF('Données projet'!$A$244&gt;35,FZ20+FY21-GH20,IF(A21&lt;'Données projet'!$A$244,$FW$205^A21,IF(A21='Données projet'!$A$244,'Données projet'!$B$244,FZ20+FY21-GH20)))</f>
        <v>47.532490941824946</v>
      </c>
      <c r="GA21" s="17">
        <f>FZ21*VLOOKUP('Données projet'!$B$17,Paramètres!$A$1:$I$89,3,0)*VLOOKUP('Données projet'!$B$17,Paramètres!$A$1:$I$89,5,0)</f>
        <v>45.973425238933089</v>
      </c>
      <c r="GB21" s="13">
        <f t="shared" si="49"/>
        <v>13.56885270616201</v>
      </c>
      <c r="GC21" s="20">
        <f t="shared" si="25"/>
        <v>103.70280075437397</v>
      </c>
      <c r="GD21" s="59">
        <f t="shared" si="26"/>
        <v>397.0361340877073</v>
      </c>
      <c r="GE21" s="59">
        <f ca="1">AVERAGE(OFFSET($GD$3,0,0,'Données projet'!$E$17+1,1))-AVERAGE(OFFSET($H$3,0,0,'Données projet'!$E$17+1,1))</f>
        <v>337.76140497227715</v>
      </c>
      <c r="GF21" s="59">
        <f t="shared" si="50"/>
        <v>219.76562717496353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413.0904086280766</v>
      </c>
      <c r="S22" s="59">
        <f ca="1">AVERAGE(OFFSET($R$3,0,0,'Données projet'!$E$9+1,1))-AVERAGE(OFFSET($H$3,0,0,'Données projet'!$E$9+1,1))</f>
        <v>312.53389584272878</v>
      </c>
      <c r="T22" s="59">
        <f t="shared" si="34"/>
        <v>203.5274665601915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16.2</v>
      </c>
      <c r="AI22" s="13">
        <f>IF('Données projet'!$A$62&gt;35,AI21+AH22-AQ21,IF(A22&lt;'Données projet'!$A$62,$AF$205^A22,IF(A22='Données projet'!$A$62,'Données projet'!$B$62,AI21+AH22-AQ21)))</f>
        <v>137.80000000000001</v>
      </c>
      <c r="AJ22" s="13">
        <f>AI22*VLOOKUP('Données projet'!$B$10,Paramètres!$A$1:$I$89,3,0)*VLOOKUP('Données projet'!$B$10,Paramètres!$A$1:$I$89,5,0)</f>
        <v>120.38208000000003</v>
      </c>
      <c r="AK22" s="13">
        <f t="shared" si="35"/>
        <v>31.76409668560358</v>
      </c>
      <c r="AL22" s="20">
        <f t="shared" si="4"/>
        <v>264.98792439409294</v>
      </c>
      <c r="AM22" s="59">
        <f t="shared" si="5"/>
        <v>558.3212577274262</v>
      </c>
      <c r="AN22" s="59">
        <f ca="1">AVERAGE(OFFSET($AM$3,0,0,'Données projet'!$E$10+1,1))-AVERAGE(OFFSET($H$3,0,0,'Données projet'!$E$10+1,1))</f>
        <v>243.05628303465238</v>
      </c>
      <c r="AO22" s="59">
        <f t="shared" si="36"/>
        <v>352.47096767658394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1.2587194727897291</v>
      </c>
      <c r="AW22" s="21">
        <f>EXP(-LN(2)/2)*AW21+(1-EXP(-LN(2)/2))/(LN(2)/2)*AQ22*AT22*VLOOKUP('Données projet'!$B$10,Paramètres!$A$1:$I$89,3,0)*0.475*44/12</f>
        <v>3.5031267285468863</v>
      </c>
      <c r="AX22" s="21">
        <f t="shared" si="6"/>
        <v>4.7618462013366152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16</v>
      </c>
      <c r="BD22" s="12">
        <f>IF('Données projet'!$A$88&gt;35,BD21+BC22-BL21,IF(A22&lt;'Données projet'!$A$88,$BA$205^A22,IF(A22='Données projet'!$A$88,'Données projet'!$B$88,BD21+BC22-BL21)))</f>
        <v>107</v>
      </c>
      <c r="BE22" s="13">
        <f>BD22*VLOOKUP('Données projet'!$B$11,Paramètres!$A$1:$I$89,3,0)*VLOOKUP('Données projet'!$B$11,Paramètres!$A$1:$I$89,5,0)</f>
        <v>85.129199999999997</v>
      </c>
      <c r="BF22" s="13">
        <f t="shared" si="37"/>
        <v>23.386728480923388</v>
      </c>
      <c r="BG22" s="20">
        <f t="shared" si="7"/>
        <v>188.99857543760822</v>
      </c>
      <c r="BH22" s="59">
        <f t="shared" si="8"/>
        <v>482.33190877094154</v>
      </c>
      <c r="BI22" s="59">
        <f ca="1">AVERAGE(OFFSET($BH$3,0,0,'Données projet'!$E$11+1,1))-AVERAGE(OFFSET($H$3,0,0,'Données projet'!$E$11+1,1))</f>
        <v>325.72928944930294</v>
      </c>
      <c r="BJ22" s="59">
        <f t="shared" si="38"/>
        <v>318.38876834819752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3.6173756631624587</v>
      </c>
      <c r="BQ22" s="21">
        <f>EXP(-LN(2)/25)*BQ21+(1-EXP(-LN(2)/25))/(LN(2)/25)*Calculateur!BL22*Calculateur!BN22*VLOOKUP('Données projet'!$B$11,Paramètres!$A$1:$I$89,3,0)*0.475*44/12</f>
        <v>4.2504699292989345</v>
      </c>
      <c r="BR22" s="21">
        <f>EXP(-LN(2)/2)*BR21+(1-EXP(-LN(2)/2))/(LN(2)/2)*BL22*BO22*VLOOKUP('Données projet'!$B$11,Paramètres!$A$1:$I$89,3,0)*0.475*44/12</f>
        <v>4.8917797646862295</v>
      </c>
      <c r="BS22" s="22">
        <f t="shared" si="9"/>
        <v>12.759625357147623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15.15</v>
      </c>
      <c r="BY22" s="12">
        <f>IF('Données projet'!$A$114&gt;35,BY21+BX22-CG21,IF(A22&lt;'Données projet'!$A$114,$BV$205^A22,IF(A22='Données projet'!$A$114,'Données projet'!$B$114,BY21+BX22-CG21)))</f>
        <v>227.70391468944055</v>
      </c>
      <c r="BZ22" s="13">
        <f>BY22*VLOOKUP('Données projet'!$B$12,Paramètres!$A$1:$I$89,3,0)*VLOOKUP('Données projet'!$B$12,Paramètres!$A$1:$I$89,5,0)</f>
        <v>127.28648831139728</v>
      </c>
      <c r="CA22" s="13">
        <f t="shared" si="39"/>
        <v>33.368578762209985</v>
      </c>
      <c r="CB22" s="20">
        <f t="shared" si="10"/>
        <v>279.80757515319931</v>
      </c>
      <c r="CC22" s="59">
        <f t="shared" si="11"/>
        <v>573.14090848653268</v>
      </c>
      <c r="CD22" s="59">
        <f ca="1">AVERAGE(OFFSET($CC$3,0,0,'Données projet'!$E$12+1,1))-AVERAGE(OFFSET($H$3,0,0,'Données projet'!$E$12+1,1))</f>
        <v>475.54809021014017</v>
      </c>
      <c r="CE22" s="59">
        <f t="shared" si="40"/>
        <v>593.51433014569966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7.9</v>
      </c>
      <c r="CT22" s="12">
        <f>IF('Données projet'!$A$140&gt;35,CT21+CS22-DB21,IF(A22&lt;'Données projet'!$A$140,$CQ$205^A22,IF(A22='Données projet'!$A$140,'Données projet'!$B$140,CT21+CS22-DB21)))</f>
        <v>122.66600817840934</v>
      </c>
      <c r="CU22" s="17">
        <f>CT22*VLOOKUP('Données projet'!$B$13,Paramètres!$A$1:$I$89,3,0)*VLOOKUP('Données projet'!$B$13,Paramètres!$A$1:$I$89,5,0)</f>
        <v>57.407691827495569</v>
      </c>
      <c r="CV22" s="13">
        <f t="shared" si="41"/>
        <v>16.511176981334152</v>
      </c>
      <c r="CW22" s="20">
        <f t="shared" si="13"/>
        <v>128.7420298420451</v>
      </c>
      <c r="CX22" s="59">
        <f t="shared" si="14"/>
        <v>422.07536317537841</v>
      </c>
      <c r="CY22" s="59">
        <f ca="1">AVERAGE(OFFSET($CX$3,0,0,'Données projet'!$E$13+1,1))-AVERAGE(OFFSET($H$3,0,0,'Données projet'!$E$13+1,1))</f>
        <v>226.0452828290525</v>
      </c>
      <c r="CZ22" s="59">
        <f t="shared" si="42"/>
        <v>179.89696397462069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24.75</v>
      </c>
      <c r="DO22" s="12">
        <f>IF('Données projet'!$A$166&gt;35,DO21+DN22-DW21,IF(A22&lt;'Données projet'!$A$166,$DL$205^A22,IF(A22='Données projet'!$A$166,'Données projet'!$B$166,DO21+DN22-DW21)))</f>
        <v>156.25</v>
      </c>
      <c r="DP22" s="17">
        <f>DO22*VLOOKUP('Données projet'!$B$14,Paramètres!$A$1:$I$89,3,0)*VLOOKUP('Données projet'!$B$14,Paramètres!$A$1:$I$89,5,0)</f>
        <v>93.4375</v>
      </c>
      <c r="DQ22" s="13">
        <f t="shared" si="43"/>
        <v>25.392450004049856</v>
      </c>
      <c r="DR22" s="20">
        <f t="shared" si="16"/>
        <v>206.96216292372014</v>
      </c>
      <c r="DS22" s="59">
        <f t="shared" si="17"/>
        <v>500.29549625705346</v>
      </c>
      <c r="DT22" s="59">
        <f ca="1">AVERAGE(OFFSET($DS$3,0,0,'Données projet'!$E$14+1,1))-AVERAGE(OFFSET($H$3,0,0,'Données projet'!$E$14+1,1))</f>
        <v>252.81045065813976</v>
      </c>
      <c r="DU22" s="59">
        <f t="shared" si="44"/>
        <v>254.36590349790589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1.6819360821518956</v>
      </c>
      <c r="EB22" s="21">
        <f>EXP(-LN(2)/25)*EB21+(1-EXP(-LN(2)/25))/(LN(2)/25)*Calculateur!DW22*Calculateur!DY22*VLOOKUP('Données projet'!$B$14,Paramètres!$A$1:$I$89,3,0)*0.475*44/12</f>
        <v>1.6359691165982595</v>
      </c>
      <c r="EC22" s="21">
        <f>EXP(-LN(2)/2)*EC21+(1-EXP(-LN(2)/2))/(LN(2)/2)*DW22*DZ22*VLOOKUP('Données projet'!$B$14,Paramètres!$A$1:$I$89,3,0)*0.475*44/12</f>
        <v>3.5907319725353593</v>
      </c>
      <c r="ED22" s="22">
        <f t="shared" si="18"/>
        <v>6.9086371712855144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16</v>
      </c>
      <c r="EJ22" s="12">
        <f>IF('Données projet'!$A$192&gt;35,EJ21+EI22-ER21,IF(A22&lt;'Données projet'!$A$192,$EG$205^A22,IF(A22='Données projet'!$A$192,'Données projet'!$B$192,EJ21+EI22-ER21)))</f>
        <v>107</v>
      </c>
      <c r="EK22" s="17">
        <f>EJ22*VLOOKUP('Données projet'!$B$15,Paramètres!$A$1:$I$89,3,0)*VLOOKUP('Données projet'!$B$15,Paramètres!$A$1:$I$89,5,0)</f>
        <v>78.452399999999997</v>
      </c>
      <c r="EL22" s="13">
        <f t="shared" si="45"/>
        <v>21.75835875604599</v>
      </c>
      <c r="EM22" s="20">
        <f t="shared" si="19"/>
        <v>174.53373816678013</v>
      </c>
      <c r="EN22" s="59">
        <f t="shared" si="20"/>
        <v>467.86707150011341</v>
      </c>
      <c r="EO22" s="59">
        <f ca="1">AVERAGE(OFFSET($EN$3,0,0,'Données projet'!$E$15+1,1))-AVERAGE(OFFSET($H$3,0,0,'Données projet'!$E$15+1,1))</f>
        <v>296.91321813251051</v>
      </c>
      <c r="EP22" s="59">
        <f t="shared" si="46"/>
        <v>291.0718079639509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2.7046674862195066</v>
      </c>
      <c r="EW22" s="21">
        <f>EXP(-LN(2)/25)*EW21+(1-EXP(-LN(2)/25))/(LN(2)/25)*Calculateur!ER22*Calculateur!ET22*VLOOKUP('Données projet'!$B$15,Paramètres!$A$1:$I$89,3,0)*0.475*44/12</f>
        <v>3.1780243163570652</v>
      </c>
      <c r="EX22" s="21">
        <f>EXP(-LN(2)/2)*EX21+(1-EXP(-LN(2)/2))/(LN(2)/2)*ER22*EU22*VLOOKUP('Données projet'!$B$15,Paramètres!$A$1:$I$89,3,0)*0.475*44/12</f>
        <v>4.5081107635343667</v>
      </c>
      <c r="EY22" s="22">
        <f t="shared" si="21"/>
        <v>10.390802566110938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3.65</v>
      </c>
      <c r="FE22" s="12">
        <f>IF('Données projet'!$A$218&gt;35,FE21+FD22-FM21,IF(A22&lt;'Données projet'!$A$218,$FB$205^A22,IF(A22='Données projet'!$A$218,'Données projet'!$B$218,FE21+FD22-FM21)))</f>
        <v>58.90561805764559</v>
      </c>
      <c r="FF22" s="17">
        <f>FE22*VLOOKUP('Données projet'!$B$16,Paramètres!$A$1:$I$89,3,0)*VLOOKUP('Données projet'!$B$16,Paramètres!$A$1:$I$89,5,0)</f>
        <v>59.730296710452635</v>
      </c>
      <c r="FG22" s="13">
        <f t="shared" si="47"/>
        <v>17.100061689857345</v>
      </c>
      <c r="FH22" s="20">
        <f t="shared" si="22"/>
        <v>133.81287421387319</v>
      </c>
      <c r="FI22" s="59">
        <f t="shared" si="23"/>
        <v>427.14620754720647</v>
      </c>
      <c r="FJ22" s="59">
        <f ca="1">AVERAGE(OFFSET($FI$3,0,0,'Données projet'!$E$16+1,1))-AVERAGE(OFFSET($H$3,0,0,'Données projet'!$E$16+1,1))</f>
        <v>356.65981389369125</v>
      </c>
      <c r="FK22" s="59">
        <f t="shared" si="48"/>
        <v>231.92898690465887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3.65</v>
      </c>
      <c r="FZ22" s="12">
        <f>IF('Données projet'!$A$244&gt;35,FZ21+FY22-GH21,IF(A22&lt;'Données projet'!$A$244,$FW$205^A22,IF(A22='Données projet'!$A$244,'Données projet'!$B$244,FZ21+FY22-GH21)))</f>
        <v>58.90561805764559</v>
      </c>
      <c r="GA22" s="17">
        <f>FZ22*VLOOKUP('Données projet'!$B$17,Paramètres!$A$1:$I$89,3,0)*VLOOKUP('Données projet'!$B$17,Paramètres!$A$1:$I$89,5,0)</f>
        <v>56.973513785354818</v>
      </c>
      <c r="GB22" s="13">
        <f t="shared" si="49"/>
        <v>16.400788649238766</v>
      </c>
      <c r="GC22" s="20">
        <f t="shared" si="25"/>
        <v>127.7935767402505</v>
      </c>
      <c r="GD22" s="59">
        <f t="shared" si="26"/>
        <v>421.12691007358382</v>
      </c>
      <c r="GE22" s="59">
        <f ca="1">AVERAGE(OFFSET($GD$3,0,0,'Données projet'!$E$17+1,1))-AVERAGE(OFFSET($H$3,0,0,'Données projet'!$E$17+1,1))</f>
        <v>337.76140497227715</v>
      </c>
      <c r="GF22" s="59">
        <f t="shared" si="50"/>
        <v>219.76562717496353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440.92171753768048</v>
      </c>
      <c r="S23" s="59">
        <f ca="1">AVERAGE(OFFSET($R$3,0,0,'Données projet'!$E$9+1,1))-AVERAGE(OFFSET($H$3,0,0,'Données projet'!$E$9+1,1))</f>
        <v>312.53389584272878</v>
      </c>
      <c r="T23" s="59">
        <f t="shared" si="34"/>
        <v>203.5274665601915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8.6000000000000007E-2</v>
      </c>
      <c r="X23" s="16">
        <f>IF(ISNA(VLOOKUP(A23,'Données projet'!$A$35:$I$55,6,0)),0%,VLOOKUP(A23,'Données projet'!$A$35:$I$55,6,0)*VLOOKUP('Données projet'!$B$9,Paramètres!$A$1:$I$89,7,0))</f>
        <v>8.6000000000000007E-2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0.51611847329112925</v>
      </c>
      <c r="AA23" s="21">
        <f>EXP(-LN(2)/25)*AA22+(1-EXP(-LN(2)/25))/(LN(2)/25)*Calculateur!V23*Calculateur!X23*VLOOKUP('Données projet'!$B$9,Paramètres!$A$1:$I$89,3,0)*0.475*44/12</f>
        <v>0.51408631820522621</v>
      </c>
      <c r="AB23" s="21">
        <f>EXP(-LN(2)/2)*AB22+(1-EXP(-LN(2)/2))/(LN(2)/2)*V23*Y23*VLOOKUP('Données projet'!$B$9,Paramètres!$A$1:$I$89,3,0)*0.475*44/12</f>
        <v>3.0733313484058384</v>
      </c>
      <c r="AC23" s="22">
        <f t="shared" si="3"/>
        <v>4.1035361399021939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154</v>
      </c>
      <c r="AG23" s="12">
        <f>VLOOKUP(A23,'Données projet'!$A$61:$I$81,9,0)</f>
        <v>16.2</v>
      </c>
      <c r="AH23" s="12">
        <f t="array" ref="AH23">INDEX(AG:AG,MIN(IF(ISNUMBER(AG23:AG219),ROW(AG23:AG219),"")))</f>
        <v>16.2</v>
      </c>
      <c r="AI23" s="13">
        <f>IF('Données projet'!$A$62&gt;35,AI22+AH23-AQ22,IF(A23&lt;'Données projet'!$A$62,$AF$205^A23,IF(A23='Données projet'!$A$62,'Données projet'!$B$62,AI22+AH23-AQ22)))</f>
        <v>154</v>
      </c>
      <c r="AJ23" s="13">
        <f>AI23*VLOOKUP('Données projet'!$B$10,Paramètres!$A$1:$I$89,3,0)*VLOOKUP('Données projet'!$B$10,Paramètres!$A$1:$I$89,5,0)</f>
        <v>134.53440000000001</v>
      </c>
      <c r="AK23" s="13">
        <f t="shared" si="35"/>
        <v>35.042026165482234</v>
      </c>
      <c r="AL23" s="20">
        <f t="shared" si="4"/>
        <v>295.34560890488154</v>
      </c>
      <c r="AM23" s="59">
        <f t="shared" si="5"/>
        <v>588.67894223821486</v>
      </c>
      <c r="AN23" s="59">
        <f ca="1">AVERAGE(OFFSET($AM$3,0,0,'Données projet'!$E$10+1,1))-AVERAGE(OFFSET($H$3,0,0,'Données projet'!$E$10+1,1))</f>
        <v>243.05628303465238</v>
      </c>
      <c r="AO23" s="59">
        <f t="shared" si="36"/>
        <v>352.47096767658394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50</v>
      </c>
      <c r="AR23" s="16">
        <f>IF(ISNA(VLOOKUP(A23,'Données projet'!$A$61:$I$81,5,0)),0%,VLOOKUP(A23,'Données projet'!$A$61:$I$81,5,0)*VLOOKUP('Données projet'!$B$10,Paramètres!$A$1:$I$89,7,0))</f>
        <v>4.3000000000000003E-2</v>
      </c>
      <c r="AS23" s="16">
        <f>IF(ISNA(VLOOKUP(A23,'Données projet'!$A$61:$I$81,6,0)),0%,VLOOKUP(A23,'Données projet'!$A$61:$I$81,6,0)*VLOOKUP('Données projet'!$B$10,Paramètres!$A$1:$I$89,7,0))</f>
        <v>8.6000000000000007E-2</v>
      </c>
      <c r="AT23" s="16">
        <f>IF(ISNA(VLOOKUP(A23,'Données projet'!$A$61:$I$81,7,0)),0%,VLOOKUP(A23,'Données projet'!$A$61:$I$81,7,0))</f>
        <v>0.4</v>
      </c>
      <c r="AU23" s="21">
        <f>EXP(-LN(2)/35)*AU22+(1-EXP(-LN(2)/35))/(LN(2)/35)*AQ23*AR23*VLOOKUP('Données projet'!$B$10,Paramètres!$A$1:$I$89,3,0)*0.475*44/12</f>
        <v>2.0763386856539685</v>
      </c>
      <c r="AV23" s="21">
        <f>EXP(-LN(2)/25)*AV22+(1-EXP(-LN(2)/25))/(LN(2)/25)*Calculateur!AQ23*Calculateur!AS23*VLOOKUP('Données projet'!$B$10,Paramètres!$A$1:$I$89,3,0)*0.475*44/12</f>
        <v>5.3606264208160841</v>
      </c>
      <c r="AW23" s="21">
        <f>EXP(-LN(2)/2)*AW22+(1-EXP(-LN(2)/2))/(LN(2)/2)*AQ23*AT23*VLOOKUP('Données projet'!$B$10,Paramètres!$A$1:$I$89,3,0)*0.475*44/12</f>
        <v>18.962386917096691</v>
      </c>
      <c r="AX23" s="21">
        <f t="shared" si="6"/>
        <v>26.399352023566742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123</v>
      </c>
      <c r="BB23" s="12">
        <f>VLOOKUP(A23,'Données projet'!$A$87:$I$107,9,0)</f>
        <v>16</v>
      </c>
      <c r="BC23" s="12">
        <f t="array" ref="BC23">INDEX(BB:BB,MIN(IF(ISNUMBER(BB23:BB219),ROW(BB23:BB219),"")))</f>
        <v>16</v>
      </c>
      <c r="BD23" s="12">
        <f>IF('Données projet'!$A$88&gt;35,BD22+BC23-BL22,IF(A23&lt;'Données projet'!$A$88,$BA$205^A23,IF(A23='Données projet'!$A$88,'Données projet'!$B$88,BD22+BC23-BL22)))</f>
        <v>123</v>
      </c>
      <c r="BE23" s="13">
        <f>BD23*VLOOKUP('Données projet'!$B$11,Paramètres!$A$1:$I$89,3,0)*VLOOKUP('Données projet'!$B$11,Paramètres!$A$1:$I$89,5,0)</f>
        <v>97.858800000000016</v>
      </c>
      <c r="BF23" s="13">
        <f t="shared" si="37"/>
        <v>26.45124536158788</v>
      </c>
      <c r="BG23" s="20">
        <f t="shared" si="7"/>
        <v>216.50666233809889</v>
      </c>
      <c r="BH23" s="59">
        <f t="shared" si="8"/>
        <v>509.83999567143223</v>
      </c>
      <c r="BI23" s="59">
        <f ca="1">AVERAGE(OFFSET($BH$3,0,0,'Données projet'!$E$11+1,1))-AVERAGE(OFFSET($H$3,0,0,'Données projet'!$E$11+1,1))</f>
        <v>325.72928944930294</v>
      </c>
      <c r="BJ23" s="59">
        <f t="shared" si="38"/>
        <v>318.38876834819752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42</v>
      </c>
      <c r="BM23" s="16">
        <f>IF(ISNA(VLOOKUP(A23,'Données projet'!$A$87:$I$107,5,0)),0%,VLOOKUP(A23,'Données projet'!$A$87:$I$107,5,0)*VLOOKUP('Données projet'!$B$11,Paramètres!$A$1:$I$89,7,0))</f>
        <v>0.10600000000000001</v>
      </c>
      <c r="BN23" s="16">
        <f>IF(ISNA(VLOOKUP(A23,'Données projet'!$A$87:$I$107,6,0)),0%,VLOOKUP(A23,'Données projet'!$A$87:$I$107,6,0)*VLOOKUP('Données projet'!$B$11,Paramètres!$A$1:$I$89,7,0))</f>
        <v>0.10600000000000001</v>
      </c>
      <c r="BO23" s="16">
        <f>IF(ISNA(VLOOKUP(A23,'Données projet'!$A$87:$I$107,7,0)),0%,VLOOKUP(A23,'Données projet'!$A$87:$I$107,7,0))</f>
        <v>0.6</v>
      </c>
      <c r="BP23" s="21">
        <f>EXP(-LN(2)/35)*BP22+(1-EXP(-LN(2)/35))/(LN(2)/35)*BL23*BM23*VLOOKUP('Données projet'!$B$11,Paramètres!$A$1:$I$89,3,0)*0.475*44/12</f>
        <v>7.4620295983630971</v>
      </c>
      <c r="BQ23" s="21">
        <f>EXP(-LN(2)/25)*BQ22+(1-EXP(-LN(2)/25))/(LN(2)/25)*Calculateur!BL23*Calculateur!BN23*VLOOKUP('Données projet'!$B$11,Paramètres!$A$1:$I$89,3,0)*0.475*44/12</f>
        <v>8.0344119073885789</v>
      </c>
      <c r="BR23" s="21">
        <f>EXP(-LN(2)/2)*BR22+(1-EXP(-LN(2)/2))/(LN(2)/2)*BL23*BO23*VLOOKUP('Données projet'!$B$11,Paramètres!$A$1:$I$89,3,0)*0.475*44/12</f>
        <v>22.375894977833948</v>
      </c>
      <c r="BS23" s="22">
        <f t="shared" si="9"/>
        <v>37.872336483585627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303</v>
      </c>
      <c r="BW23" s="12">
        <f>VLOOKUP(A23,'Données projet'!$A$113:$I$133,9,0)</f>
        <v>15.15</v>
      </c>
      <c r="BX23" s="12">
        <f t="array" ref="BX23">INDEX(BW:BW,MIN(IF(ISNUMBER(BW23:BW219),ROW(BW23:BW219),"")))</f>
        <v>15.15</v>
      </c>
      <c r="BY23" s="12">
        <f>IF('Données projet'!$A$114&gt;35,BY22+BX23-CG22,IF(A23&lt;'Données projet'!$A$114,$BV$205^A23,IF(A23='Données projet'!$A$114,'Données projet'!$B$114,BY22+BX23-CG22)))</f>
        <v>303</v>
      </c>
      <c r="BZ23" s="13">
        <f>BY23*VLOOKUP('Données projet'!$B$12,Paramètres!$A$1:$I$89,3,0)*VLOOKUP('Données projet'!$B$12,Paramètres!$A$1:$I$89,5,0)</f>
        <v>169.37700000000001</v>
      </c>
      <c r="CA23" s="13">
        <f t="shared" si="39"/>
        <v>42.950462509094685</v>
      </c>
      <c r="CB23" s="20">
        <f t="shared" si="10"/>
        <v>369.80366387000657</v>
      </c>
      <c r="CC23" s="59">
        <f t="shared" si="11"/>
        <v>663.13699720333989</v>
      </c>
      <c r="CD23" s="59">
        <f ca="1">AVERAGE(OFFSET($CC$3,0,0,'Données projet'!$E$12+1,1))-AVERAGE(OFFSET($H$3,0,0,'Données projet'!$E$12+1,1))</f>
        <v>475.54809021014017</v>
      </c>
      <c r="CE23" s="59">
        <f t="shared" si="40"/>
        <v>593.51433014569966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43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0.33</v>
      </c>
      <c r="CJ23" s="16">
        <f>IF(ISNA(VLOOKUP(A23,'Données projet'!$A$113:$I$133,7,0)),0%,VLOOKUP(A23,'Données projet'!$A$113:$I$133,7,0))</f>
        <v>0.4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10.481156401339309</v>
      </c>
      <c r="CM23" s="21">
        <f>EXP(-LN(2)/2)*CM22+(1-EXP(-LN(2)/2))/(LN(2)/2)*CG23*CJ23*VLOOKUP('Données projet'!$B$12,Paramètres!$A$1:$I$89,3,0)*0.475*44/12</f>
        <v>10.886187094257464</v>
      </c>
      <c r="CN23" s="22">
        <f t="shared" si="12"/>
        <v>21.367343495596771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158</v>
      </c>
      <c r="CR23" s="12">
        <f>VLOOKUP(A23,'Données projet'!$A$139:$I$159,9,0)</f>
        <v>7.9</v>
      </c>
      <c r="CS23" s="12">
        <f t="array" ref="CS23">INDEX(CR:CR,MIN(IF(ISNUMBER(CR23:CR219),ROW(CR23:CR219),"")))</f>
        <v>7.9</v>
      </c>
      <c r="CT23" s="12">
        <f>IF('Données projet'!$A$140&gt;35,CT22+CS23-DB22,IF(A23&lt;'Données projet'!$A$140,$CQ$205^A23,IF(A23='Données projet'!$A$140,'Données projet'!$B$140,CT22+CS23-DB22)))</f>
        <v>158</v>
      </c>
      <c r="CU23" s="17">
        <f>CT23*VLOOKUP('Données projet'!$B$13,Paramètres!$A$1:$I$89,3,0)*VLOOKUP('Données projet'!$B$13,Paramètres!$A$1:$I$89,5,0)</f>
        <v>73.944000000000003</v>
      </c>
      <c r="CV23" s="13">
        <f t="shared" si="41"/>
        <v>20.649745460165708</v>
      </c>
      <c r="CW23" s="20">
        <f t="shared" si="13"/>
        <v>164.75077334312192</v>
      </c>
      <c r="CX23" s="59">
        <f t="shared" si="14"/>
        <v>458.08410667645524</v>
      </c>
      <c r="CY23" s="59">
        <f ca="1">AVERAGE(OFFSET($CX$3,0,0,'Données projet'!$E$13+1,1))-AVERAGE(OFFSET($H$3,0,0,'Données projet'!$E$13+1,1))</f>
        <v>226.0452828290525</v>
      </c>
      <c r="CZ23" s="59">
        <f t="shared" si="42"/>
        <v>179.89696397462069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39.5</v>
      </c>
      <c r="DC23" s="16">
        <f>IF(ISNA(VLOOKUP(A23,'Données projet'!$A$139:$I$159,5,0)),0%,VLOOKUP(A23,'Données projet'!$A$139:$I$159,5,0)*VLOOKUP('Données projet'!$B$13,Paramètres!$A$1:$I$89,7,0))</f>
        <v>0.11000000000000001</v>
      </c>
      <c r="DD23" s="16">
        <f>IF(ISNA(VLOOKUP(A23,'Données projet'!$A$139:$I$159,6,0)),0%,VLOOKUP(A23,'Données projet'!$A$139:$I$159,6,0)*VLOOKUP('Données projet'!$B$13,Paramètres!$A$1:$I$89,7,0))</f>
        <v>0.11000000000000001</v>
      </c>
      <c r="DE23" s="16">
        <f>IF(ISNA(VLOOKUP(A23,'Données projet'!$A$139:$I$159,7,0)),0%,VLOOKUP(A23,'Données projet'!$A$139:$I$159,7,0))</f>
        <v>0.6</v>
      </c>
      <c r="DF23" s="21">
        <f>EXP(-LN(2)/35)*DF22+(1-EXP(-LN(2)/35))/(LN(2)/35)*DB23*DC23*VLOOKUP('Données projet'!$B$13,Paramètres!$A$1:$I$89,3,0)*0.475*44/12</f>
        <v>2.6975157575580879</v>
      </c>
      <c r="DG23" s="21">
        <f>EXP(-LN(2)/25)*DG22+(1-EXP(-LN(2)/25))/(LN(2)/25)*Calculateur!DB23*Calculateur!DD23*VLOOKUP('Données projet'!$B$13,Paramètres!$A$1:$I$89,3,0)*0.475*44/12</f>
        <v>2.686894610186497</v>
      </c>
      <c r="DH23" s="21">
        <f>EXP(-LN(2)/2)*DH22+(1-EXP(-LN(2)/2))/(LN(2)/2)*DB23*DE23*VLOOKUP('Données projet'!$B$13,Paramètres!$A$1:$I$89,3,0)*0.475*44/12</f>
        <v>12.558267751244545</v>
      </c>
      <c r="DI23" s="22">
        <f t="shared" si="15"/>
        <v>17.942678118989129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181</v>
      </c>
      <c r="DM23" s="12">
        <f>VLOOKUP(A23,'Données projet'!$A$165:$I$185,9,0)</f>
        <v>24.75</v>
      </c>
      <c r="DN23" s="12">
        <f t="array" ref="DN23">INDEX(DM:DM,MIN(IF(ISNUMBER(DM23:DM219),ROW(DM23:DM219),"")))</f>
        <v>24.75</v>
      </c>
      <c r="DO23" s="12">
        <f>IF('Données projet'!$A$166&gt;35,DO22+DN23-DW22,IF(A23&lt;'Données projet'!$A$166,$DL$205^A23,IF(A23='Données projet'!$A$166,'Données projet'!$B$166,DO22+DN23-DW22)))</f>
        <v>181</v>
      </c>
      <c r="DP23" s="17">
        <f>DO23*VLOOKUP('Données projet'!$B$14,Paramètres!$A$1:$I$89,3,0)*VLOOKUP('Données projet'!$B$14,Paramètres!$A$1:$I$89,5,0)</f>
        <v>108.23800000000001</v>
      </c>
      <c r="DQ23" s="13">
        <f t="shared" si="43"/>
        <v>28.915454284197679</v>
      </c>
      <c r="DR23" s="20">
        <f t="shared" si="16"/>
        <v>238.87559954497763</v>
      </c>
      <c r="DS23" s="59">
        <f t="shared" si="17"/>
        <v>532.20893287831097</v>
      </c>
      <c r="DT23" s="59">
        <f ca="1">AVERAGE(OFFSET($DS$3,0,0,'Données projet'!$E$14+1,1))-AVERAGE(OFFSET($H$3,0,0,'Données projet'!$E$14+1,1))</f>
        <v>252.81045065813976</v>
      </c>
      <c r="DU23" s="59">
        <f t="shared" si="44"/>
        <v>254.36590349790589</v>
      </c>
      <c r="DV23" s="15">
        <f>IF(ISNA(VLOOKUP(A23,'Données projet'!$A$165:$I$185,3,0)),0,VLOOKUP(A23,'Données projet'!$A$165:$I$185,3,0))</f>
        <v>3</v>
      </c>
      <c r="DW23" s="15">
        <f>IF(ISNA(VLOOKUP(A23,'Données projet'!$A$165:$I$185,4,0)),0,VLOOKUP(A23,'Données projet'!$A$165:$I$185,4,0))</f>
        <v>64</v>
      </c>
      <c r="DX23" s="16">
        <f>IF(ISNA(VLOOKUP(A23,'Données projet'!$A$165:$I$185,5,0)),0%,VLOOKUP(A23,'Données projet'!$A$165:$I$185,5,0)*VLOOKUP('Données projet'!$B$14,Paramètres!$A$1:$I$89,7,0))</f>
        <v>0.13500000000000001</v>
      </c>
      <c r="DY23" s="16">
        <f>IF(ISNA(VLOOKUP(A23,'Données projet'!$A$165:$I$185,6,0)),0%,VLOOKUP(A23,'Données projet'!$A$165:$I$185,6,0)*VLOOKUP('Données projet'!$B$14,Paramètres!$A$1:$I$89,7,0))</f>
        <v>0.18000000000000002</v>
      </c>
      <c r="DZ23" s="16">
        <f>IF(ISNA(VLOOKUP(A23,'Données projet'!$A$165:$I$185,7,0)),0%,VLOOKUP(A23,'Données projet'!$A$165:$I$185,7,0))</f>
        <v>0.3</v>
      </c>
      <c r="EA23" s="21">
        <f>EXP(-LN(2)/35)*EA22+(1-EXP(-LN(2)/35))/(LN(2)/35)*DW23*DX23*VLOOKUP('Données projet'!$B$14,Paramètres!$A$1:$I$89,3,0)*0.475*44/12</f>
        <v>8.502941444669192</v>
      </c>
      <c r="EB23" s="21">
        <f>EXP(-LN(2)/25)*EB22+(1-EXP(-LN(2)/25))/(LN(2)/25)*Calculateur!DW23*Calculateur!DY23*VLOOKUP('Données projet'!$B$14,Paramètres!$A$1:$I$89,3,0)*0.475*44/12</f>
        <v>10.69390058095223</v>
      </c>
      <c r="EC23" s="21">
        <f>EXP(-LN(2)/2)*EC22+(1-EXP(-LN(2)/2))/(LN(2)/2)*DW23*DZ23*VLOOKUP('Données projet'!$B$14,Paramètres!$A$1:$I$89,3,0)*0.475*44/12</f>
        <v>15.53886927448297</v>
      </c>
      <c r="ED23" s="22">
        <f t="shared" si="18"/>
        <v>34.735711300104391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123</v>
      </c>
      <c r="EH23" s="12">
        <f>VLOOKUP(A23,'Données projet'!$A$191:$I$211,9,0)</f>
        <v>16</v>
      </c>
      <c r="EI23" s="12">
        <f t="array" ref="EI23">INDEX(EH:EH,MIN(IF(ISNUMBER(EH23:EH219),ROW(EH23:EH219),"")))</f>
        <v>16</v>
      </c>
      <c r="EJ23" s="12">
        <f>IF('Données projet'!$A$192&gt;35,EJ22+EI23-ER22,IF(A23&lt;'Données projet'!$A$192,$EG$205^A23,IF(A23='Données projet'!$A$192,'Données projet'!$B$192,EJ22+EI23-ER22)))</f>
        <v>123</v>
      </c>
      <c r="EK23" s="17">
        <f>EJ23*VLOOKUP('Données projet'!$B$15,Paramètres!$A$1:$I$89,3,0)*VLOOKUP('Données projet'!$B$15,Paramètres!$A$1:$I$89,5,0)</f>
        <v>90.183599999999998</v>
      </c>
      <c r="EL23" s="13">
        <f t="shared" si="45"/>
        <v>24.609499639553789</v>
      </c>
      <c r="EM23" s="20">
        <f t="shared" si="19"/>
        <v>199.93131520555619</v>
      </c>
      <c r="EN23" s="59">
        <f t="shared" si="20"/>
        <v>493.2646485388895</v>
      </c>
      <c r="EO23" s="59">
        <f ca="1">AVERAGE(OFFSET($EN$3,0,0,'Données projet'!$E$15+1,1))-AVERAGE(OFFSET($H$3,0,0,'Données projet'!$E$15+1,1))</f>
        <v>296.91321813251051</v>
      </c>
      <c r="EP23" s="59">
        <f t="shared" si="46"/>
        <v>291.0718079639509</v>
      </c>
      <c r="EQ23" s="15">
        <f>IF(ISNA(VLOOKUP(A23,'Données projet'!$A$191:$I$211,3,0)),0,VLOOKUP(A23,'Données projet'!$A$191:$I$211,3,0))</f>
        <v>3</v>
      </c>
      <c r="ER23" s="15">
        <f>IF(ISNA(VLOOKUP(A23,'Données projet'!$A$191:$I$211,4,0)),0,VLOOKUP(A23,'Données projet'!$A$191:$I$211,4,0))</f>
        <v>42</v>
      </c>
      <c r="ES23" s="16">
        <f>IF(ISNA(VLOOKUP(A23,'Données projet'!$A$191:$I$211,5,0)),0%,VLOOKUP(A23,'Données projet'!$A$191:$I$211,5,0)*VLOOKUP('Données projet'!$B$15,Paramètres!$A$1:$I$89,7,0))</f>
        <v>8.6000000000000007E-2</v>
      </c>
      <c r="ET23" s="16">
        <f>IF(ISNA(VLOOKUP(A23,'Données projet'!$A$191:$I$211,6,0)),0%,VLOOKUP(A23,'Données projet'!$A$191:$I$211,6,0)*VLOOKUP('Données projet'!$B$15,Paramètres!$A$1:$I$89,7,0))</f>
        <v>8.6000000000000007E-2</v>
      </c>
      <c r="EU23" s="16">
        <f>IF(ISNA(VLOOKUP(A23,'Données projet'!$A$191:$I$211,7,0)),0%,VLOOKUP(A23,'Données projet'!$A$191:$I$211,7,0))</f>
        <v>0.6</v>
      </c>
      <c r="EV23" s="21">
        <f>EXP(-LN(2)/35)*EV22+(1-EXP(-LN(2)/35))/(LN(2)/35)*ER23*ES23*VLOOKUP('Données projet'!$B$15,Paramètres!$A$1:$I$89,3,0)*0.475*44/12</f>
        <v>5.5792681532711104</v>
      </c>
      <c r="EW23" s="21">
        <f>EXP(-LN(2)/25)*EW22+(1-EXP(-LN(2)/25))/(LN(2)/25)*Calculateur!ER23*Calculateur!ET23*VLOOKUP('Données projet'!$B$15,Paramètres!$A$1:$I$89,3,0)*0.475*44/12</f>
        <v>6.0072313965343387</v>
      </c>
      <c r="EX23" s="21">
        <f>EXP(-LN(2)/2)*EX22+(1-EXP(-LN(2)/2))/(LN(2)/2)*ER23*EU23*VLOOKUP('Données projet'!$B$15,Paramètres!$A$1:$I$89,3,0)*0.475*44/12</f>
        <v>20.620922822709712</v>
      </c>
      <c r="EY23" s="22">
        <f t="shared" si="21"/>
        <v>32.207422372515161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73</v>
      </c>
      <c r="FC23" s="12">
        <f>VLOOKUP(A23,'Données projet'!$A$217:$I$237,9,0)</f>
        <v>3.65</v>
      </c>
      <c r="FD23" s="12">
        <f t="array" ref="FD23">INDEX(FC:FC,MIN(IF(ISNUMBER(FC23:FC219),ROW(FC23:FC219),"")))</f>
        <v>3.65</v>
      </c>
      <c r="FE23" s="12">
        <f>IF('Données projet'!$A$218&gt;35,FE22+FD23-FM22,IF(A23&lt;'Données projet'!$A$218,$FB$205^A23,IF(A23='Données projet'!$A$218,'Données projet'!$B$218,FE22+FD23-FM22)))</f>
        <v>73</v>
      </c>
      <c r="FF23" s="17">
        <f>FE23*VLOOKUP('Données projet'!$B$16,Paramètres!$A$1:$I$89,3,0)*VLOOKUP('Données projet'!$B$16,Paramètres!$A$1:$I$89,5,0)</f>
        <v>74.022000000000006</v>
      </c>
      <c r="FG23" s="13">
        <f t="shared" si="47"/>
        <v>20.668991235856851</v>
      </c>
      <c r="FH23" s="20">
        <f t="shared" si="22"/>
        <v>164.92014306911736</v>
      </c>
      <c r="FI23" s="59">
        <f t="shared" si="23"/>
        <v>458.2534764024507</v>
      </c>
      <c r="FJ23" s="59">
        <f ca="1">AVERAGE(OFFSET($FI$3,0,0,'Données projet'!$E$16+1,1))-AVERAGE(OFFSET($H$3,0,0,'Données projet'!$E$16+1,1))</f>
        <v>356.65981389369125</v>
      </c>
      <c r="FK23" s="59">
        <f t="shared" si="48"/>
        <v>231.92898690465887</v>
      </c>
      <c r="FL23" s="15">
        <f>IF(ISNA(VLOOKUP(A23,'Données projet'!$A$217:$I$237,3,0)),0,VLOOKUP(A23,'Données projet'!$A$217:$I$237,3,0))</f>
        <v>1</v>
      </c>
      <c r="FM23" s="15">
        <f>IF(ISNA(VLOOKUP(A23,'Données projet'!$A$217:$I$237,4,0)),0,VLOOKUP(A23,'Données projet'!$A$217:$I$237,4,0))</f>
        <v>6</v>
      </c>
      <c r="FN23" s="16">
        <f>IF(ISNA(VLOOKUP(A23,'Données projet'!$A$217:$I$237,5,0)),0%,VLOOKUP(A23,'Données projet'!$A$217:$I$237,5,0)*VLOOKUP('Données projet'!$B$16,Paramètres!$A$1:$I$89,7,0))</f>
        <v>8.6000000000000007E-2</v>
      </c>
      <c r="FO23" s="16">
        <f>IF(ISNA(VLOOKUP(A23,'Données projet'!$A$217:$I$237,6,0)),0%,VLOOKUP(A23,'Données projet'!$A$217:$I$237,6,0)*VLOOKUP('Données projet'!$B$16,Paramètres!$A$1:$I$89,7,0))</f>
        <v>8.6000000000000007E-2</v>
      </c>
      <c r="FP23" s="16">
        <f>IF(ISNA(VLOOKUP(A23,'Données projet'!$A$217:$I$237,7,0)),0%,VLOOKUP(A23,'Données projet'!$A$217:$I$237,7,0))</f>
        <v>0.6</v>
      </c>
      <c r="FQ23" s="21">
        <f>EXP(-LN(2)/35)*FQ22+(1-EXP(-LN(2)/35))/(LN(2)/35)*FM23*FN23*VLOOKUP('Données projet'!$B$16,Paramètres!$A$1:$I$89,3,0)*0.475*44/12</f>
        <v>0.57840863386074848</v>
      </c>
      <c r="FR23" s="21">
        <f>EXP(-LN(2)/25)*FR22+(1-EXP(-LN(2)/25))/(LN(2)/25)*Calculateur!FM23*Calculateur!FO23*VLOOKUP('Données projet'!$B$16,Paramètres!$A$1:$I$89,3,0)*0.475*44/12</f>
        <v>0.57613121867827077</v>
      </c>
      <c r="FS23" s="21">
        <f>EXP(-LN(2)/2)*FS22+(1-EXP(-LN(2)/2))/(LN(2)/2)*FM23*FP23*VLOOKUP('Données projet'!$B$16,Paramètres!$A$1:$I$89,3,0)*0.475*44/12</f>
        <v>3.4442506490755087</v>
      </c>
      <c r="FT23" s="22">
        <f t="shared" si="24"/>
        <v>4.5987905016145278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>
        <f>VLOOKUP(A23,'Données projet'!$A$243:$I$263,2,0)</f>
        <v>73</v>
      </c>
      <c r="FX23" s="12">
        <f>VLOOKUP(A23,'Données projet'!$A$243:$I$263,9,0)</f>
        <v>3.65</v>
      </c>
      <c r="FY23" s="12">
        <f t="array" ref="FY23">INDEX(FX:FX,MIN(IF(ISNUMBER(FX23:FX219),ROW(FX23:FX219),"")))</f>
        <v>3.65</v>
      </c>
      <c r="FZ23" s="12">
        <f>IF('Données projet'!$A$244&gt;35,FZ22+FY23-GH22,IF(A23&lt;'Données projet'!$A$244,$FW$205^A23,IF(A23='Données projet'!$A$244,'Données projet'!$B$244,FZ22+FY23-GH22)))</f>
        <v>73</v>
      </c>
      <c r="GA23" s="17">
        <f>FZ23*VLOOKUP('Données projet'!$B$17,Paramètres!$A$1:$I$89,3,0)*VLOOKUP('Données projet'!$B$17,Paramètres!$A$1:$I$89,5,0)</f>
        <v>70.605599999999995</v>
      </c>
      <c r="GB23" s="13">
        <f t="shared" si="49"/>
        <v>19.823773913828742</v>
      </c>
      <c r="GC23" s="20">
        <f t="shared" si="25"/>
        <v>157.49782623325171</v>
      </c>
      <c r="GD23" s="59">
        <f t="shared" si="26"/>
        <v>450.83115956658503</v>
      </c>
      <c r="GE23" s="59">
        <f ca="1">AVERAGE(OFFSET($GD$3,0,0,'Données projet'!$E$17+1,1))-AVERAGE(OFFSET($H$3,0,0,'Données projet'!$E$17+1,1))</f>
        <v>337.76140497227715</v>
      </c>
      <c r="GF23" s="59">
        <f t="shared" si="50"/>
        <v>219.76562717496353</v>
      </c>
      <c r="GG23" s="15">
        <f>IF(ISNA(VLOOKUP(A23,'Données projet'!$A$243:$I$263,3,0)),0,VLOOKUP(A23,'Données projet'!$A$243:$I$263,3,0))</f>
        <v>1</v>
      </c>
      <c r="GH23" s="15">
        <f>IF(ISNA(VLOOKUP(A23,'Données projet'!$A$243:$I$263,4,0)),0,VLOOKUP(A23,'Données projet'!$A$243:$I$263,4,0))</f>
        <v>6</v>
      </c>
      <c r="GI23" s="16">
        <f>IF(ISNA(VLOOKUP(A23,'Données projet'!$A$243:$I$263,5,0)),0%,VLOOKUP(A23,'Données projet'!$A$243:$I$263,5,0)*VLOOKUP('Données projet'!$B$17,Paramètres!$A$1:$I$89,7,0))</f>
        <v>8.6000000000000007E-2</v>
      </c>
      <c r="GJ23" s="16">
        <f>IF(ISNA(VLOOKUP(A23,'Données projet'!$A$243:$I$263,6,0)),0%,VLOOKUP(A23,'Données projet'!$A$243:$I$263,6,0)*VLOOKUP('Données projet'!$B$17,Paramètres!$A$1:$I$89,7,0))</f>
        <v>8.6000000000000007E-2</v>
      </c>
      <c r="GK23" s="16">
        <f>IF(ISNA(VLOOKUP(A23,'Données projet'!$A$243:$I$263,7,0)),0%,VLOOKUP(A23,'Données projet'!$A$243:$I$263,7,0))</f>
        <v>0.6</v>
      </c>
      <c r="GL23" s="21">
        <f>EXP(-LN(2)/35)*GL22+(1-EXP(-LN(2)/35))/(LN(2)/35)*GH23*GI23*VLOOKUP('Données projet'!$B$17,Paramètres!$A$1:$I$89,3,0)*0.475*44/12</f>
        <v>0.55171285075948318</v>
      </c>
      <c r="GM23" s="21">
        <f>EXP(-LN(2)/25)*GM22+(1-EXP(-LN(2)/25))/(LN(2)/25)*Calculateur!GH23*Calculateur!GJ23*VLOOKUP('Données projet'!$B$17,Paramètres!$A$1:$I$89,3,0)*0.475*44/12</f>
        <v>0.54954054704696598</v>
      </c>
      <c r="GN23" s="21">
        <f>EXP(-LN(2)/2)*GN22+(1-EXP(-LN(2)/2))/(LN(2)/2)*GH23*GK23*VLOOKUP('Données projet'!$B$17,Paramètres!$A$1:$I$89,3,0)*0.475*44/12</f>
        <v>3.2852852345027928</v>
      </c>
      <c r="GO23" s="21">
        <f t="shared" si="27"/>
        <v>4.3865386323092421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</v>
      </c>
      <c r="N24" s="13">
        <f>IF('Données projet'!$A$36&gt;35,N23+M24-V23,IF(A24&lt;'Données projet'!$A$36,$K$205^A24,IF(A24='Données projet'!$A$36,'Données projet'!$B$36,N23+M24-V23)))</f>
        <v>74.2</v>
      </c>
      <c r="O24" s="13">
        <f>N24*VLOOKUP('Données projet'!$B$9,Paramètres!$A$1:$I$89,3,0)*VLOOKUP('Données projet'!$B$9,Paramètres!$A$1:$I$89,5,0)</f>
        <v>67.136160000000004</v>
      </c>
      <c r="P24" s="13">
        <f t="shared" si="33"/>
        <v>18.960545405756019</v>
      </c>
      <c r="Q24" s="20">
        <f t="shared" si="2"/>
        <v>149.95176191502506</v>
      </c>
      <c r="R24" s="59">
        <f t="shared" si="0"/>
        <v>443.2850952483584</v>
      </c>
      <c r="S24" s="59">
        <f ca="1">AVERAGE(OFFSET($R$3,0,0,'Données projet'!$E$9+1,1))-AVERAGE(OFFSET($H$3,0,0,'Données projet'!$E$9+1,1))</f>
        <v>312.53389584272878</v>
      </c>
      <c r="T24" s="59">
        <f t="shared" si="34"/>
        <v>203.5274665601915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0.50599770483107487</v>
      </c>
      <c r="AA24" s="21">
        <f>EXP(-LN(2)/25)*AA23+(1-EXP(-LN(2)/25))/(LN(2)/25)*Calculateur!V24*Calculateur!X24*VLOOKUP('Données projet'!$B$9,Paramètres!$A$1:$I$89,3,0)*0.475*44/12</f>
        <v>0.5000286007992798</v>
      </c>
      <c r="AB24" s="21">
        <f>EXP(-LN(2)/2)*AB23+(1-EXP(-LN(2)/2))/(LN(2)/2)*V24*Y24*VLOOKUP('Données projet'!$B$9,Paramètres!$A$1:$I$89,3,0)*0.475*44/12</f>
        <v>2.1731734372909646</v>
      </c>
      <c r="AC24" s="22">
        <f t="shared" si="3"/>
        <v>3.1791997429213192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15.8</v>
      </c>
      <c r="AI24" s="13">
        <f>IF('Données projet'!$A$62&gt;35,AI23+AH24-AQ23,IF(A24&lt;'Données projet'!$A$62,$AF$205^A24,IF(A24='Données projet'!$A$62,'Données projet'!$B$62,AI23+AH24-AQ23)))</f>
        <v>119.80000000000001</v>
      </c>
      <c r="AJ24" s="13">
        <f>AI24*VLOOKUP('Données projet'!$B$10,Paramètres!$A$1:$I$89,3,0)*VLOOKUP('Données projet'!$B$10,Paramètres!$A$1:$I$89,5,0)</f>
        <v>104.65728000000001</v>
      </c>
      <c r="AK24" s="13">
        <f t="shared" si="35"/>
        <v>28.068573730915457</v>
      </c>
      <c r="AL24" s="20">
        <f t="shared" si="4"/>
        <v>231.16419524801108</v>
      </c>
      <c r="AM24" s="59">
        <f t="shared" si="5"/>
        <v>524.49752858134434</v>
      </c>
      <c r="AN24" s="59">
        <f ca="1">AVERAGE(OFFSET($AM$3,0,0,'Données projet'!$E$10+1,1))-AVERAGE(OFFSET($H$3,0,0,'Données projet'!$E$10+1,1))</f>
        <v>243.05628303465238</v>
      </c>
      <c r="AO24" s="59">
        <f t="shared" si="36"/>
        <v>352.47096767658394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2.0356229504698415</v>
      </c>
      <c r="AV24" s="21">
        <f>EXP(-LN(2)/25)*AV23+(1-EXP(-LN(2)/25))/(LN(2)/25)*Calculateur!AQ24*Calculateur!AS24*VLOOKUP('Données projet'!$B$10,Paramètres!$A$1:$I$89,3,0)*0.475*44/12</f>
        <v>5.2140398094357767</v>
      </c>
      <c r="AW24" s="21">
        <f>EXP(-LN(2)/2)*AW23+(1-EXP(-LN(2)/2))/(LN(2)/2)*AQ24*AT24*VLOOKUP('Données projet'!$B$10,Paramètres!$A$1:$I$89,3,0)*0.475*44/12</f>
        <v>13.408432376562143</v>
      </c>
      <c r="AX24" s="21">
        <f t="shared" si="6"/>
        <v>20.658095136467761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16.8</v>
      </c>
      <c r="BD24" s="12">
        <f>IF('Données projet'!$A$88&gt;35,BD23+BC24-BL23,IF(A24&lt;'Données projet'!$A$88,$BA$205^A24,IF(A24='Données projet'!$A$88,'Données projet'!$B$88,BD23+BC24-BL23)))</f>
        <v>97.800000000000011</v>
      </c>
      <c r="BE24" s="13">
        <f>BD24*VLOOKUP('Données projet'!$B$11,Paramètres!$A$1:$I$89,3,0)*VLOOKUP('Données projet'!$B$11,Paramètres!$A$1:$I$89,5,0)</f>
        <v>77.809680000000014</v>
      </c>
      <c r="BF24" s="13">
        <f t="shared" si="37"/>
        <v>21.600777311280577</v>
      </c>
      <c r="BG24" s="20">
        <f t="shared" si="7"/>
        <v>173.13987981714703</v>
      </c>
      <c r="BH24" s="59">
        <f t="shared" si="8"/>
        <v>466.47321315048032</v>
      </c>
      <c r="BI24" s="59">
        <f ca="1">AVERAGE(OFFSET($BH$3,0,0,'Données projet'!$E$11+1,1))-AVERAGE(OFFSET($H$3,0,0,'Données projet'!$E$11+1,1))</f>
        <v>325.72928944930294</v>
      </c>
      <c r="BJ24" s="59">
        <f t="shared" si="38"/>
        <v>318.38876834819752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7.3157037493278398</v>
      </c>
      <c r="BQ24" s="21">
        <f>EXP(-LN(2)/25)*BQ23+(1-EXP(-LN(2)/25))/(LN(2)/25)*Calculateur!BL24*Calculateur!BN24*VLOOKUP('Données projet'!$B$11,Paramètres!$A$1:$I$89,3,0)*0.475*44/12</f>
        <v>7.814710491269679</v>
      </c>
      <c r="BR24" s="21">
        <f>EXP(-LN(2)/2)*BR23+(1-EXP(-LN(2)/2))/(LN(2)/2)*BL24*BO24*VLOOKUP('Données projet'!$B$11,Paramètres!$A$1:$I$89,3,0)*0.475*44/12</f>
        <v>15.822147073944398</v>
      </c>
      <c r="BS24" s="22">
        <f t="shared" si="9"/>
        <v>30.952561314541917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31.8</v>
      </c>
      <c r="BY24" s="12">
        <f>IF('Données projet'!$A$114&gt;35,BY23+BX24-CG23,IF(A24&lt;'Données projet'!$A$114,$BV$205^A24,IF(A24='Données projet'!$A$114,'Données projet'!$B$114,BY23+BX24-CG23)))</f>
        <v>291.8</v>
      </c>
      <c r="BZ24" s="13">
        <f>BY24*VLOOKUP('Données projet'!$B$12,Paramètres!$A$1:$I$89,3,0)*VLOOKUP('Données projet'!$B$12,Paramètres!$A$1:$I$89,5,0)</f>
        <v>163.11620000000002</v>
      </c>
      <c r="CA24" s="13">
        <f t="shared" si="39"/>
        <v>41.544592017733144</v>
      </c>
      <c r="CB24" s="20">
        <f t="shared" si="10"/>
        <v>356.45087943088532</v>
      </c>
      <c r="CC24" s="59">
        <f t="shared" si="11"/>
        <v>649.78421276421864</v>
      </c>
      <c r="CD24" s="59">
        <f ca="1">AVERAGE(OFFSET($CC$3,0,0,'Données projet'!$E$12+1,1))-AVERAGE(OFFSET($H$3,0,0,'Données projet'!$E$12+1,1))</f>
        <v>475.54809021014017</v>
      </c>
      <c r="CE24" s="59">
        <f t="shared" si="40"/>
        <v>593.51433014569966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10.194548628364625</v>
      </c>
      <c r="CM24" s="21">
        <f>EXP(-LN(2)/2)*CM23+(1-EXP(-LN(2)/2))/(LN(2)/2)*CG24*CJ24*VLOOKUP('Données projet'!$B$12,Paramètres!$A$1:$I$89,3,0)*0.475*44/12</f>
        <v>7.6976967156149305</v>
      </c>
      <c r="CN24" s="22">
        <f t="shared" si="12"/>
        <v>17.892245343979557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9.1999999999999993</v>
      </c>
      <c r="CT24" s="12">
        <f>IF('Données projet'!$A$140&gt;35,CT23+CS24-DB23,IF(A24&lt;'Données projet'!$A$140,$CQ$205^A24,IF(A24='Données projet'!$A$140,'Données projet'!$B$140,CT23+CS24-DB23)))</f>
        <v>127.69999999999999</v>
      </c>
      <c r="CU24" s="17">
        <f>CT24*VLOOKUP('Données projet'!$B$13,Paramètres!$A$1:$I$89,3,0)*VLOOKUP('Données projet'!$B$13,Paramètres!$A$1:$I$89,5,0)</f>
        <v>59.763599999999997</v>
      </c>
      <c r="CV24" s="13">
        <f t="shared" si="41"/>
        <v>17.108485949725164</v>
      </c>
      <c r="CW24" s="20">
        <f t="shared" si="13"/>
        <v>133.88554969577129</v>
      </c>
      <c r="CX24" s="59">
        <f t="shared" si="14"/>
        <v>427.21888302910463</v>
      </c>
      <c r="CY24" s="59">
        <f ca="1">AVERAGE(OFFSET($CX$3,0,0,'Données projet'!$E$13+1,1))-AVERAGE(OFFSET($H$3,0,0,'Données projet'!$E$13+1,1))</f>
        <v>226.0452828290525</v>
      </c>
      <c r="CZ24" s="59">
        <f t="shared" si="42"/>
        <v>179.89696397462069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2.6446191188745241</v>
      </c>
      <c r="DG24" s="21">
        <f>EXP(-LN(2)/25)*DG23+(1-EXP(-LN(2)/25))/(LN(2)/25)*Calculateur!DB24*Calculateur!DD24*VLOOKUP('Données projet'!$B$13,Paramètres!$A$1:$I$89,3,0)*0.475*44/12</f>
        <v>2.6134213357733005</v>
      </c>
      <c r="DH24" s="21">
        <f>EXP(-LN(2)/2)*DH23+(1-EXP(-LN(2)/2))/(LN(2)/2)*DB24*DE24*VLOOKUP('Données projet'!$B$13,Paramètres!$A$1:$I$89,3,0)*0.475*44/12</f>
        <v>8.8800362868613529</v>
      </c>
      <c r="DI24" s="22">
        <f t="shared" si="15"/>
        <v>14.138076741509177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20</v>
      </c>
      <c r="DO24" s="12">
        <f>IF('Données projet'!$A$166&gt;35,DO23+DN24-DW23,IF(A24&lt;'Données projet'!$A$166,$DL$205^A24,IF(A24='Données projet'!$A$166,'Données projet'!$B$166,DO23+DN24-DW23)))</f>
        <v>137</v>
      </c>
      <c r="DP24" s="17">
        <f>DO24*VLOOKUP('Données projet'!$B$14,Paramètres!$A$1:$I$89,3,0)*VLOOKUP('Données projet'!$B$14,Paramètres!$A$1:$I$89,5,0)</f>
        <v>81.926000000000002</v>
      </c>
      <c r="DQ24" s="13">
        <f t="shared" si="43"/>
        <v>22.607447146245146</v>
      </c>
      <c r="DR24" s="20">
        <f t="shared" si="16"/>
        <v>182.06242044637693</v>
      </c>
      <c r="DS24" s="59">
        <f t="shared" si="17"/>
        <v>475.39575377971028</v>
      </c>
      <c r="DT24" s="59">
        <f ca="1">AVERAGE(OFFSET($DS$3,0,0,'Données projet'!$E$14+1,1))-AVERAGE(OFFSET($H$3,0,0,'Données projet'!$E$14+1,1))</f>
        <v>252.81045065813976</v>
      </c>
      <c r="DU24" s="59">
        <f t="shared" si="44"/>
        <v>254.36590349790589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8.3362039492214084</v>
      </c>
      <c r="EB24" s="21">
        <f>EXP(-LN(2)/25)*EB23+(1-EXP(-LN(2)/25))/(LN(2)/25)*Calculateur!DW24*Calculateur!DY24*VLOOKUP('Données projet'!$B$14,Paramètres!$A$1:$I$89,3,0)*0.475*44/12</f>
        <v>10.4014753071983</v>
      </c>
      <c r="EC24" s="21">
        <f>EXP(-LN(2)/2)*EC23+(1-EXP(-LN(2)/2))/(LN(2)/2)*DW24*DZ24*VLOOKUP('Données projet'!$B$14,Paramètres!$A$1:$I$89,3,0)*0.475*44/12</f>
        <v>10.987639835958197</v>
      </c>
      <c r="ED24" s="22">
        <f t="shared" si="18"/>
        <v>29.725319092377909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16.8</v>
      </c>
      <c r="EJ24" s="12">
        <f>IF('Données projet'!$A$192&gt;35,EJ23+EI24-ER23,IF(A24&lt;'Données projet'!$A$192,$EG$205^A24,IF(A24='Données projet'!$A$192,'Données projet'!$B$192,EJ23+EI24-ER23)))</f>
        <v>97.800000000000011</v>
      </c>
      <c r="EK24" s="17">
        <f>EJ24*VLOOKUP('Données projet'!$B$15,Paramètres!$A$1:$I$89,3,0)*VLOOKUP('Données projet'!$B$15,Paramètres!$A$1:$I$89,5,0)</f>
        <v>71.706960000000009</v>
      </c>
      <c r="EL24" s="13">
        <f t="shared" si="45"/>
        <v>20.096759687088312</v>
      </c>
      <c r="EM24" s="20">
        <f t="shared" si="19"/>
        <v>159.89147845501216</v>
      </c>
      <c r="EN24" s="59">
        <f t="shared" si="20"/>
        <v>453.22481178834551</v>
      </c>
      <c r="EO24" s="59">
        <f ca="1">AVERAGE(OFFSET($EN$3,0,0,'Données projet'!$E$15+1,1))-AVERAGE(OFFSET($H$3,0,0,'Données projet'!$E$15+1,1))</f>
        <v>296.91321813251051</v>
      </c>
      <c r="EP24" s="59">
        <f t="shared" si="46"/>
        <v>291.0718079639509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5.4698621078030172</v>
      </c>
      <c r="EW24" s="21">
        <f>EXP(-LN(2)/25)*EW23+(1-EXP(-LN(2)/25))/(LN(2)/25)*Calculateur!ER24*Calculateur!ET24*VLOOKUP('Données projet'!$B$15,Paramètres!$A$1:$I$89,3,0)*0.475*44/12</f>
        <v>5.8429633380895378</v>
      </c>
      <c r="EX24" s="21">
        <f>EXP(-LN(2)/2)*EX23+(1-EXP(-LN(2)/2))/(LN(2)/2)*ER24*EU24*VLOOKUP('Données projet'!$B$15,Paramètres!$A$1:$I$89,3,0)*0.475*44/12</f>
        <v>14.581194362262481</v>
      </c>
      <c r="EY24" s="22">
        <f t="shared" si="21"/>
        <v>25.894019808155036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7.2</v>
      </c>
      <c r="FE24" s="12">
        <f>IF('Données projet'!$A$218&gt;35,FE23+FD24-FM23,IF(A24&lt;'Données projet'!$A$218,$FB$205^A24,IF(A24='Données projet'!$A$218,'Données projet'!$B$218,FE23+FD24-FM23)))</f>
        <v>74.2</v>
      </c>
      <c r="FF24" s="17">
        <f>FE24*VLOOKUP('Données projet'!$B$16,Paramètres!$A$1:$I$89,3,0)*VLOOKUP('Données projet'!$B$16,Paramètres!$A$1:$I$89,5,0)</f>
        <v>75.238800000000012</v>
      </c>
      <c r="FG24" s="13">
        <f t="shared" si="47"/>
        <v>20.96892143970209</v>
      </c>
      <c r="FH24" s="20">
        <f t="shared" si="22"/>
        <v>167.56178150748116</v>
      </c>
      <c r="FI24" s="59">
        <f t="shared" si="23"/>
        <v>460.89511484081447</v>
      </c>
      <c r="FJ24" s="59">
        <f ca="1">AVERAGE(OFFSET($FI$3,0,0,'Données projet'!$E$16+1,1))-AVERAGE(OFFSET($H$3,0,0,'Données projet'!$E$16+1,1))</f>
        <v>356.65981389369125</v>
      </c>
      <c r="FK24" s="59">
        <f t="shared" si="48"/>
        <v>231.92898690465887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0.56706639334517028</v>
      </c>
      <c r="FR24" s="21">
        <f>EXP(-LN(2)/25)*FR23+(1-EXP(-LN(2)/25))/(LN(2)/25)*Calculateur!FM24*Calculateur!FO24*VLOOKUP('Données projet'!$B$16,Paramètres!$A$1:$I$89,3,0)*0.475*44/12</f>
        <v>0.56037688020608944</v>
      </c>
      <c r="FS24" s="21">
        <f>EXP(-LN(2)/2)*FS23+(1-EXP(-LN(2)/2))/(LN(2)/2)*FM24*FP24*VLOOKUP('Données projet'!$B$16,Paramètres!$A$1:$I$89,3,0)*0.475*44/12</f>
        <v>2.4354529900674602</v>
      </c>
      <c r="FT24" s="22">
        <f t="shared" si="24"/>
        <v>3.56289626361872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7.2</v>
      </c>
      <c r="FZ24" s="12">
        <f>IF('Données projet'!$A$244&gt;35,FZ23+FY24-GH23,IF(A24&lt;'Données projet'!$A$244,$FW$205^A24,IF(A24='Données projet'!$A$244,'Données projet'!$B$244,FZ23+FY24-GH23)))</f>
        <v>74.2</v>
      </c>
      <c r="GA24" s="17">
        <f>FZ24*VLOOKUP('Données projet'!$B$17,Paramètres!$A$1:$I$89,3,0)*VLOOKUP('Données projet'!$B$17,Paramètres!$A$1:$I$89,5,0)</f>
        <v>71.76624000000001</v>
      </c>
      <c r="GB24" s="13">
        <f t="shared" si="49"/>
        <v>20.111439068025625</v>
      </c>
      <c r="GC24" s="20">
        <f t="shared" si="25"/>
        <v>160.02029104347795</v>
      </c>
      <c r="GD24" s="59">
        <f t="shared" si="26"/>
        <v>453.35362437681124</v>
      </c>
      <c r="GE24" s="59">
        <f ca="1">AVERAGE(OFFSET($GD$3,0,0,'Données projet'!$E$17+1,1))-AVERAGE(OFFSET($H$3,0,0,'Données projet'!$E$17+1,1))</f>
        <v>337.76140497227715</v>
      </c>
      <c r="GF24" s="59">
        <f t="shared" si="50"/>
        <v>219.76562717496353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0.54089409826770096</v>
      </c>
      <c r="GM24" s="21">
        <f>EXP(-LN(2)/25)*GM23+(1-EXP(-LN(2)/25))/(LN(2)/25)*Calculateur!GH24*Calculateur!GJ24*VLOOKUP('Données projet'!$B$17,Paramètres!$A$1:$I$89,3,0)*0.475*44/12</f>
        <v>0.53451333188888528</v>
      </c>
      <c r="GN24" s="21">
        <f>EXP(-LN(2)/2)*GN23+(1-EXP(-LN(2)/2))/(LN(2)/2)*GH24*GK24*VLOOKUP('Données projet'!$B$17,Paramètres!$A$1:$I$89,3,0)*0.475*44/12</f>
        <v>2.3230474674489621</v>
      </c>
      <c r="GO24" s="21">
        <f t="shared" si="27"/>
        <v>3.3984548976055482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</v>
      </c>
      <c r="N25" s="13">
        <f>IF('Données projet'!$A$36&gt;35,N24+M25-V24,IF(A25&lt;'Données projet'!$A$36,$K$205^A25,IF(A25='Données projet'!$A$36,'Données projet'!$B$36,N24+M25-V24)))</f>
        <v>81.400000000000006</v>
      </c>
      <c r="O25" s="13">
        <f>N25*VLOOKUP('Données projet'!$B$9,Paramètres!$A$1:$I$89,3,0)*VLOOKUP('Données projet'!$B$9,Paramètres!$A$1:$I$89,5,0)</f>
        <v>73.650720000000007</v>
      </c>
      <c r="P25" s="13">
        <f t="shared" si="33"/>
        <v>20.577360172493922</v>
      </c>
      <c r="Q25" s="20">
        <f t="shared" si="2"/>
        <v>164.11390630042692</v>
      </c>
      <c r="R25" s="59">
        <f t="shared" si="0"/>
        <v>457.4472396337602</v>
      </c>
      <c r="S25" s="59">
        <f ca="1">AVERAGE(OFFSET($R$3,0,0,'Données projet'!$E$9+1,1))-AVERAGE(OFFSET($H$3,0,0,'Données projet'!$E$9+1,1))</f>
        <v>312.53389584272878</v>
      </c>
      <c r="T25" s="59">
        <f t="shared" si="34"/>
        <v>203.5274665601915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0.49607539846746296</v>
      </c>
      <c r="AA25" s="21">
        <f>EXP(-LN(2)/25)*AA24+(1-EXP(-LN(2)/25))/(LN(2)/25)*Calculateur!V25*Calculateur!X25*VLOOKUP('Données projet'!$B$9,Paramètres!$A$1:$I$89,3,0)*0.475*44/12</f>
        <v>0.4863552924150622</v>
      </c>
      <c r="AB25" s="21">
        <f>EXP(-LN(2)/2)*AB24+(1-EXP(-LN(2)/2))/(LN(2)/2)*V25*Y25*VLOOKUP('Données projet'!$B$9,Paramètres!$A$1:$I$89,3,0)*0.475*44/12</f>
        <v>1.5366656742029194</v>
      </c>
      <c r="AC25" s="22">
        <f t="shared" si="3"/>
        <v>2.5190963650854448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15.8</v>
      </c>
      <c r="AI25" s="13">
        <f>IF('Données projet'!$A$62&gt;35,AI24+AH25-AQ24,IF(A25&lt;'Données projet'!$A$62,$AF$205^A25,IF(A25='Données projet'!$A$62,'Données projet'!$B$62,AI24+AH25-AQ24)))</f>
        <v>135.60000000000002</v>
      </c>
      <c r="AJ25" s="13">
        <f>AI25*VLOOKUP('Données projet'!$B$10,Paramètres!$A$1:$I$89,3,0)*VLOOKUP('Données projet'!$B$10,Paramètres!$A$1:$I$89,5,0)</f>
        <v>118.46016000000003</v>
      </c>
      <c r="AK25" s="13">
        <f t="shared" si="35"/>
        <v>31.315587396029674</v>
      </c>
      <c r="AL25" s="20">
        <f t="shared" si="4"/>
        <v>260.85942671475175</v>
      </c>
      <c r="AM25" s="59">
        <f t="shared" si="5"/>
        <v>554.19276004808512</v>
      </c>
      <c r="AN25" s="59">
        <f ca="1">AVERAGE(OFFSET($AM$3,0,0,'Données projet'!$E$10+1,1))-AVERAGE(OFFSET($H$3,0,0,'Données projet'!$E$10+1,1))</f>
        <v>243.05628303465238</v>
      </c>
      <c r="AO25" s="59">
        <f t="shared" si="36"/>
        <v>352.47096767658394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1.9957056260185291</v>
      </c>
      <c r="AV25" s="21">
        <f>EXP(-LN(2)/25)*AV24+(1-EXP(-LN(2)/25))/(LN(2)/25)*Calculateur!AQ25*Calculateur!AS25*VLOOKUP('Données projet'!$B$10,Paramètres!$A$1:$I$89,3,0)*0.475*44/12</f>
        <v>5.0714616166523188</v>
      </c>
      <c r="AW25" s="21">
        <f>EXP(-LN(2)/2)*AW24+(1-EXP(-LN(2)/2))/(LN(2)/2)*AQ25*AT25*VLOOKUP('Données projet'!$B$10,Paramètres!$A$1:$I$89,3,0)*0.475*44/12</f>
        <v>9.4811934585483471</v>
      </c>
      <c r="AX25" s="21">
        <f t="shared" si="6"/>
        <v>16.548360701219195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16.8</v>
      </c>
      <c r="BD25" s="12">
        <f>IF('Données projet'!$A$88&gt;35,BD24+BC25-BL24,IF(A25&lt;'Données projet'!$A$88,$BA$205^A25,IF(A25='Données projet'!$A$88,'Données projet'!$B$88,BD24+BC25-BL24)))</f>
        <v>114.60000000000001</v>
      </c>
      <c r="BE25" s="13">
        <f>BD25*VLOOKUP('Données projet'!$B$11,Paramètres!$A$1:$I$89,3,0)*VLOOKUP('Données projet'!$B$11,Paramètres!$A$1:$I$89,5,0)</f>
        <v>91.175760000000011</v>
      </c>
      <c r="BF25" s="13">
        <f t="shared" si="37"/>
        <v>24.848575433138123</v>
      </c>
      <c r="BG25" s="20">
        <f t="shared" si="7"/>
        <v>202.07571754604893</v>
      </c>
      <c r="BH25" s="59">
        <f t="shared" si="8"/>
        <v>495.40905087938222</v>
      </c>
      <c r="BI25" s="59">
        <f ca="1">AVERAGE(OFFSET($BH$3,0,0,'Données projet'!$E$11+1,1))-AVERAGE(OFFSET($H$3,0,0,'Données projet'!$E$11+1,1))</f>
        <v>325.72928944930294</v>
      </c>
      <c r="BJ25" s="59">
        <f t="shared" si="38"/>
        <v>318.38876834819752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7.1722472609422088</v>
      </c>
      <c r="BQ25" s="21">
        <f>EXP(-LN(2)/25)*BQ24+(1-EXP(-LN(2)/25))/(LN(2)/25)*Calculateur!BL25*Calculateur!BN25*VLOOKUP('Données projet'!$B$11,Paramètres!$A$1:$I$89,3,0)*0.475*44/12</f>
        <v>7.6010168219281455</v>
      </c>
      <c r="BR25" s="21">
        <f>EXP(-LN(2)/2)*BR24+(1-EXP(-LN(2)/2))/(LN(2)/2)*BL25*BO25*VLOOKUP('Données projet'!$B$11,Paramètres!$A$1:$I$89,3,0)*0.475*44/12</f>
        <v>11.187947488916976</v>
      </c>
      <c r="BS25" s="22">
        <f t="shared" si="9"/>
        <v>25.961211571787331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31.8</v>
      </c>
      <c r="BY25" s="12">
        <f>IF('Données projet'!$A$114&gt;35,BY24+BX25-CG24,IF(A25&lt;'Données projet'!$A$114,$BV$205^A25,IF(A25='Données projet'!$A$114,'Données projet'!$B$114,BY24+BX25-CG24)))</f>
        <v>323.60000000000002</v>
      </c>
      <c r="BZ25" s="13">
        <f>BY25*VLOOKUP('Données projet'!$B$12,Paramètres!$A$1:$I$89,3,0)*VLOOKUP('Données projet'!$B$12,Paramètres!$A$1:$I$89,5,0)</f>
        <v>180.89240000000001</v>
      </c>
      <c r="CA25" s="13">
        <f t="shared" si="39"/>
        <v>45.520671542487669</v>
      </c>
      <c r="CB25" s="20">
        <f t="shared" si="10"/>
        <v>394.33609960316602</v>
      </c>
      <c r="CC25" s="59">
        <f t="shared" si="11"/>
        <v>687.66943293649933</v>
      </c>
      <c r="CD25" s="59">
        <f ca="1">AVERAGE(OFFSET($CC$3,0,0,'Données projet'!$E$12+1,1))-AVERAGE(OFFSET($H$3,0,0,'Données projet'!$E$12+1,1))</f>
        <v>475.54809021014017</v>
      </c>
      <c r="CE25" s="59">
        <f t="shared" si="40"/>
        <v>593.51433014569966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9.915778160013982</v>
      </c>
      <c r="CM25" s="21">
        <f>EXP(-LN(2)/2)*CM24+(1-EXP(-LN(2)/2))/(LN(2)/2)*CG25*CJ25*VLOOKUP('Données projet'!$B$12,Paramètres!$A$1:$I$89,3,0)*0.475*44/12</f>
        <v>5.4430935471287327</v>
      </c>
      <c r="CN25" s="22">
        <f t="shared" si="12"/>
        <v>15.358871707142715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9.1999999999999993</v>
      </c>
      <c r="CT25" s="12">
        <f>IF('Données projet'!$A$140&gt;35,CT24+CS25-DB24,IF(A25&lt;'Données projet'!$A$140,$CQ$205^A25,IF(A25='Données projet'!$A$140,'Données projet'!$B$140,CT24+CS25-DB24)))</f>
        <v>136.89999999999998</v>
      </c>
      <c r="CU25" s="17">
        <f>CT25*VLOOKUP('Données projet'!$B$13,Paramètres!$A$1:$I$89,3,0)*VLOOKUP('Données projet'!$B$13,Paramètres!$A$1:$I$89,5,0)</f>
        <v>64.069199999999995</v>
      </c>
      <c r="CV25" s="13">
        <f t="shared" si="41"/>
        <v>18.193128517714101</v>
      </c>
      <c r="CW25" s="20">
        <f t="shared" si="13"/>
        <v>143.27355550168537</v>
      </c>
      <c r="CX25" s="59">
        <f t="shared" si="14"/>
        <v>436.60688883501871</v>
      </c>
      <c r="CY25" s="59">
        <f ca="1">AVERAGE(OFFSET($CX$3,0,0,'Données projet'!$E$13+1,1))-AVERAGE(OFFSET($H$3,0,0,'Données projet'!$E$13+1,1))</f>
        <v>226.0452828290525</v>
      </c>
      <c r="CZ25" s="59">
        <f t="shared" si="42"/>
        <v>179.89696397462069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2.5927597510117808</v>
      </c>
      <c r="DG25" s="21">
        <f>EXP(-LN(2)/25)*DG24+(1-EXP(-LN(2)/25))/(LN(2)/25)*Calculateur!DB25*Calculateur!DD25*VLOOKUP('Données projet'!$B$13,Paramètres!$A$1:$I$89,3,0)*0.475*44/12</f>
        <v>2.5419571919127244</v>
      </c>
      <c r="DH25" s="21">
        <f>EXP(-LN(2)/2)*DH24+(1-EXP(-LN(2)/2))/(LN(2)/2)*DB25*DE25*VLOOKUP('Données projet'!$B$13,Paramètres!$A$1:$I$89,3,0)*0.475*44/12</f>
        <v>6.2791338756222732</v>
      </c>
      <c r="DI25" s="22">
        <f t="shared" si="15"/>
        <v>11.413850818546779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20</v>
      </c>
      <c r="DO25" s="12">
        <f>IF('Données projet'!$A$166&gt;35,DO24+DN25-DW24,IF(A25&lt;'Données projet'!$A$166,$DL$205^A25,IF(A25='Données projet'!$A$166,'Données projet'!$B$166,DO24+DN25-DW24)))</f>
        <v>157</v>
      </c>
      <c r="DP25" s="17">
        <f>DO25*VLOOKUP('Données projet'!$B$14,Paramètres!$A$1:$I$89,3,0)*VLOOKUP('Données projet'!$B$14,Paramètres!$A$1:$I$89,5,0)</f>
        <v>93.885999999999996</v>
      </c>
      <c r="DQ25" s="13">
        <f t="shared" si="43"/>
        <v>25.500116461916402</v>
      </c>
      <c r="DR25" s="20">
        <f t="shared" si="16"/>
        <v>207.9308195045044</v>
      </c>
      <c r="DS25" s="59">
        <f t="shared" si="17"/>
        <v>501.26415283783774</v>
      </c>
      <c r="DT25" s="59">
        <f ca="1">AVERAGE(OFFSET($DS$3,0,0,'Données projet'!$E$14+1,1))-AVERAGE(OFFSET($H$3,0,0,'Données projet'!$E$14+1,1))</f>
        <v>252.81045065813976</v>
      </c>
      <c r="DU25" s="59">
        <f t="shared" si="44"/>
        <v>254.36590349790589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8.1727360743595252</v>
      </c>
      <c r="EB25" s="21">
        <f>EXP(-LN(2)/25)*EB24+(1-EXP(-LN(2)/25))/(LN(2)/25)*Calculateur!DW25*Calculateur!DY25*VLOOKUP('Données projet'!$B$14,Paramètres!$A$1:$I$89,3,0)*0.475*44/12</f>
        <v>10.11704641793315</v>
      </c>
      <c r="EC25" s="21">
        <f>EXP(-LN(2)/2)*EC24+(1-EXP(-LN(2)/2))/(LN(2)/2)*DW25*DZ25*VLOOKUP('Données projet'!$B$14,Paramètres!$A$1:$I$89,3,0)*0.475*44/12</f>
        <v>7.7694346372414858</v>
      </c>
      <c r="ED25" s="22">
        <f t="shared" si="18"/>
        <v>26.059217129534158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16.8</v>
      </c>
      <c r="EJ25" s="12">
        <f>IF('Données projet'!$A$192&gt;35,EJ24+EI25-ER24,IF(A25&lt;'Données projet'!$A$192,$EG$205^A25,IF(A25='Données projet'!$A$192,'Données projet'!$B$192,EJ24+EI25-ER24)))</f>
        <v>114.60000000000001</v>
      </c>
      <c r="EK25" s="17">
        <f>EJ25*VLOOKUP('Données projet'!$B$15,Paramètres!$A$1:$I$89,3,0)*VLOOKUP('Données projet'!$B$15,Paramètres!$A$1:$I$89,5,0)</f>
        <v>84.024720000000002</v>
      </c>
      <c r="EL25" s="13">
        <f t="shared" si="45"/>
        <v>23.11842031654454</v>
      </c>
      <c r="EM25" s="20">
        <f t="shared" si="19"/>
        <v>186.6076360513151</v>
      </c>
      <c r="EN25" s="59">
        <f t="shared" si="20"/>
        <v>479.94096938464838</v>
      </c>
      <c r="EO25" s="59">
        <f ca="1">AVERAGE(OFFSET($EN$3,0,0,'Données projet'!$E$15+1,1))-AVERAGE(OFFSET($H$3,0,0,'Données projet'!$E$15+1,1))</f>
        <v>296.91321813251051</v>
      </c>
      <c r="EP25" s="59">
        <f t="shared" si="46"/>
        <v>291.0718079639509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5.3626014481554547</v>
      </c>
      <c r="EW25" s="21">
        <f>EXP(-LN(2)/25)*EW24+(1-EXP(-LN(2)/25))/(LN(2)/25)*Calculateur!ER25*Calculateur!ET25*VLOOKUP('Données projet'!$B$15,Paramètres!$A$1:$I$89,3,0)*0.475*44/12</f>
        <v>5.6831871983413915</v>
      </c>
      <c r="EX25" s="21">
        <f>EXP(-LN(2)/2)*EX24+(1-EXP(-LN(2)/2))/(LN(2)/2)*ER25*EU25*VLOOKUP('Données projet'!$B$15,Paramètres!$A$1:$I$89,3,0)*0.475*44/12</f>
        <v>10.310461411354858</v>
      </c>
      <c r="EY25" s="22">
        <f t="shared" si="21"/>
        <v>21.356250057851703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7.2</v>
      </c>
      <c r="FE25" s="12">
        <f>IF('Données projet'!$A$218&gt;35,FE24+FD25-FM24,IF(A25&lt;'Données projet'!$A$218,$FB$205^A25,IF(A25='Données projet'!$A$218,'Données projet'!$B$218,FE24+FD25-FM24)))</f>
        <v>81.400000000000006</v>
      </c>
      <c r="FF25" s="17">
        <f>FE25*VLOOKUP('Données projet'!$B$16,Paramètres!$A$1:$I$89,3,0)*VLOOKUP('Données projet'!$B$16,Paramètres!$A$1:$I$89,5,0)</f>
        <v>82.539600000000007</v>
      </c>
      <c r="FG25" s="13">
        <f t="shared" si="47"/>
        <v>22.756995627482848</v>
      </c>
      <c r="FH25" s="20">
        <f t="shared" si="22"/>
        <v>183.39157071786599</v>
      </c>
      <c r="FI25" s="59">
        <f t="shared" si="23"/>
        <v>476.7249040511993</v>
      </c>
      <c r="FJ25" s="59">
        <f ca="1">AVERAGE(OFFSET($FI$3,0,0,'Données projet'!$E$16+1,1))-AVERAGE(OFFSET($H$3,0,0,'Données projet'!$E$16+1,1))</f>
        <v>356.65981389369125</v>
      </c>
      <c r="FK25" s="59">
        <f t="shared" si="48"/>
        <v>231.92898690465887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0.55594656724801894</v>
      </c>
      <c r="FR25" s="21">
        <f>EXP(-LN(2)/25)*FR24+(1-EXP(-LN(2)/25))/(LN(2)/25)*Calculateur!FM25*Calculateur!FO25*VLOOKUP('Données projet'!$B$16,Paramètres!$A$1:$I$89,3,0)*0.475*44/12</f>
        <v>0.54505334494791458</v>
      </c>
      <c r="FS25" s="21">
        <f>EXP(-LN(2)/2)*FS24+(1-EXP(-LN(2)/2))/(LN(2)/2)*FM25*FP25*VLOOKUP('Données projet'!$B$16,Paramètres!$A$1:$I$89,3,0)*0.475*44/12</f>
        <v>1.7221253245377546</v>
      </c>
      <c r="FT25" s="22">
        <f t="shared" si="24"/>
        <v>2.8231252367336879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7.2</v>
      </c>
      <c r="FZ25" s="12">
        <f>IF('Données projet'!$A$244&gt;35,FZ24+FY25-GH24,IF(A25&lt;'Données projet'!$A$244,$FW$205^A25,IF(A25='Données projet'!$A$244,'Données projet'!$B$244,FZ24+FY25-GH24)))</f>
        <v>81.400000000000006</v>
      </c>
      <c r="GA25" s="17">
        <f>FZ25*VLOOKUP('Données projet'!$B$17,Paramètres!$A$1:$I$89,3,0)*VLOOKUP('Données projet'!$B$17,Paramètres!$A$1:$I$89,5,0)</f>
        <v>78.730080000000015</v>
      </c>
      <c r="GB25" s="13">
        <f t="shared" si="49"/>
        <v>21.826393515256996</v>
      </c>
      <c r="GC25" s="20">
        <f t="shared" si="25"/>
        <v>175.13585803907259</v>
      </c>
      <c r="GD25" s="59">
        <f t="shared" si="26"/>
        <v>468.46919137240593</v>
      </c>
      <c r="GE25" s="59">
        <f ca="1">AVERAGE(OFFSET($GD$3,0,0,'Données projet'!$E$17+1,1))-AVERAGE(OFFSET($H$3,0,0,'Données projet'!$E$17+1,1))</f>
        <v>337.76140497227715</v>
      </c>
      <c r="GF25" s="59">
        <f t="shared" si="50"/>
        <v>219.76562717496353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0.53028749491349514</v>
      </c>
      <c r="GM25" s="21">
        <f>EXP(-LN(2)/25)*GM24+(1-EXP(-LN(2)/25))/(LN(2)/25)*Calculateur!GH25*Calculateur!GJ25*VLOOKUP('Données projet'!$B$17,Paramètres!$A$1:$I$89,3,0)*0.475*44/12</f>
        <v>0.51989703671954923</v>
      </c>
      <c r="GN25" s="21">
        <f>EXP(-LN(2)/2)*GN24+(1-EXP(-LN(2)/2))/(LN(2)/2)*GH25*GK25*VLOOKUP('Données projet'!$B$17,Paramètres!$A$1:$I$89,3,0)*0.475*44/12</f>
        <v>1.6426426172513968</v>
      </c>
      <c r="GO25" s="21">
        <f t="shared" si="27"/>
        <v>2.6928271488844411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</v>
      </c>
      <c r="N26" s="13">
        <f>IF('Données projet'!$A$36&gt;35,N25+M26-V25,IF(A26&lt;'Données projet'!$A$36,$K$205^A26,IF(A26='Données projet'!$A$36,'Données projet'!$B$36,N25+M26-V25)))</f>
        <v>88.600000000000009</v>
      </c>
      <c r="O26" s="13">
        <f>N26*VLOOKUP('Données projet'!$B$9,Paramètres!$A$1:$I$89,3,0)*VLOOKUP('Données projet'!$B$9,Paramètres!$A$1:$I$89,5,0)</f>
        <v>80.165279999999996</v>
      </c>
      <c r="P26" s="13">
        <f t="shared" si="33"/>
        <v>22.177591092468788</v>
      </c>
      <c r="Q26" s="20">
        <f t="shared" si="2"/>
        <v>178.24716715271646</v>
      </c>
      <c r="R26" s="59">
        <f t="shared" si="0"/>
        <v>471.5805004860498</v>
      </c>
      <c r="S26" s="59">
        <f ca="1">AVERAGE(OFFSET($R$3,0,0,'Données projet'!$E$9+1,1))-AVERAGE(OFFSET($H$3,0,0,'Données projet'!$E$9+1,1))</f>
        <v>312.53389584272878</v>
      </c>
      <c r="T26" s="59">
        <f t="shared" si="34"/>
        <v>203.5274665601915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0.48634766247963218</v>
      </c>
      <c r="AA26" s="21">
        <f>EXP(-LN(2)/25)*AA25+(1-EXP(-LN(2)/25))/(LN(2)/25)*Calculateur!V26*Calculateur!X26*VLOOKUP('Données projet'!$B$9,Paramètres!$A$1:$I$89,3,0)*0.475*44/12</f>
        <v>0.47305588136765908</v>
      </c>
      <c r="AB26" s="21">
        <f>EXP(-LN(2)/2)*AB25+(1-EXP(-LN(2)/2))/(LN(2)/2)*V26*Y26*VLOOKUP('Données projet'!$B$9,Paramètres!$A$1:$I$89,3,0)*0.475*44/12</f>
        <v>1.0865867186454823</v>
      </c>
      <c r="AC26" s="22">
        <f t="shared" si="3"/>
        <v>2.0459902624927735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15.8</v>
      </c>
      <c r="AI26" s="13">
        <f>IF('Données projet'!$A$62&gt;35,AI25+AH26-AQ25,IF(A26&lt;'Données projet'!$A$62,$AF$205^A26,IF(A26='Données projet'!$A$62,'Données projet'!$B$62,AI25+AH26-AQ25)))</f>
        <v>151.40000000000003</v>
      </c>
      <c r="AJ26" s="13">
        <f>AI26*VLOOKUP('Données projet'!$B$10,Paramètres!$A$1:$I$89,3,0)*VLOOKUP('Données projet'!$B$10,Paramètres!$A$1:$I$89,5,0)</f>
        <v>132.26304000000005</v>
      </c>
      <c r="AK26" s="13">
        <f t="shared" si="35"/>
        <v>34.518755036434833</v>
      </c>
      <c r="AL26" s="20">
        <f t="shared" si="4"/>
        <v>290.47829302179076</v>
      </c>
      <c r="AM26" s="59">
        <f t="shared" si="5"/>
        <v>583.81162635512408</v>
      </c>
      <c r="AN26" s="59">
        <f ca="1">AVERAGE(OFFSET($AM$3,0,0,'Données projet'!$E$10+1,1))-AVERAGE(OFFSET($H$3,0,0,'Données projet'!$E$10+1,1))</f>
        <v>243.05628303465238</v>
      </c>
      <c r="AO26" s="59">
        <f t="shared" si="36"/>
        <v>352.47096767658394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1.9565710559525431</v>
      </c>
      <c r="AV26" s="21">
        <f>EXP(-LN(2)/25)*AV25+(1-EXP(-LN(2)/25))/(LN(2)/25)*Calculateur!AQ26*Calculateur!AS26*VLOOKUP('Données projet'!$B$10,Paramètres!$A$1:$I$89,3,0)*0.475*44/12</f>
        <v>4.9327822320483854</v>
      </c>
      <c r="AW26" s="21">
        <f>EXP(-LN(2)/2)*AW25+(1-EXP(-LN(2)/2))/(LN(2)/2)*AQ26*AT26*VLOOKUP('Données projet'!$B$10,Paramètres!$A$1:$I$89,3,0)*0.475*44/12</f>
        <v>6.7042161882810722</v>
      </c>
      <c r="AX26" s="21">
        <f t="shared" si="6"/>
        <v>13.593569476282001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16.8</v>
      </c>
      <c r="BD26" s="12">
        <f>IF('Données projet'!$A$88&gt;35,BD25+BC26-BL25,IF(A26&lt;'Données projet'!$A$88,$BA$205^A26,IF(A26='Données projet'!$A$88,'Données projet'!$B$88,BD25+BC26-BL25)))</f>
        <v>131.4</v>
      </c>
      <c r="BE26" s="13">
        <f>BD26*VLOOKUP('Données projet'!$B$11,Paramètres!$A$1:$I$89,3,0)*VLOOKUP('Données projet'!$B$11,Paramètres!$A$1:$I$89,5,0)</f>
        <v>104.54184000000002</v>
      </c>
      <c r="BF26" s="13">
        <f t="shared" si="37"/>
        <v>28.041215323191079</v>
      </c>
      <c r="BG26" s="20">
        <f t="shared" si="7"/>
        <v>230.91548802122449</v>
      </c>
      <c r="BH26" s="59">
        <f t="shared" si="8"/>
        <v>524.24882135455778</v>
      </c>
      <c r="BI26" s="59">
        <f ca="1">AVERAGE(OFFSET($BH$3,0,0,'Données projet'!$E$11+1,1))-AVERAGE(OFFSET($H$3,0,0,'Données projet'!$E$11+1,1))</f>
        <v>325.72928944930294</v>
      </c>
      <c r="BJ26" s="59">
        <f t="shared" si="38"/>
        <v>318.38876834819752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7.0316038667940015</v>
      </c>
      <c r="BQ26" s="21">
        <f>EXP(-LN(2)/25)*BQ25+(1-EXP(-LN(2)/25))/(LN(2)/25)*Calculateur!BL26*Calculateur!BN26*VLOOKUP('Données projet'!$B$11,Paramètres!$A$1:$I$89,3,0)*0.475*44/12</f>
        <v>7.393166617212418</v>
      </c>
      <c r="BR26" s="21">
        <f>EXP(-LN(2)/2)*BR25+(1-EXP(-LN(2)/2))/(LN(2)/2)*BL26*BO26*VLOOKUP('Données projet'!$B$11,Paramètres!$A$1:$I$89,3,0)*0.475*44/12</f>
        <v>7.9110735369722001</v>
      </c>
      <c r="BS26" s="22">
        <f t="shared" si="9"/>
        <v>22.33584402097862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31.8</v>
      </c>
      <c r="BY26" s="12">
        <f>IF('Données projet'!$A$114&gt;35,BY25+BX26-CG25,IF(A26&lt;'Données projet'!$A$114,$BV$205^A26,IF(A26='Données projet'!$A$114,'Données projet'!$B$114,BY25+BX26-CG25)))</f>
        <v>355.40000000000003</v>
      </c>
      <c r="BZ26" s="13">
        <f>BY26*VLOOKUP('Données projet'!$B$12,Paramètres!$A$1:$I$89,3,0)*VLOOKUP('Données projet'!$B$12,Paramètres!$A$1:$I$89,5,0)</f>
        <v>198.6686</v>
      </c>
      <c r="CA26" s="13">
        <f t="shared" si="39"/>
        <v>49.451452656287465</v>
      </c>
      <c r="CB26" s="20">
        <f t="shared" si="10"/>
        <v>432.14242504303394</v>
      </c>
      <c r="CC26" s="59">
        <f t="shared" si="11"/>
        <v>725.47575837636725</v>
      </c>
      <c r="CD26" s="59">
        <f ca="1">AVERAGE(OFFSET($CC$3,0,0,'Données projet'!$E$12+1,1))-AVERAGE(OFFSET($H$3,0,0,'Données projet'!$E$12+1,1))</f>
        <v>475.54809021014017</v>
      </c>
      <c r="CE26" s="59">
        <f t="shared" si="40"/>
        <v>593.51433014569966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9.6446306847802887</v>
      </c>
      <c r="CM26" s="21">
        <f>EXP(-LN(2)/2)*CM25+(1-EXP(-LN(2)/2))/(LN(2)/2)*CG26*CJ26*VLOOKUP('Données projet'!$B$12,Paramètres!$A$1:$I$89,3,0)*0.475*44/12</f>
        <v>3.8488483578074657</v>
      </c>
      <c r="CN26" s="22">
        <f t="shared" si="12"/>
        <v>13.493479042587754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9.1999999999999993</v>
      </c>
      <c r="CT26" s="12">
        <f>IF('Données projet'!$A$140&gt;35,CT25+CS26-DB25,IF(A26&lt;'Données projet'!$A$140,$CQ$205^A26,IF(A26='Données projet'!$A$140,'Données projet'!$B$140,CT25+CS26-DB25)))</f>
        <v>146.09999999999997</v>
      </c>
      <c r="CU26" s="17">
        <f>CT26*VLOOKUP('Données projet'!$B$13,Paramètres!$A$1:$I$89,3,0)*VLOOKUP('Données projet'!$B$13,Paramètres!$A$1:$I$89,5,0)</f>
        <v>68.374799999999979</v>
      </c>
      <c r="CV26" s="13">
        <f t="shared" si="41"/>
        <v>19.269313009600907</v>
      </c>
      <c r="CW26" s="20">
        <f t="shared" si="13"/>
        <v>152.64683015838821</v>
      </c>
      <c r="CX26" s="59">
        <f t="shared" si="14"/>
        <v>445.98016349172156</v>
      </c>
      <c r="CY26" s="59">
        <f ca="1">AVERAGE(OFFSET($CX$3,0,0,'Données projet'!$E$13+1,1))-AVERAGE(OFFSET($H$3,0,0,'Données projet'!$E$13+1,1))</f>
        <v>226.0452828290525</v>
      </c>
      <c r="CZ26" s="59">
        <f t="shared" si="42"/>
        <v>179.89696397462069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2.541917313721735</v>
      </c>
      <c r="DG26" s="21">
        <f>EXP(-LN(2)/25)*DG25+(1-EXP(-LN(2)/25))/(LN(2)/25)*Calculateur!DB26*Calculateur!DD26*VLOOKUP('Données projet'!$B$13,Paramètres!$A$1:$I$89,3,0)*0.475*44/12</f>
        <v>2.4724472388241518</v>
      </c>
      <c r="DH26" s="21">
        <f>EXP(-LN(2)/2)*DH25+(1-EXP(-LN(2)/2))/(LN(2)/2)*DB26*DE26*VLOOKUP('Données projet'!$B$13,Paramètres!$A$1:$I$89,3,0)*0.475*44/12</f>
        <v>4.4400181434306774</v>
      </c>
      <c r="DI26" s="22">
        <f t="shared" si="15"/>
        <v>9.4543826959765642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20</v>
      </c>
      <c r="DO26" s="12">
        <f>IF('Données projet'!$A$166&gt;35,DO25+DN26-DW25,IF(A26&lt;'Données projet'!$A$166,$DL$205^A26,IF(A26='Données projet'!$A$166,'Données projet'!$B$166,DO25+DN26-DW25)))</f>
        <v>177</v>
      </c>
      <c r="DP26" s="17">
        <f>DO26*VLOOKUP('Données projet'!$B$14,Paramètres!$A$1:$I$89,3,0)*VLOOKUP('Données projet'!$B$14,Paramètres!$A$1:$I$89,5,0)</f>
        <v>105.846</v>
      </c>
      <c r="DQ26" s="13">
        <f t="shared" si="43"/>
        <v>28.350087862757704</v>
      </c>
      <c r="DR26" s="20">
        <f t="shared" si="16"/>
        <v>233.72485302763633</v>
      </c>
      <c r="DS26" s="59">
        <f t="shared" si="17"/>
        <v>527.05818636096967</v>
      </c>
      <c r="DT26" s="59">
        <f ca="1">AVERAGE(OFFSET($DS$3,0,0,'Données projet'!$E$14+1,1))-AVERAGE(OFFSET($H$3,0,0,'Données projet'!$E$14+1,1))</f>
        <v>252.81045065813976</v>
      </c>
      <c r="DU26" s="59">
        <f t="shared" si="44"/>
        <v>254.36590349790589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8.0124737048181238</v>
      </c>
      <c r="EB26" s="21">
        <f>EXP(-LN(2)/25)*EB25+(1-EXP(-LN(2)/25))/(LN(2)/25)*Calculateur!DW26*Calculateur!DY26*VLOOKUP('Données projet'!$B$14,Paramètres!$A$1:$I$89,3,0)*0.475*44/12</f>
        <v>9.8403952516024198</v>
      </c>
      <c r="EC26" s="21">
        <f>EXP(-LN(2)/2)*EC25+(1-EXP(-LN(2)/2))/(LN(2)/2)*DW26*DZ26*VLOOKUP('Données projet'!$B$14,Paramètres!$A$1:$I$89,3,0)*0.475*44/12</f>
        <v>5.4938199179790992</v>
      </c>
      <c r="ED26" s="22">
        <f t="shared" si="18"/>
        <v>23.346688874399643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16.8</v>
      </c>
      <c r="EJ26" s="12">
        <f>IF('Données projet'!$A$192&gt;35,EJ25+EI26-ER25,IF(A26&lt;'Données projet'!$A$192,$EG$205^A26,IF(A26='Données projet'!$A$192,'Données projet'!$B$192,EJ25+EI26-ER25)))</f>
        <v>131.4</v>
      </c>
      <c r="EK26" s="17">
        <f>EJ26*VLOOKUP('Données projet'!$B$15,Paramètres!$A$1:$I$89,3,0)*VLOOKUP('Données projet'!$B$15,Paramètres!$A$1:$I$89,5,0)</f>
        <v>96.342480000000009</v>
      </c>
      <c r="EL26" s="13">
        <f t="shared" si="45"/>
        <v>26.088763268244669</v>
      </c>
      <c r="EM26" s="20">
        <f t="shared" si="19"/>
        <v>213.23441535885948</v>
      </c>
      <c r="EN26" s="59">
        <f t="shared" si="20"/>
        <v>506.56774869219282</v>
      </c>
      <c r="EO26" s="59">
        <f ca="1">AVERAGE(OFFSET($EN$3,0,0,'Données projet'!$E$15+1,1))-AVERAGE(OFFSET($H$3,0,0,'Données projet'!$E$15+1,1))</f>
        <v>296.91321813251051</v>
      </c>
      <c r="EP26" s="59">
        <f t="shared" si="46"/>
        <v>291.0718079639509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5.2574441046210385</v>
      </c>
      <c r="EW26" s="21">
        <f>EXP(-LN(2)/25)*EW25+(1-EXP(-LN(2)/25))/(LN(2)/25)*Calculateur!ER26*Calculateur!ET26*VLOOKUP('Données projet'!$B$15,Paramètres!$A$1:$I$89,3,0)*0.475*44/12</f>
        <v>5.5277801455369202</v>
      </c>
      <c r="EX26" s="21">
        <f>EXP(-LN(2)/2)*EX25+(1-EXP(-LN(2)/2))/(LN(2)/2)*ER26*EU26*VLOOKUP('Données projet'!$B$15,Paramètres!$A$1:$I$89,3,0)*0.475*44/12</f>
        <v>7.2905971811312416</v>
      </c>
      <c r="EY26" s="22">
        <f t="shared" si="21"/>
        <v>18.075821431289199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7.2</v>
      </c>
      <c r="FE26" s="12">
        <f>IF('Données projet'!$A$218&gt;35,FE25+FD26-FM25,IF(A26&lt;'Données projet'!$A$218,$FB$205^A26,IF(A26='Données projet'!$A$218,'Données projet'!$B$218,FE25+FD26-FM25)))</f>
        <v>88.600000000000009</v>
      </c>
      <c r="FF26" s="17">
        <f>FE26*VLOOKUP('Données projet'!$B$16,Paramètres!$A$1:$I$89,3,0)*VLOOKUP('Données projet'!$B$16,Paramètres!$A$1:$I$89,5,0)</f>
        <v>89.840400000000017</v>
      </c>
      <c r="FG26" s="13">
        <f t="shared" si="47"/>
        <v>24.526729341796202</v>
      </c>
      <c r="FH26" s="20">
        <f t="shared" si="22"/>
        <v>199.18941693696172</v>
      </c>
      <c r="FI26" s="59">
        <f t="shared" si="23"/>
        <v>492.52275027029503</v>
      </c>
      <c r="FJ26" s="59">
        <f ca="1">AVERAGE(OFFSET($FI$3,0,0,'Données projet'!$E$16+1,1))-AVERAGE(OFFSET($H$3,0,0,'Données projet'!$E$16+1,1))</f>
        <v>356.65981389369125</v>
      </c>
      <c r="FK26" s="59">
        <f t="shared" si="48"/>
        <v>231.92898690465887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0.54504479415820861</v>
      </c>
      <c r="FR26" s="21">
        <f>EXP(-LN(2)/25)*FR25+(1-EXP(-LN(2)/25))/(LN(2)/25)*Calculateur!FM26*Calculateur!FO26*VLOOKUP('Données projet'!$B$16,Paramètres!$A$1:$I$89,3,0)*0.475*44/12</f>
        <v>0.53014883256720413</v>
      </c>
      <c r="FS26" s="21">
        <f>EXP(-LN(2)/2)*FS25+(1-EXP(-LN(2)/2))/(LN(2)/2)*FM26*FP26*VLOOKUP('Données projet'!$B$16,Paramètres!$A$1:$I$89,3,0)*0.475*44/12</f>
        <v>1.2177264950337303</v>
      </c>
      <c r="FT26" s="22">
        <f t="shared" si="24"/>
        <v>2.2929201217591428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7.2</v>
      </c>
      <c r="FZ26" s="12">
        <f>IF('Données projet'!$A$244&gt;35,FZ25+FY26-GH25,IF(A26&lt;'Données projet'!$A$244,$FW$205^A26,IF(A26='Données projet'!$A$244,'Données projet'!$B$244,FZ25+FY26-GH25)))</f>
        <v>88.600000000000009</v>
      </c>
      <c r="GA26" s="17">
        <f>FZ26*VLOOKUP('Données projet'!$B$17,Paramètres!$A$1:$I$89,3,0)*VLOOKUP('Données projet'!$B$17,Paramètres!$A$1:$I$89,5,0)</f>
        <v>85.693920000000006</v>
      </c>
      <c r="GB26" s="13">
        <f t="shared" si="49"/>
        <v>23.523757486236178</v>
      </c>
      <c r="GC26" s="20">
        <f t="shared" si="25"/>
        <v>190.22078828852798</v>
      </c>
      <c r="GD26" s="59">
        <f t="shared" si="26"/>
        <v>483.55412162186133</v>
      </c>
      <c r="GE26" s="59">
        <f ca="1">AVERAGE(OFFSET($GD$3,0,0,'Données projet'!$E$17+1,1))-AVERAGE(OFFSET($H$3,0,0,'Données projet'!$E$17+1,1))</f>
        <v>337.76140497227715</v>
      </c>
      <c r="GF26" s="59">
        <f t="shared" si="50"/>
        <v>219.76562717496353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0.51988888058167604</v>
      </c>
      <c r="GM26" s="21">
        <f>EXP(-LN(2)/25)*GM25+(1-EXP(-LN(2)/25))/(LN(2)/25)*Calculateur!GH26*Calculateur!GJ26*VLOOKUP('Données projet'!$B$17,Paramètres!$A$1:$I$89,3,0)*0.475*44/12</f>
        <v>0.50568042491025622</v>
      </c>
      <c r="GN26" s="21">
        <f>EXP(-LN(2)/2)*GN25+(1-EXP(-LN(2)/2))/(LN(2)/2)*GH26*GK26*VLOOKUP('Données projet'!$B$17,Paramètres!$A$1:$I$89,3,0)*0.475*44/12</f>
        <v>1.1615237337244813</v>
      </c>
      <c r="GO26" s="21">
        <f t="shared" si="27"/>
        <v>2.1870930392164132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</v>
      </c>
      <c r="N27" s="13">
        <f>IF('Données projet'!$A$36&gt;35,N26+M27-V26,IF(A27&lt;'Données projet'!$A$36,$K$205^A27,IF(A27='Données projet'!$A$36,'Données projet'!$B$36,N26+M27-V26)))</f>
        <v>95.800000000000011</v>
      </c>
      <c r="O27" s="13">
        <f>N27*VLOOKUP('Données projet'!$B$9,Paramètres!$A$1:$I$89,3,0)*VLOOKUP('Données projet'!$B$9,Paramètres!$A$1:$I$89,5,0)</f>
        <v>86.679839999999999</v>
      </c>
      <c r="P27" s="13">
        <f t="shared" si="33"/>
        <v>23.762739053789723</v>
      </c>
      <c r="Q27" s="20">
        <f t="shared" si="2"/>
        <v>192.35415851868379</v>
      </c>
      <c r="R27" s="59">
        <f t="shared" si="0"/>
        <v>485.6874918520171</v>
      </c>
      <c r="S27" s="59">
        <f ca="1">AVERAGE(OFFSET($R$3,0,0,'Données projet'!$E$9+1,1))-AVERAGE(OFFSET($H$3,0,0,'Données projet'!$E$9+1,1))</f>
        <v>312.53389584272878</v>
      </c>
      <c r="T27" s="59">
        <f t="shared" si="34"/>
        <v>203.5274665601915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0.47681068146118966</v>
      </c>
      <c r="AA27" s="21">
        <f>EXP(-LN(2)/25)*AA26+(1-EXP(-LN(2)/25))/(LN(2)/25)*Calculateur!V27*Calculateur!X27*VLOOKUP('Données projet'!$B$9,Paramètres!$A$1:$I$89,3,0)*0.475*44/12</f>
        <v>0.46012014341473284</v>
      </c>
      <c r="AB27" s="21">
        <f>EXP(-LN(2)/2)*AB26+(1-EXP(-LN(2)/2))/(LN(2)/2)*V27*Y27*VLOOKUP('Données projet'!$B$9,Paramètres!$A$1:$I$89,3,0)*0.475*44/12</f>
        <v>0.76833283710145972</v>
      </c>
      <c r="AC27" s="22">
        <f t="shared" si="3"/>
        <v>1.7052636619773822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15.8</v>
      </c>
      <c r="AI27" s="13">
        <f>IF('Données projet'!$A$62&gt;35,AI26+AH27-AQ26,IF(A27&lt;'Données projet'!$A$62,$AF$205^A27,IF(A27='Données projet'!$A$62,'Données projet'!$B$62,AI26+AH27-AQ26)))</f>
        <v>167.20000000000005</v>
      </c>
      <c r="AJ27" s="13">
        <f>AI27*VLOOKUP('Données projet'!$B$10,Paramètres!$A$1:$I$89,3,0)*VLOOKUP('Données projet'!$B$10,Paramètres!$A$1:$I$89,5,0)</f>
        <v>146.06592000000006</v>
      </c>
      <c r="AK27" s="13">
        <f t="shared" si="35"/>
        <v>37.683173643014399</v>
      </c>
      <c r="AL27" s="20">
        <f t="shared" si="4"/>
        <v>320.0296714282502</v>
      </c>
      <c r="AM27" s="59">
        <f t="shared" si="5"/>
        <v>613.36300476158351</v>
      </c>
      <c r="AN27" s="59">
        <f ca="1">AVERAGE(OFFSET($AM$3,0,0,'Données projet'!$E$10+1,1))-AVERAGE(OFFSET($H$3,0,0,'Données projet'!$E$10+1,1))</f>
        <v>243.05628303465238</v>
      </c>
      <c r="AO27" s="59">
        <f t="shared" si="36"/>
        <v>352.47096767658394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1.9182038909358203</v>
      </c>
      <c r="AV27" s="21">
        <f>EXP(-LN(2)/25)*AV26+(1-EXP(-LN(2)/25))/(LN(2)/25)*Calculateur!AQ27*Calculateur!AS27*VLOOKUP('Données projet'!$B$10,Paramètres!$A$1:$I$89,3,0)*0.475*44/12</f>
        <v>4.7978950425092783</v>
      </c>
      <c r="AW27" s="21">
        <f>EXP(-LN(2)/2)*AW26+(1-EXP(-LN(2)/2))/(LN(2)/2)*AQ27*AT27*VLOOKUP('Données projet'!$B$10,Paramètres!$A$1:$I$89,3,0)*0.475*44/12</f>
        <v>4.7405967292741744</v>
      </c>
      <c r="AX27" s="21">
        <f t="shared" si="6"/>
        <v>11.456695662719273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16.8</v>
      </c>
      <c r="BD27" s="12">
        <f>IF('Données projet'!$A$88&gt;35,BD26+BC27-BL26,IF(A27&lt;'Données projet'!$A$88,$BA$205^A27,IF(A27='Données projet'!$A$88,'Données projet'!$B$88,BD26+BC27-BL26)))</f>
        <v>148.20000000000002</v>
      </c>
      <c r="BE27" s="13">
        <f>BD27*VLOOKUP('Données projet'!$B$11,Paramètres!$A$1:$I$89,3,0)*VLOOKUP('Données projet'!$B$11,Paramètres!$A$1:$I$89,5,0)</f>
        <v>117.90792000000002</v>
      </c>
      <c r="BF27" s="13">
        <f t="shared" si="37"/>
        <v>31.186557651984323</v>
      </c>
      <c r="BG27" s="20">
        <f t="shared" si="7"/>
        <v>259.67288191053939</v>
      </c>
      <c r="BH27" s="59">
        <f t="shared" si="8"/>
        <v>553.0062152438727</v>
      </c>
      <c r="BI27" s="59">
        <f ca="1">AVERAGE(OFFSET($BH$3,0,0,'Données projet'!$E$11+1,1))-AVERAGE(OFFSET($H$3,0,0,'Données projet'!$E$11+1,1))</f>
        <v>325.72928944930294</v>
      </c>
      <c r="BJ27" s="59">
        <f t="shared" si="38"/>
        <v>318.38876834819752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6.8937184038210404</v>
      </c>
      <c r="BQ27" s="21">
        <f>EXP(-LN(2)/25)*BQ26+(1-EXP(-LN(2)/25))/(LN(2)/25)*Calculateur!BL27*Calculateur!BN27*VLOOKUP('Données projet'!$B$11,Paramètres!$A$1:$I$89,3,0)*0.475*44/12</f>
        <v>7.1910000872750093</v>
      </c>
      <c r="BR27" s="21">
        <f>EXP(-LN(2)/2)*BR26+(1-EXP(-LN(2)/2))/(LN(2)/2)*BL27*BO27*VLOOKUP('Données projet'!$B$11,Paramètres!$A$1:$I$89,3,0)*0.475*44/12</f>
        <v>5.5939737444584887</v>
      </c>
      <c r="BS27" s="22">
        <f t="shared" si="9"/>
        <v>19.678692235554539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31.8</v>
      </c>
      <c r="BY27" s="12">
        <f>IF('Données projet'!$A$114&gt;35,BY26+BX27-CG26,IF(A27&lt;'Données projet'!$A$114,$BV$205^A27,IF(A27='Données projet'!$A$114,'Données projet'!$B$114,BY26+BX27-CG26)))</f>
        <v>387.20000000000005</v>
      </c>
      <c r="BZ27" s="13">
        <f>BY27*VLOOKUP('Données projet'!$B$12,Paramètres!$A$1:$I$89,3,0)*VLOOKUP('Données projet'!$B$12,Paramètres!$A$1:$I$89,5,0)</f>
        <v>216.44480000000001</v>
      </c>
      <c r="CA27" s="13">
        <f t="shared" si="39"/>
        <v>53.341449419561528</v>
      </c>
      <c r="CB27" s="20">
        <f t="shared" si="10"/>
        <v>469.87771773906974</v>
      </c>
      <c r="CC27" s="59">
        <f t="shared" si="11"/>
        <v>763.21105107240305</v>
      </c>
      <c r="CD27" s="59">
        <f ca="1">AVERAGE(OFFSET($CC$3,0,0,'Données projet'!$E$12+1,1))-AVERAGE(OFFSET($H$3,0,0,'Données projet'!$E$12+1,1))</f>
        <v>475.54809021014017</v>
      </c>
      <c r="CE27" s="59">
        <f t="shared" si="40"/>
        <v>593.51433014569966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9.3808977515158869</v>
      </c>
      <c r="CM27" s="21">
        <f>EXP(-LN(2)/2)*CM26+(1-EXP(-LN(2)/2))/(LN(2)/2)*CG27*CJ27*VLOOKUP('Données projet'!$B$12,Paramètres!$A$1:$I$89,3,0)*0.475*44/12</f>
        <v>2.7215467735643668</v>
      </c>
      <c r="CN27" s="22">
        <f t="shared" si="12"/>
        <v>12.102444525080253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9.1999999999999993</v>
      </c>
      <c r="CT27" s="12">
        <f>IF('Données projet'!$A$140&gt;35,CT26+CS27-DB26,IF(A27&lt;'Données projet'!$A$140,$CQ$205^A27,IF(A27='Données projet'!$A$140,'Données projet'!$B$140,CT26+CS27-DB26)))</f>
        <v>155.29999999999995</v>
      </c>
      <c r="CU27" s="17">
        <f>CT27*VLOOKUP('Données projet'!$B$13,Paramètres!$A$1:$I$89,3,0)*VLOOKUP('Données projet'!$B$13,Paramètres!$A$1:$I$89,5,0)</f>
        <v>72.680399999999977</v>
      </c>
      <c r="CV27" s="13">
        <f t="shared" si="41"/>
        <v>20.337632665681216</v>
      </c>
      <c r="CW27" s="20">
        <f t="shared" si="13"/>
        <v>162.00640689272805</v>
      </c>
      <c r="CX27" s="59">
        <f t="shared" si="14"/>
        <v>455.33974022606139</v>
      </c>
      <c r="CY27" s="59">
        <f ca="1">AVERAGE(OFFSET($CX$3,0,0,'Données projet'!$E$13+1,1))-AVERAGE(OFFSET($H$3,0,0,'Données projet'!$E$13+1,1))</f>
        <v>226.0452828290525</v>
      </c>
      <c r="CZ27" s="59">
        <f t="shared" si="42"/>
        <v>179.89696397462069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2.492071865616122</v>
      </c>
      <c r="DG27" s="21">
        <f>EXP(-LN(2)/25)*DG26+(1-EXP(-LN(2)/25))/(LN(2)/25)*Calculateur!DB27*Calculateur!DD27*VLOOKUP('Données projet'!$B$13,Paramètres!$A$1:$I$89,3,0)*0.475*44/12</f>
        <v>2.4048380390581561</v>
      </c>
      <c r="DH27" s="21">
        <f>EXP(-LN(2)/2)*DH26+(1-EXP(-LN(2)/2))/(LN(2)/2)*DB27*DE27*VLOOKUP('Données projet'!$B$13,Paramètres!$A$1:$I$89,3,0)*0.475*44/12</f>
        <v>3.139566937811137</v>
      </c>
      <c r="DI27" s="22">
        <f t="shared" si="15"/>
        <v>8.0364768424854152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>
        <f>VLOOKUP(A27,'Données projet'!$A$165:$I$185,2,0)</f>
        <v>197</v>
      </c>
      <c r="DM27" s="12">
        <f>VLOOKUP(A27,'Données projet'!$A$165:$I$185,9,0)</f>
        <v>20</v>
      </c>
      <c r="DN27" s="12">
        <f t="array" ref="DN27">INDEX(DM:DM,MIN(IF(ISNUMBER(DM27:DM223),ROW(DM27:DM223),"")))</f>
        <v>20</v>
      </c>
      <c r="DO27" s="12">
        <f>IF('Données projet'!$A$166&gt;35,DO26+DN27-DW26,IF(A27&lt;'Données projet'!$A$166,$DL$205^A27,IF(A27='Données projet'!$A$166,'Données projet'!$B$166,DO26+DN27-DW26)))</f>
        <v>197</v>
      </c>
      <c r="DP27" s="17">
        <f>DO27*VLOOKUP('Données projet'!$B$14,Paramètres!$A$1:$I$89,3,0)*VLOOKUP('Données projet'!$B$14,Paramètres!$A$1:$I$89,5,0)</f>
        <v>117.80600000000001</v>
      </c>
      <c r="DQ27" s="13">
        <f t="shared" si="43"/>
        <v>31.162736572430632</v>
      </c>
      <c r="DR27" s="20">
        <f t="shared" si="16"/>
        <v>259.45388286365005</v>
      </c>
      <c r="DS27" s="59">
        <f t="shared" si="17"/>
        <v>552.78721619698331</v>
      </c>
      <c r="DT27" s="59">
        <f ca="1">AVERAGE(OFFSET($DS$3,0,0,'Données projet'!$E$14+1,1))-AVERAGE(OFFSET($H$3,0,0,'Données projet'!$E$14+1,1))</f>
        <v>252.81045065813976</v>
      </c>
      <c r="DU27" s="59">
        <f t="shared" si="44"/>
        <v>254.36590349790589</v>
      </c>
      <c r="DV27" s="15">
        <f>IF(ISNA(VLOOKUP(A27,'Données projet'!$A$165:$I$185,3,0)),0,VLOOKUP(A27,'Données projet'!$A$165:$I$185,3,0))</f>
        <v>4</v>
      </c>
      <c r="DW27" s="15">
        <f>IF(ISNA(VLOOKUP(A27,'Données projet'!$A$165:$I$185,4,0)),0,VLOOKUP(A27,'Données projet'!$A$165:$I$185,4,0))</f>
        <v>43</v>
      </c>
      <c r="DX27" s="16">
        <f>IF(ISNA(VLOOKUP(A27,'Données projet'!$A$165:$I$185,5,0)),0%,VLOOKUP(A27,'Données projet'!$A$165:$I$185,5,0)*VLOOKUP('Données projet'!$B$14,Paramètres!$A$1:$I$89,7,0))</f>
        <v>0.18000000000000002</v>
      </c>
      <c r="DY27" s="16">
        <f>IF(ISNA(VLOOKUP(A27,'Données projet'!$A$165:$I$185,6,0)),0%,VLOOKUP(A27,'Données projet'!$A$165:$I$185,6,0)*VLOOKUP('Données projet'!$B$14,Paramètres!$A$1:$I$89,7,0))</f>
        <v>0.13500000000000001</v>
      </c>
      <c r="DZ27" s="16">
        <f>IF(ISNA(VLOOKUP(A27,'Données projet'!$A$165:$I$185,7,0)),0%,VLOOKUP(A27,'Données projet'!$A$165:$I$185,7,0))</f>
        <v>0.3</v>
      </c>
      <c r="EA27" s="21">
        <f>EXP(-LN(2)/35)*EA26+(1-EXP(-LN(2)/35))/(LN(2)/35)*DW27*DX27*VLOOKUP('Données projet'!$B$14,Paramètres!$A$1:$I$89,3,0)*0.475*44/12</f>
        <v>13.995384095884058</v>
      </c>
      <c r="EB27" s="21">
        <f>EXP(-LN(2)/25)*EB26+(1-EXP(-LN(2)/25))/(LN(2)/25)*Calculateur!DW27*Calculateur!DY27*VLOOKUP('Données projet'!$B$14,Paramètres!$A$1:$I$89,3,0)*0.475*44/12</f>
        <v>14.158199982363534</v>
      </c>
      <c r="EC27" s="21">
        <f>EXP(-LN(2)/2)*EC26+(1-EXP(-LN(2)/2))/(LN(2)/2)*DW27*DZ27*VLOOKUP('Données projet'!$B$14,Paramètres!$A$1:$I$89,3,0)*0.475*44/12</f>
        <v>12.618983708199407</v>
      </c>
      <c r="ED27" s="22">
        <f t="shared" si="18"/>
        <v>40.772567786446999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16.8</v>
      </c>
      <c r="EJ27" s="12">
        <f>IF('Données projet'!$A$192&gt;35,EJ26+EI27-ER26,IF(A27&lt;'Données projet'!$A$192,$EG$205^A27,IF(A27='Données projet'!$A$192,'Données projet'!$B$192,EJ26+EI27-ER26)))</f>
        <v>148.20000000000002</v>
      </c>
      <c r="EK27" s="17">
        <f>EJ27*VLOOKUP('Données projet'!$B$15,Paramètres!$A$1:$I$89,3,0)*VLOOKUP('Données projet'!$B$15,Paramètres!$A$1:$I$89,5,0)</f>
        <v>108.66024000000002</v>
      </c>
      <c r="EL27" s="13">
        <f t="shared" si="45"/>
        <v>29.015101890437414</v>
      </c>
      <c r="EM27" s="20">
        <f t="shared" si="19"/>
        <v>239.78455379251184</v>
      </c>
      <c r="EN27" s="59">
        <f t="shared" si="20"/>
        <v>533.11788712584519</v>
      </c>
      <c r="EO27" s="59">
        <f ca="1">AVERAGE(OFFSET($EN$3,0,0,'Données projet'!$E$15+1,1))-AVERAGE(OFFSET($H$3,0,0,'Données projet'!$E$15+1,1))</f>
        <v>296.91321813251051</v>
      </c>
      <c r="EP27" s="59">
        <f t="shared" si="46"/>
        <v>291.0718079639509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5.1543488324536861</v>
      </c>
      <c r="EW27" s="21">
        <f>EXP(-LN(2)/25)*EW26+(1-EXP(-LN(2)/25))/(LN(2)/25)*Calculateur!ER27*Calculateur!ET27*VLOOKUP('Données projet'!$B$15,Paramètres!$A$1:$I$89,3,0)*0.475*44/12</f>
        <v>5.3766227067638894</v>
      </c>
      <c r="EX27" s="21">
        <f>EXP(-LN(2)/2)*EX26+(1-EXP(-LN(2)/2))/(LN(2)/2)*ER27*EU27*VLOOKUP('Données projet'!$B$15,Paramètres!$A$1:$I$89,3,0)*0.475*44/12</f>
        <v>5.1552307056774298</v>
      </c>
      <c r="EY27" s="22">
        <f t="shared" si="21"/>
        <v>15.686202244895004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7.2</v>
      </c>
      <c r="FE27" s="12">
        <f>IF('Données projet'!$A$218&gt;35,FE26+FD27-FM26,IF(A27&lt;'Données projet'!$A$218,$FB$205^A27,IF(A27='Données projet'!$A$218,'Données projet'!$B$218,FE26+FD27-FM26)))</f>
        <v>95.800000000000011</v>
      </c>
      <c r="FF27" s="17">
        <f>FE27*VLOOKUP('Données projet'!$B$16,Paramètres!$A$1:$I$89,3,0)*VLOOKUP('Données projet'!$B$16,Paramètres!$A$1:$I$89,5,0)</f>
        <v>97.141200000000026</v>
      </c>
      <c r="FG27" s="13">
        <f t="shared" si="47"/>
        <v>26.279782450761708</v>
      </c>
      <c r="FH27" s="20">
        <f t="shared" si="22"/>
        <v>214.95821110174333</v>
      </c>
      <c r="FI27" s="59">
        <f t="shared" si="23"/>
        <v>508.29154443507662</v>
      </c>
      <c r="FJ27" s="59">
        <f ca="1">AVERAGE(OFFSET($FI$3,0,0,'Données projet'!$E$16+1,1))-AVERAGE(OFFSET($H$3,0,0,'Données projet'!$E$16+1,1))</f>
        <v>356.65981389369125</v>
      </c>
      <c r="FK27" s="59">
        <f t="shared" si="48"/>
        <v>231.92898690465887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0.5343567981892644</v>
      </c>
      <c r="FR27" s="21">
        <f>EXP(-LN(2)/25)*FR26+(1-EXP(-LN(2)/25))/(LN(2)/25)*Calculateur!FM27*Calculateur!FO27*VLOOKUP('Données projet'!$B$16,Paramètres!$A$1:$I$89,3,0)*0.475*44/12</f>
        <v>0.51565188486133851</v>
      </c>
      <c r="FS27" s="21">
        <f>EXP(-LN(2)/2)*FS26+(1-EXP(-LN(2)/2))/(LN(2)/2)*FM27*FP27*VLOOKUP('Données projet'!$B$16,Paramètres!$A$1:$I$89,3,0)*0.475*44/12</f>
        <v>0.8610626622688774</v>
      </c>
      <c r="FT27" s="22">
        <f t="shared" si="24"/>
        <v>1.9110713453194803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7.2</v>
      </c>
      <c r="FZ27" s="12">
        <f>IF('Données projet'!$A$244&gt;35,FZ26+FY27-GH26,IF(A27&lt;'Données projet'!$A$244,$FW$205^A27,IF(A27='Données projet'!$A$244,'Données projet'!$B$244,FZ26+FY27-GH26)))</f>
        <v>95.800000000000011</v>
      </c>
      <c r="GA27" s="17">
        <f>FZ27*VLOOKUP('Données projet'!$B$17,Paramètres!$A$1:$I$89,3,0)*VLOOKUP('Données projet'!$B$17,Paramètres!$A$1:$I$89,5,0)</f>
        <v>92.65776000000001</v>
      </c>
      <c r="GB27" s="13">
        <f t="shared" si="49"/>
        <v>25.205122972074609</v>
      </c>
      <c r="GC27" s="20">
        <f t="shared" si="25"/>
        <v>205.2778545096966</v>
      </c>
      <c r="GD27" s="59">
        <f t="shared" si="26"/>
        <v>498.61118784302994</v>
      </c>
      <c r="GE27" s="59">
        <f ca="1">AVERAGE(OFFSET($GD$3,0,0,'Données projet'!$E$17+1,1))-AVERAGE(OFFSET($H$3,0,0,'Données projet'!$E$17+1,1))</f>
        <v>337.76140497227715</v>
      </c>
      <c r="GF27" s="59">
        <f t="shared" si="50"/>
        <v>219.76562717496353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0.50969417673437545</v>
      </c>
      <c r="GM27" s="21">
        <f>EXP(-LN(2)/25)*GM26+(1-EXP(-LN(2)/25))/(LN(2)/25)*Calculateur!GH27*Calculateur!GJ27*VLOOKUP('Données projet'!$B$17,Paramètres!$A$1:$I$89,3,0)*0.475*44/12</f>
        <v>0.49185256709850744</v>
      </c>
      <c r="GN27" s="21">
        <f>EXP(-LN(2)/2)*GN26+(1-EXP(-LN(2)/2))/(LN(2)/2)*GH27*GK27*VLOOKUP('Données projet'!$B$17,Paramètres!$A$1:$I$89,3,0)*0.475*44/12</f>
        <v>0.82132130862569852</v>
      </c>
      <c r="GO27" s="21">
        <f t="shared" si="27"/>
        <v>1.8228680524585814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103</v>
      </c>
      <c r="L28" s="12">
        <f>VLOOKUP(A28,'Données projet'!$A$35:$I$55,9,0)</f>
        <v>7.2</v>
      </c>
      <c r="M28" s="12">
        <f t="array" ref="M28">INDEX(L:L,MIN(IF(ISNUMBER(L28:L224),ROW(L28:L224),"")))</f>
        <v>7.2</v>
      </c>
      <c r="N28" s="13">
        <f>IF('Données projet'!$A$36&gt;35,N27+M28-V27,IF(A28&lt;'Données projet'!$A$36,$K$205^A28,IF(A28='Données projet'!$A$36,'Données projet'!$B$36,N27+M28-V27)))</f>
        <v>103.00000000000001</v>
      </c>
      <c r="O28" s="13">
        <f>N28*VLOOKUP('Données projet'!$B$9,Paramètres!$A$1:$I$89,3,0)*VLOOKUP('Données projet'!$B$9,Paramètres!$A$1:$I$89,5,0)</f>
        <v>93.194400000000002</v>
      </c>
      <c r="P28" s="13">
        <f t="shared" si="33"/>
        <v>25.33406653691528</v>
      </c>
      <c r="Q28" s="20">
        <f t="shared" si="2"/>
        <v>206.43707921846078</v>
      </c>
      <c r="R28" s="59">
        <f t="shared" si="0"/>
        <v>499.7704125517941</v>
      </c>
      <c r="S28" s="59">
        <f ca="1">AVERAGE(OFFSET($R$3,0,0,'Données projet'!$E$9+1,1))-AVERAGE(OFFSET($H$3,0,0,'Données projet'!$E$9+1,1))</f>
        <v>312.53389584272878</v>
      </c>
      <c r="T28" s="59">
        <f t="shared" si="34"/>
        <v>203.5274665601915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28</v>
      </c>
      <c r="W28" s="16">
        <f>IF(ISNA(VLOOKUP(A28,'Données projet'!$A$35:$I$55,5,0)),0%,VLOOKUP(A28,'Données projet'!$A$35:$I$55,5,0)*VLOOKUP('Données projet'!$B$9,Paramètres!$A$1:$I$89,7,0))</f>
        <v>0.129</v>
      </c>
      <c r="X28" s="16">
        <f>IF(ISNA(VLOOKUP(A28,'Données projet'!$A$35:$I$55,6,0)),0%,VLOOKUP(A28,'Données projet'!$A$35:$I$55,6,0)*VLOOKUP('Données projet'!$B$9,Paramètres!$A$1:$I$89,7,0))</f>
        <v>0.17200000000000001</v>
      </c>
      <c r="Y28" s="16">
        <f>IF(ISNA(VLOOKUP(A28,'Données projet'!$A$35:$I$55,7,0)),0%,VLOOKUP(A28,'Données projet'!$A$35:$I$55,7,0))</f>
        <v>0.3</v>
      </c>
      <c r="Z28" s="21">
        <f>EXP(-LN(2)/35)*Z27+(1-EXP(-LN(2)/35))/(LN(2)/35)*V28*W28*VLOOKUP('Données projet'!$B$9,Paramètres!$A$1:$I$89,3,0)*0.475*44/12</f>
        <v>4.0802900278614391</v>
      </c>
      <c r="AA28" s="21">
        <f>EXP(-LN(2)/25)*AA27+(1-EXP(-LN(2)/25))/(LN(2)/25)*Calculateur!V28*Calculateur!X28*VLOOKUP('Données projet'!$B$9,Paramètres!$A$1:$I$89,3,0)*0.475*44/12</f>
        <v>5.2456771038118353</v>
      </c>
      <c r="AB28" s="21">
        <f>EXP(-LN(2)/2)*AB27+(1-EXP(-LN(2)/2))/(LN(2)/2)*V28*Y28*VLOOKUP('Données projet'!$B$9,Paramètres!$A$1:$I$89,3,0)*0.475*44/12</f>
        <v>7.7143998389363642</v>
      </c>
      <c r="AC28" s="22">
        <f t="shared" si="3"/>
        <v>17.040366970609639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183</v>
      </c>
      <c r="AG28" s="12">
        <f>VLOOKUP(A28,'Données projet'!$A$61:$I$81,9,0)</f>
        <v>15.8</v>
      </c>
      <c r="AH28" s="12">
        <f t="array" ref="AH28">INDEX(AG:AG,MIN(IF(ISNUMBER(AG28:AG224),ROW(AG28:AG224),"")))</f>
        <v>15.8</v>
      </c>
      <c r="AI28" s="13">
        <f>IF('Données projet'!$A$62&gt;35,AI27+AH28-AQ27,IF(A28&lt;'Données projet'!$A$62,$AF$205^A28,IF(A28='Données projet'!$A$62,'Données projet'!$B$62,AI27+AH28-AQ27)))</f>
        <v>183.00000000000006</v>
      </c>
      <c r="AJ28" s="13">
        <f>AI28*VLOOKUP('Données projet'!$B$10,Paramètres!$A$1:$I$89,3,0)*VLOOKUP('Données projet'!$B$10,Paramètres!$A$1:$I$89,5,0)</f>
        <v>159.86880000000008</v>
      </c>
      <c r="AK28" s="13">
        <f t="shared" si="35"/>
        <v>40.812921467768035</v>
      </c>
      <c r="AL28" s="20">
        <f t="shared" si="4"/>
        <v>349.52066488969609</v>
      </c>
      <c r="AM28" s="59">
        <f t="shared" si="5"/>
        <v>642.85399822302941</v>
      </c>
      <c r="AN28" s="59">
        <f ca="1">AVERAGE(OFFSET($AM$3,0,0,'Données projet'!$E$10+1,1))-AVERAGE(OFFSET($H$3,0,0,'Données projet'!$E$10+1,1))</f>
        <v>243.05628303465238</v>
      </c>
      <c r="AO28" s="59">
        <f t="shared" si="36"/>
        <v>352.47096767658394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52</v>
      </c>
      <c r="AR28" s="16">
        <f>IF(ISNA(VLOOKUP(A28,'Données projet'!$A$61:$I$81,5,0)),0%,VLOOKUP(A28,'Données projet'!$A$61:$I$81,5,0)*VLOOKUP('Données projet'!$B$10,Paramètres!$A$1:$I$89,7,0))</f>
        <v>4.3000000000000003E-2</v>
      </c>
      <c r="AS28" s="16">
        <f>IF(ISNA(VLOOKUP(A28,'Données projet'!$A$61:$I$81,6,0)),0%,VLOOKUP(A28,'Données projet'!$A$61:$I$81,6,0)*VLOOKUP('Données projet'!$B$10,Paramètres!$A$1:$I$89,7,0))</f>
        <v>0.129</v>
      </c>
      <c r="AT28" s="16">
        <f>IF(ISNA(VLOOKUP(A28,'Données projet'!$A$61:$I$81,7,0)),0%,VLOOKUP(A28,'Données projet'!$A$61:$I$81,7,0))</f>
        <v>0.3</v>
      </c>
      <c r="AU28" s="21">
        <f>EXP(-LN(2)/35)*AU27+(1-EXP(-LN(2)/35))/(LN(2)/35)*AQ28*AR28*VLOOKUP('Données projet'!$B$10,Paramètres!$A$1:$I$89,3,0)*0.475*44/12</f>
        <v>4.0399813157035434</v>
      </c>
      <c r="AV28" s="21">
        <f>EXP(-LN(2)/25)*AV27+(1-EXP(-LN(2)/25))/(LN(2)/25)*Calculateur!AQ28*Calculateur!AS28*VLOOKUP('Données projet'!$B$10,Paramètres!$A$1:$I$89,3,0)*0.475*44/12</f>
        <v>11.119365999458159</v>
      </c>
      <c r="AW28" s="21">
        <f>EXP(-LN(2)/2)*AW27+(1-EXP(-LN(2)/2))/(LN(2)/2)*AQ28*AT28*VLOOKUP('Données projet'!$B$10,Paramètres!$A$1:$I$89,3,0)*0.475*44/12</f>
        <v>16.210643850689102</v>
      </c>
      <c r="AX28" s="21">
        <f t="shared" si="6"/>
        <v>31.369991165850806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165</v>
      </c>
      <c r="BB28" s="12">
        <f>VLOOKUP(A28,'Données projet'!$A$87:$I$107,9,0)</f>
        <v>16.8</v>
      </c>
      <c r="BC28" s="12">
        <f t="array" ref="BC28">INDEX(BB:BB,MIN(IF(ISNUMBER(BB28:BB224),ROW(BB28:BB224),"")))</f>
        <v>16.8</v>
      </c>
      <c r="BD28" s="12">
        <f>IF('Données projet'!$A$88&gt;35,BD27+BC28-BL27,IF(A28&lt;'Données projet'!$A$88,$BA$205^A28,IF(A28='Données projet'!$A$88,'Données projet'!$B$88,BD27+BC28-BL27)))</f>
        <v>165.00000000000003</v>
      </c>
      <c r="BE28" s="13">
        <f>BD28*VLOOKUP('Données projet'!$B$11,Paramètres!$A$1:$I$89,3,0)*VLOOKUP('Données projet'!$B$11,Paramètres!$A$1:$I$89,5,0)</f>
        <v>131.27400000000003</v>
      </c>
      <c r="BF28" s="13">
        <f t="shared" si="37"/>
        <v>34.290576031111669</v>
      </c>
      <c r="BG28" s="20">
        <f t="shared" si="7"/>
        <v>288.35830325418618</v>
      </c>
      <c r="BH28" s="59">
        <f t="shared" si="8"/>
        <v>581.6916365875195</v>
      </c>
      <c r="BI28" s="59">
        <f ca="1">AVERAGE(OFFSET($BH$3,0,0,'Données projet'!$E$11+1,1))-AVERAGE(OFFSET($H$3,0,0,'Données projet'!$E$11+1,1))</f>
        <v>325.72928944930294</v>
      </c>
      <c r="BJ28" s="59">
        <f t="shared" si="38"/>
        <v>318.38876834819752</v>
      </c>
      <c r="BK28" s="15">
        <f>IF(ISNA(VLOOKUP(A28,'Données projet'!$A$87:$I$107,3,0)),0,VLOOKUP(A28,'Données projet'!$A$87:$I$107,3,0))</f>
        <v>4</v>
      </c>
      <c r="BL28" s="15">
        <f>IF(ISNA(VLOOKUP(A28,'Données projet'!$A$87:$I$107,4,0)),0,VLOOKUP(A28,'Données projet'!$A$87:$I$107,4,0))</f>
        <v>42</v>
      </c>
      <c r="BM28" s="16">
        <f>IF(ISNA(VLOOKUP(A28,'Données projet'!$A$87:$I$107,5,0)),0%,VLOOKUP(A28,'Données projet'!$A$87:$I$107,5,0)*VLOOKUP('Données projet'!$B$11,Paramètres!$A$1:$I$89,7,0))</f>
        <v>0.159</v>
      </c>
      <c r="BN28" s="16">
        <f>IF(ISNA(VLOOKUP(A28,'Données projet'!$A$87:$I$107,6,0)),0%,VLOOKUP(A28,'Données projet'!$A$87:$I$107,6,0)*VLOOKUP('Données projet'!$B$11,Paramètres!$A$1:$I$89,7,0))</f>
        <v>0.21200000000000002</v>
      </c>
      <c r="BO28" s="16">
        <f>IF(ISNA(VLOOKUP(A28,'Données projet'!$A$87:$I$107,7,0)),0%,VLOOKUP(A28,'Données projet'!$A$87:$I$107,7,0))</f>
        <v>0.3</v>
      </c>
      <c r="BP28" s="21">
        <f>EXP(-LN(2)/35)*BP27+(1-EXP(-LN(2)/35))/(LN(2)/35)*BL28*BM28*VLOOKUP('Données projet'!$B$11,Paramètres!$A$1:$I$89,3,0)*0.475*44/12</f>
        <v>12.631919489036093</v>
      </c>
      <c r="BQ28" s="21">
        <f>EXP(-LN(2)/25)*BQ27+(1-EXP(-LN(2)/25))/(LN(2)/25)*Calculateur!BL28*Calculateur!BN28*VLOOKUP('Données projet'!$B$11,Paramètres!$A$1:$I$89,3,0)*0.475*44/12</f>
        <v>14.794704415387859</v>
      </c>
      <c r="BR28" s="21">
        <f>EXP(-LN(2)/2)*BR27+(1-EXP(-LN(2)/2))/(LN(2)/2)*BL28*BO28*VLOOKUP('Données projet'!$B$11,Paramètres!$A$1:$I$89,3,0)*0.475*44/12</f>
        <v>13.413978935562692</v>
      </c>
      <c r="BS28" s="22">
        <f t="shared" si="9"/>
        <v>40.840602839986644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419</v>
      </c>
      <c r="BW28" s="12">
        <f>VLOOKUP(A28,'Données projet'!$A$113:$I$133,9,0)</f>
        <v>31.8</v>
      </c>
      <c r="BX28" s="12">
        <f t="array" ref="BX28">INDEX(BW:BW,MIN(IF(ISNUMBER(BW28:BW224),ROW(BW28:BW224),"")))</f>
        <v>31.8</v>
      </c>
      <c r="BY28" s="12">
        <f>IF('Données projet'!$A$114&gt;35,BY27+BX28-CG27,IF(A28&lt;'Données projet'!$A$114,$BV$205^A28,IF(A28='Données projet'!$A$114,'Données projet'!$B$114,BY27+BX28-CG27)))</f>
        <v>419.00000000000006</v>
      </c>
      <c r="BZ28" s="13">
        <f>BY28*VLOOKUP('Données projet'!$B$12,Paramètres!$A$1:$I$89,3,0)*VLOOKUP('Données projet'!$B$12,Paramètres!$A$1:$I$89,5,0)</f>
        <v>234.22100000000003</v>
      </c>
      <c r="CA28" s="13">
        <f t="shared" si="39"/>
        <v>57.194392182630075</v>
      </c>
      <c r="CB28" s="20">
        <f t="shared" si="10"/>
        <v>507.5484747180808</v>
      </c>
      <c r="CC28" s="59">
        <f t="shared" si="11"/>
        <v>800.88180805141405</v>
      </c>
      <c r="CD28" s="59">
        <f ca="1">AVERAGE(OFFSET($CC$3,0,0,'Données projet'!$E$12+1,1))-AVERAGE(OFFSET($H$3,0,0,'Données projet'!$E$12+1,1))</f>
        <v>475.54809021014017</v>
      </c>
      <c r="CE28" s="59">
        <f t="shared" si="40"/>
        <v>593.51433014569966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60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0.33</v>
      </c>
      <c r="CJ28" s="16">
        <f>IF(ISNA(VLOOKUP(A28,'Données projet'!$A$113:$I$133,7,0)),0%,VLOOKUP(A28,'Données projet'!$A$113:$I$133,7,0))</f>
        <v>0.4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23.749246006398351</v>
      </c>
      <c r="CM28" s="21">
        <f>EXP(-LN(2)/2)*CM27+(1-EXP(-LN(2)/2))/(LN(2)/2)*CG28*CJ28*VLOOKUP('Données projet'!$B$12,Paramètres!$A$1:$I$89,3,0)*0.475*44/12</f>
        <v>17.114452682518802</v>
      </c>
      <c r="CN28" s="22">
        <f t="shared" si="12"/>
        <v>40.863698688917154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9.1999999999999993</v>
      </c>
      <c r="CT28" s="12">
        <f>IF('Données projet'!$A$140&gt;35,CT27+CS28-DB27,IF(A28&lt;'Données projet'!$A$140,$CQ$205^A28,IF(A28='Données projet'!$A$140,'Données projet'!$B$140,CT27+CS28-DB27)))</f>
        <v>164.49999999999994</v>
      </c>
      <c r="CU28" s="17">
        <f>CT28*VLOOKUP('Données projet'!$B$13,Paramètres!$A$1:$I$89,3,0)*VLOOKUP('Données projet'!$B$13,Paramètres!$A$1:$I$89,5,0)</f>
        <v>76.985999999999976</v>
      </c>
      <c r="CV28" s="13">
        <f t="shared" si="41"/>
        <v>21.398606468170591</v>
      </c>
      <c r="CW28" s="20">
        <f t="shared" si="13"/>
        <v>171.35318959873041</v>
      </c>
      <c r="CX28" s="59">
        <f t="shared" si="14"/>
        <v>464.68652293206372</v>
      </c>
      <c r="CY28" s="59">
        <f ca="1">AVERAGE(OFFSET($CX$3,0,0,'Données projet'!$E$13+1,1))-AVERAGE(OFFSET($H$3,0,0,'Données projet'!$E$13+1,1))</f>
        <v>226.0452828290525</v>
      </c>
      <c r="CZ28" s="59">
        <f t="shared" si="42"/>
        <v>179.89696397462069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2.4432038563451388</v>
      </c>
      <c r="DG28" s="21">
        <f>EXP(-LN(2)/25)*DG27+(1-EXP(-LN(2)/25))/(LN(2)/25)*Calculateur!DB28*Calculateur!DD28*VLOOKUP('Données projet'!$B$13,Paramètres!$A$1:$I$89,3,0)*0.475*44/12</f>
        <v>2.3390776164151745</v>
      </c>
      <c r="DH28" s="21">
        <f>EXP(-LN(2)/2)*DH27+(1-EXP(-LN(2)/2))/(LN(2)/2)*DB28*DE28*VLOOKUP('Données projet'!$B$13,Paramètres!$A$1:$I$89,3,0)*0.475*44/12</f>
        <v>2.2200090717153387</v>
      </c>
      <c r="DI28" s="22">
        <f t="shared" si="15"/>
        <v>7.0022905444756525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19.75</v>
      </c>
      <c r="DO28" s="12">
        <f>IF('Données projet'!$A$166&gt;35,DO27+DN28-DW27,IF(A28&lt;'Données projet'!$A$166,$DL$205^A28,IF(A28='Données projet'!$A$166,'Données projet'!$B$166,DO27+DN28-DW27)))</f>
        <v>173.75</v>
      </c>
      <c r="DP28" s="17">
        <f>DO28*VLOOKUP('Données projet'!$B$14,Paramètres!$A$1:$I$89,3,0)*VLOOKUP('Données projet'!$B$14,Paramètres!$A$1:$I$89,5,0)</f>
        <v>103.9025</v>
      </c>
      <c r="DQ28" s="13">
        <f t="shared" si="43"/>
        <v>27.889632783106542</v>
      </c>
      <c r="DR28" s="20">
        <f t="shared" si="16"/>
        <v>229.5379645972439</v>
      </c>
      <c r="DS28" s="59">
        <f t="shared" si="17"/>
        <v>522.87129793057716</v>
      </c>
      <c r="DT28" s="59">
        <f ca="1">AVERAGE(OFFSET($DS$3,0,0,'Données projet'!$E$14+1,1))-AVERAGE(OFFSET($H$3,0,0,'Données projet'!$E$14+1,1))</f>
        <v>252.81045065813976</v>
      </c>
      <c r="DU28" s="59">
        <f t="shared" si="44"/>
        <v>254.36590349790589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13.720943150105176</v>
      </c>
      <c r="EB28" s="21">
        <f>EXP(-LN(2)/25)*EB27+(1-EXP(-LN(2)/25))/(LN(2)/25)*Calculateur!DW28*Calculateur!DY28*VLOOKUP('Données projet'!$B$14,Paramètres!$A$1:$I$89,3,0)*0.475*44/12</f>
        <v>13.771043259298425</v>
      </c>
      <c r="EC28" s="21">
        <f>EXP(-LN(2)/2)*EC27+(1-EXP(-LN(2)/2))/(LN(2)/2)*DW28*DZ28*VLOOKUP('Données projet'!$B$14,Paramètres!$A$1:$I$89,3,0)*0.475*44/12</f>
        <v>8.9229689517503665</v>
      </c>
      <c r="ED28" s="22">
        <f t="shared" si="18"/>
        <v>36.414955361153972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>
        <f>VLOOKUP(A28,'Données projet'!$A$191:$I$211,2,0)</f>
        <v>165</v>
      </c>
      <c r="EH28" s="12">
        <f>VLOOKUP(A28,'Données projet'!$A$191:$I$211,9,0)</f>
        <v>16.8</v>
      </c>
      <c r="EI28" s="12">
        <f t="array" ref="EI28">INDEX(EH:EH,MIN(IF(ISNUMBER(EH28:EH224),ROW(EH28:EH224),"")))</f>
        <v>16.8</v>
      </c>
      <c r="EJ28" s="12">
        <f>IF('Données projet'!$A$192&gt;35,EJ27+EI28-ER27,IF(A28&lt;'Données projet'!$A$192,$EG$205^A28,IF(A28='Données projet'!$A$192,'Données projet'!$B$192,EJ27+EI28-ER27)))</f>
        <v>165.00000000000003</v>
      </c>
      <c r="EK28" s="17">
        <f>EJ28*VLOOKUP('Données projet'!$B$15,Paramètres!$A$1:$I$89,3,0)*VLOOKUP('Données projet'!$B$15,Paramètres!$A$1:$I$89,5,0)</f>
        <v>120.97800000000002</v>
      </c>
      <c r="EL28" s="13">
        <f t="shared" si="45"/>
        <v>31.902993864447531</v>
      </c>
      <c r="EM28" s="20">
        <f t="shared" si="19"/>
        <v>266.26773098057953</v>
      </c>
      <c r="EN28" s="59">
        <f t="shared" si="20"/>
        <v>559.60106431391284</v>
      </c>
      <c r="EO28" s="59">
        <f ca="1">AVERAGE(OFFSET($EN$3,0,0,'Données projet'!$E$15+1,1))-AVERAGE(OFFSET($H$3,0,0,'Données projet'!$E$15+1,1))</f>
        <v>296.91321813251051</v>
      </c>
      <c r="EP28" s="59">
        <f t="shared" si="46"/>
        <v>291.0718079639509</v>
      </c>
      <c r="EQ28" s="15">
        <f>IF(ISNA(VLOOKUP(A28,'Données projet'!$A$191:$I$211,3,0)),0,VLOOKUP(A28,'Données projet'!$A$191:$I$211,3,0))</f>
        <v>4</v>
      </c>
      <c r="ER28" s="15">
        <f>IF(ISNA(VLOOKUP(A28,'Données projet'!$A$191:$I$211,4,0)),0,VLOOKUP(A28,'Données projet'!$A$191:$I$211,4,0))</f>
        <v>42</v>
      </c>
      <c r="ES28" s="16">
        <f>IF(ISNA(VLOOKUP(A28,'Données projet'!$A$191:$I$211,5,0)),0%,VLOOKUP(A28,'Données projet'!$A$191:$I$211,5,0)*VLOOKUP('Données projet'!$B$15,Paramètres!$A$1:$I$89,7,0))</f>
        <v>0.129</v>
      </c>
      <c r="ET28" s="16">
        <f>IF(ISNA(VLOOKUP(A28,'Données projet'!$A$191:$I$211,6,0)),0%,VLOOKUP(A28,'Données projet'!$A$191:$I$211,6,0)*VLOOKUP('Données projet'!$B$15,Paramètres!$A$1:$I$89,7,0))</f>
        <v>0.17200000000000001</v>
      </c>
      <c r="EU28" s="16">
        <f>IF(ISNA(VLOOKUP(A28,'Données projet'!$A$191:$I$211,7,0)),0%,VLOOKUP(A28,'Données projet'!$A$191:$I$211,7,0))</f>
        <v>0.3</v>
      </c>
      <c r="EV28" s="21">
        <f>EXP(-LN(2)/35)*EV27+(1-EXP(-LN(2)/35))/(LN(2)/35)*ER28*ES28*VLOOKUP('Données projet'!$B$15,Paramètres!$A$1:$I$89,3,0)*0.475*44/12</f>
        <v>9.4447315158497709</v>
      </c>
      <c r="EW28" s="21">
        <f>EXP(-LN(2)/25)*EW27+(1-EXP(-LN(2)/25))/(LN(2)/25)*Calculateur!ER28*Calculateur!ET28*VLOOKUP('Données projet'!$B$15,Paramètres!$A$1:$I$89,3,0)*0.475*44/12</f>
        <v>11.061819320569317</v>
      </c>
      <c r="EX28" s="21">
        <f>EXP(-LN(2)/2)*EX27+(1-EXP(-LN(2)/2))/(LN(2)/2)*ER28*EU28*VLOOKUP('Données projet'!$B$15,Paramètres!$A$1:$I$89,3,0)*0.475*44/12</f>
        <v>12.36190215630287</v>
      </c>
      <c r="EY28" s="22">
        <f t="shared" si="21"/>
        <v>32.868452992721956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>
        <f>VLOOKUP(A28,'Données projet'!$A$217:$I$237,2,0)</f>
        <v>103</v>
      </c>
      <c r="FC28" s="12">
        <f>VLOOKUP(A28,'Données projet'!$A$217:$I$237,9,0)</f>
        <v>7.2</v>
      </c>
      <c r="FD28" s="12">
        <f t="array" ref="FD28">INDEX(FC:FC,MIN(IF(ISNUMBER(FC28:FC224),ROW(FC28:FC224),"")))</f>
        <v>7.2</v>
      </c>
      <c r="FE28" s="12">
        <f>IF('Données projet'!$A$218&gt;35,FE27+FD28-FM27,IF(A28&lt;'Données projet'!$A$218,$FB$205^A28,IF(A28='Données projet'!$A$218,'Données projet'!$B$218,FE27+FD28-FM27)))</f>
        <v>103.00000000000001</v>
      </c>
      <c r="FF28" s="17">
        <f>FE28*VLOOKUP('Données projet'!$B$16,Paramètres!$A$1:$I$89,3,0)*VLOOKUP('Données projet'!$B$16,Paramètres!$A$1:$I$89,5,0)</f>
        <v>104.44200000000004</v>
      </c>
      <c r="FG28" s="13">
        <f t="shared" si="47"/>
        <v>28.01755116176631</v>
      </c>
      <c r="FH28" s="20">
        <f t="shared" si="22"/>
        <v>230.70038494007636</v>
      </c>
      <c r="FI28" s="59">
        <f t="shared" si="23"/>
        <v>524.0337182734097</v>
      </c>
      <c r="FJ28" s="59">
        <f ca="1">AVERAGE(OFFSET($FI$3,0,0,'Données projet'!$E$16+1,1))-AVERAGE(OFFSET($H$3,0,0,'Données projet'!$E$16+1,1))</f>
        <v>356.65981389369125</v>
      </c>
      <c r="FK28" s="59">
        <f t="shared" si="48"/>
        <v>231.92898690465887</v>
      </c>
      <c r="FL28" s="15">
        <f>IF(ISNA(VLOOKUP(A28,'Données projet'!$A$217:$I$237,3,0)),0,VLOOKUP(A28,'Données projet'!$A$217:$I$237,3,0))</f>
        <v>2</v>
      </c>
      <c r="FM28" s="15">
        <f>IF(ISNA(VLOOKUP(A28,'Données projet'!$A$217:$I$237,4,0)),0,VLOOKUP(A28,'Données projet'!$A$217:$I$237,4,0))</f>
        <v>28</v>
      </c>
      <c r="FN28" s="16">
        <f>IF(ISNA(VLOOKUP(A28,'Données projet'!$A$217:$I$237,5,0)),0%,VLOOKUP(A28,'Données projet'!$A$217:$I$237,5,0)*VLOOKUP('Données projet'!$B$16,Paramètres!$A$1:$I$89,7,0))</f>
        <v>0.129</v>
      </c>
      <c r="FO28" s="16">
        <f>IF(ISNA(VLOOKUP(A28,'Données projet'!$A$217:$I$237,6,0)),0%,VLOOKUP(A28,'Données projet'!$A$217:$I$237,6,0)*VLOOKUP('Données projet'!$B$16,Paramètres!$A$1:$I$89,7,0))</f>
        <v>0.17200000000000001</v>
      </c>
      <c r="FP28" s="16">
        <f>IF(ISNA(VLOOKUP(A28,'Données projet'!$A$217:$I$237,7,0)),0%,VLOOKUP(A28,'Données projet'!$A$217:$I$237,7,0))</f>
        <v>0.3</v>
      </c>
      <c r="FQ28" s="21">
        <f>EXP(-LN(2)/35)*FQ27+(1-EXP(-LN(2)/35))/(LN(2)/35)*FM28*FN28*VLOOKUP('Données projet'!$B$16,Paramètres!$A$1:$I$89,3,0)*0.475*44/12</f>
        <v>4.5727388243274758</v>
      </c>
      <c r="FR28" s="21">
        <f>EXP(-LN(2)/25)*FR27+(1-EXP(-LN(2)/25))/(LN(2)/25)*Calculateur!FM28*Calculateur!FO28*VLOOKUP('Données projet'!$B$16,Paramètres!$A$1:$I$89,3,0)*0.475*44/12</f>
        <v>5.8787760646167122</v>
      </c>
      <c r="FS28" s="21">
        <f>EXP(-LN(2)/2)*FS27+(1-EXP(-LN(2)/2))/(LN(2)/2)*FM28*FP28*VLOOKUP('Données projet'!$B$16,Paramètres!$A$1:$I$89,3,0)*0.475*44/12</f>
        <v>8.6454480953597201</v>
      </c>
      <c r="FT28" s="22">
        <f t="shared" si="24"/>
        <v>19.096962984303907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>
        <f>VLOOKUP(A28,'Données projet'!$A$243:$I$263,2,0)</f>
        <v>103</v>
      </c>
      <c r="FX28" s="12">
        <f>VLOOKUP(A28,'Données projet'!$A$243:$I$263,9,0)</f>
        <v>7.2</v>
      </c>
      <c r="FY28" s="12">
        <f t="array" ref="FY28">INDEX(FX:FX,MIN(IF(ISNUMBER(FX28:FX224),ROW(FX28:FX224),"")))</f>
        <v>7.2</v>
      </c>
      <c r="FZ28" s="12">
        <f>IF('Données projet'!$A$244&gt;35,FZ27+FY28-GH27,IF(A28&lt;'Données projet'!$A$244,$FW$205^A28,IF(A28='Données projet'!$A$244,'Données projet'!$B$244,FZ27+FY28-GH27)))</f>
        <v>103.00000000000001</v>
      </c>
      <c r="GA28" s="17">
        <f>FZ28*VLOOKUP('Données projet'!$B$17,Paramètres!$A$1:$I$89,3,0)*VLOOKUP('Données projet'!$B$17,Paramètres!$A$1:$I$89,5,0)</f>
        <v>99.621600000000015</v>
      </c>
      <c r="GB28" s="13">
        <f t="shared" si="49"/>
        <v>26.871829085032747</v>
      </c>
      <c r="GC28" s="20">
        <f t="shared" si="25"/>
        <v>220.30938898976538</v>
      </c>
      <c r="GD28" s="59">
        <f t="shared" si="26"/>
        <v>513.64272232309872</v>
      </c>
      <c r="GE28" s="59">
        <f ca="1">AVERAGE(OFFSET($GD$3,0,0,'Données projet'!$E$17+1,1))-AVERAGE(OFFSET($H$3,0,0,'Données projet'!$E$17+1,1))</f>
        <v>337.76140497227715</v>
      </c>
      <c r="GF28" s="59">
        <f t="shared" si="50"/>
        <v>219.76562717496353</v>
      </c>
      <c r="GG28" s="15">
        <f>IF(ISNA(VLOOKUP(A28,'Données projet'!$A$243:$I$263,3,0)),0,VLOOKUP(A28,'Données projet'!$A$243:$I$263,3,0))</f>
        <v>2</v>
      </c>
      <c r="GH28" s="15">
        <f>IF(ISNA(VLOOKUP(A28,'Données projet'!$A$243:$I$263,4,0)),0,VLOOKUP(A28,'Données projet'!$A$243:$I$263,4,0))</f>
        <v>28</v>
      </c>
      <c r="GI28" s="16">
        <f>IF(ISNA(VLOOKUP(A28,'Données projet'!$A$243:$I$263,5,0)),0%,VLOOKUP(A28,'Données projet'!$A$243:$I$263,5,0)*VLOOKUP('Données projet'!$B$17,Paramètres!$A$1:$I$89,7,0))</f>
        <v>0.129</v>
      </c>
      <c r="GJ28" s="16">
        <f>IF(ISNA(VLOOKUP(A28,'Données projet'!$A$243:$I$263,6,0)),0%,VLOOKUP(A28,'Données projet'!$A$243:$I$263,6,0)*VLOOKUP('Données projet'!$B$17,Paramètres!$A$1:$I$89,7,0))</f>
        <v>0.17200000000000001</v>
      </c>
      <c r="GK28" s="16">
        <f>IF(ISNA(VLOOKUP(A28,'Données projet'!$A$243:$I$263,7,0)),0%,VLOOKUP(A28,'Données projet'!$A$243:$I$263,7,0))</f>
        <v>0.3</v>
      </c>
      <c r="GL28" s="21">
        <f>EXP(-LN(2)/35)*GL27+(1-EXP(-LN(2)/35))/(LN(2)/35)*GH28*GI28*VLOOKUP('Données projet'!$B$17,Paramètres!$A$1:$I$89,3,0)*0.475*44/12</f>
        <v>4.3616893401277466</v>
      </c>
      <c r="GM28" s="21">
        <f>EXP(-LN(2)/25)*GM27+(1-EXP(-LN(2)/25))/(LN(2)/25)*Calculateur!GH28*Calculateur!GJ28*VLOOKUP('Données projet'!$B$17,Paramètres!$A$1:$I$89,3,0)*0.475*44/12</f>
        <v>5.6074479385574794</v>
      </c>
      <c r="GN28" s="21">
        <f>EXP(-LN(2)/2)*GN27+(1-EXP(-LN(2)/2))/(LN(2)/2)*GH28*GK28*VLOOKUP('Données projet'!$B$17,Paramètres!$A$1:$I$89,3,0)*0.475*44/12</f>
        <v>8.2464274140354252</v>
      </c>
      <c r="GO28" s="21">
        <f t="shared" si="27"/>
        <v>18.215564692720651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84.200000000000017</v>
      </c>
      <c r="O29" s="13">
        <f>N29*VLOOKUP('Données projet'!$B$9,Paramètres!$A$1:$I$89,3,0)*VLOOKUP('Données projet'!$B$9,Paramètres!$A$1:$I$89,5,0)</f>
        <v>76.184160000000006</v>
      </c>
      <c r="P29" s="13">
        <f t="shared" si="33"/>
        <v>21.201554232857223</v>
      </c>
      <c r="Q29" s="20">
        <f t="shared" si="2"/>
        <v>169.613452288893</v>
      </c>
      <c r="R29" s="59">
        <f t="shared" si="0"/>
        <v>462.94678562222634</v>
      </c>
      <c r="S29" s="59">
        <f ca="1">AVERAGE(OFFSET($R$3,0,0,'Données projet'!$E$9+1,1))-AVERAGE(OFFSET($H$3,0,0,'Données projet'!$E$9+1,1))</f>
        <v>312.53389584272878</v>
      </c>
      <c r="T29" s="59">
        <f t="shared" si="34"/>
        <v>203.5274665601915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4.0002780291462514</v>
      </c>
      <c r="AA29" s="21">
        <f>EXP(-LN(2)/25)*AA28+(1-EXP(-LN(2)/25))/(LN(2)/25)*Calculateur!V29*Calculateur!X29*VLOOKUP('Données projet'!$B$9,Paramètres!$A$1:$I$89,3,0)*0.475*44/12</f>
        <v>5.1022337875499311</v>
      </c>
      <c r="AB29" s="21">
        <f>EXP(-LN(2)/2)*AB28+(1-EXP(-LN(2)/2))/(LN(2)/2)*V29*Y29*VLOOKUP('Données projet'!$B$9,Paramètres!$A$1:$I$89,3,0)*0.475*44/12</f>
        <v>5.4549044388963139</v>
      </c>
      <c r="AC29" s="22">
        <f t="shared" si="3"/>
        <v>14.557416255592496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14.8</v>
      </c>
      <c r="AI29" s="13">
        <f>IF('Données projet'!$A$62&gt;35,AI28+AH29-AQ28,IF(A29&lt;'Données projet'!$A$62,$AF$205^A29,IF(A29='Données projet'!$A$62,'Données projet'!$B$62,AI28+AH29-AQ28)))</f>
        <v>145.80000000000007</v>
      </c>
      <c r="AJ29" s="13">
        <f>AI29*VLOOKUP('Données projet'!$B$10,Paramètres!$A$1:$I$89,3,0)*VLOOKUP('Données projet'!$B$10,Paramètres!$A$1:$I$89,5,0)</f>
        <v>127.37088000000008</v>
      </c>
      <c r="AK29" s="13">
        <f t="shared" si="35"/>
        <v>33.388126388800522</v>
      </c>
      <c r="AL29" s="20">
        <f t="shared" si="4"/>
        <v>279.98860279382774</v>
      </c>
      <c r="AM29" s="59">
        <f t="shared" si="5"/>
        <v>573.32193612716105</v>
      </c>
      <c r="AN29" s="59">
        <f ca="1">AVERAGE(OFFSET($AM$3,0,0,'Données projet'!$E$10+1,1))-AVERAGE(OFFSET($H$3,0,0,'Données projet'!$E$10+1,1))</f>
        <v>243.05628303465238</v>
      </c>
      <c r="AO29" s="59">
        <f t="shared" si="36"/>
        <v>352.47096767658394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3.9607597462478852</v>
      </c>
      <c r="AV29" s="21">
        <f>EXP(-LN(2)/25)*AV28+(1-EXP(-LN(2)/25))/(LN(2)/25)*Calculateur!AQ29*Calculateur!AS29*VLOOKUP('Données projet'!$B$10,Paramètres!$A$1:$I$89,3,0)*0.475*44/12</f>
        <v>10.815306351460931</v>
      </c>
      <c r="AW29" s="21">
        <f>EXP(-LN(2)/2)*AW28+(1-EXP(-LN(2)/2))/(LN(2)/2)*AQ29*AT29*VLOOKUP('Données projet'!$B$10,Paramètres!$A$1:$I$89,3,0)*0.475*44/12</f>
        <v>11.462656194222273</v>
      </c>
      <c r="AX29" s="21">
        <f t="shared" si="6"/>
        <v>26.23872229193109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16.399999999999999</v>
      </c>
      <c r="BD29" s="12">
        <f>IF('Données projet'!$A$88&gt;35,BD28+BC29-BL28,IF(A29&lt;'Données projet'!$A$88,$BA$205^A29,IF(A29='Données projet'!$A$88,'Données projet'!$B$88,BD28+BC29-BL28)))</f>
        <v>139.40000000000003</v>
      </c>
      <c r="BE29" s="13">
        <f>BD29*VLOOKUP('Données projet'!$B$11,Paramètres!$A$1:$I$89,3,0)*VLOOKUP('Données projet'!$B$11,Paramètres!$A$1:$I$89,5,0)</f>
        <v>110.90664000000004</v>
      </c>
      <c r="BF29" s="13">
        <f t="shared" si="37"/>
        <v>29.544493872672952</v>
      </c>
      <c r="BG29" s="20">
        <f t="shared" si="7"/>
        <v>244.6190581615721</v>
      </c>
      <c r="BH29" s="59">
        <f t="shared" si="8"/>
        <v>537.95239149490544</v>
      </c>
      <c r="BI29" s="59">
        <f ca="1">AVERAGE(OFFSET($BH$3,0,0,'Données projet'!$E$11+1,1))-AVERAGE(OFFSET($H$3,0,0,'Données projet'!$E$11+1,1))</f>
        <v>325.72928944930294</v>
      </c>
      <c r="BJ29" s="59">
        <f t="shared" si="38"/>
        <v>318.38876834819752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12.384215252566207</v>
      </c>
      <c r="BQ29" s="21">
        <f>EXP(-LN(2)/25)*BQ28+(1-EXP(-LN(2)/25))/(LN(2)/25)*Calculateur!BL29*Calculateur!BN29*VLOOKUP('Données projet'!$B$11,Paramètres!$A$1:$I$89,3,0)*0.475*44/12</f>
        <v>14.390142445129387</v>
      </c>
      <c r="BR29" s="21">
        <f>EXP(-LN(2)/2)*BR28+(1-EXP(-LN(2)/2))/(LN(2)/2)*BL29*BO29*VLOOKUP('Données projet'!$B$11,Paramètres!$A$1:$I$89,3,0)*0.475*44/12</f>
        <v>9.4851154680298873</v>
      </c>
      <c r="BS29" s="22">
        <f t="shared" si="9"/>
        <v>36.259473165725481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33</v>
      </c>
      <c r="BY29" s="12">
        <f>IF('Données projet'!$A$114&gt;35,BY28+BX29-CG28,IF(A29&lt;'Données projet'!$A$114,$BV$205^A29,IF(A29='Données projet'!$A$114,'Données projet'!$B$114,BY28+BX29-CG28)))</f>
        <v>392.00000000000006</v>
      </c>
      <c r="BZ29" s="13">
        <f>BY29*VLOOKUP('Données projet'!$B$12,Paramètres!$A$1:$I$89,3,0)*VLOOKUP('Données projet'!$B$12,Paramètres!$A$1:$I$89,5,0)</f>
        <v>219.12800000000004</v>
      </c>
      <c r="CA29" s="13">
        <f t="shared" si="39"/>
        <v>53.925317044064428</v>
      </c>
      <c r="CB29" s="20">
        <f t="shared" si="10"/>
        <v>475.56786051841215</v>
      </c>
      <c r="CC29" s="59">
        <f t="shared" si="11"/>
        <v>768.90119385174546</v>
      </c>
      <c r="CD29" s="59">
        <f ca="1">AVERAGE(OFFSET($CC$3,0,0,'Données projet'!$E$12+1,1))-AVERAGE(OFFSET($H$3,0,0,'Données projet'!$E$12+1,1))</f>
        <v>475.54809021014017</v>
      </c>
      <c r="CE29" s="59">
        <f t="shared" si="40"/>
        <v>593.51433014569966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23.099821625434821</v>
      </c>
      <c r="CM29" s="21">
        <f>EXP(-LN(2)/2)*CM28+(1-EXP(-LN(2)/2))/(LN(2)/2)*CG29*CJ29*VLOOKUP('Données projet'!$B$12,Paramètres!$A$1:$I$89,3,0)*0.475*44/12</f>
        <v>12.101745548105345</v>
      </c>
      <c r="CN29" s="22">
        <f t="shared" si="12"/>
        <v>35.20156717354017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9.1999999999999993</v>
      </c>
      <c r="CT29" s="12">
        <f>IF('Données projet'!$A$140&gt;35,CT28+CS29-DB28,IF(A29&lt;'Données projet'!$A$140,$CQ$205^A29,IF(A29='Données projet'!$A$140,'Données projet'!$B$140,CT28+CS29-DB28)))</f>
        <v>173.69999999999993</v>
      </c>
      <c r="CU29" s="17">
        <f>CT29*VLOOKUP('Données projet'!$B$13,Paramètres!$A$1:$I$89,3,0)*VLOOKUP('Données projet'!$B$13,Paramètres!$A$1:$I$89,5,0)</f>
        <v>81.291599999999974</v>
      </c>
      <c r="CV29" s="13">
        <f t="shared" si="41"/>
        <v>22.452692070336486</v>
      </c>
      <c r="CW29" s="20">
        <f t="shared" si="13"/>
        <v>180.68797535583599</v>
      </c>
      <c r="CX29" s="59">
        <f t="shared" si="14"/>
        <v>474.0213086891693</v>
      </c>
      <c r="CY29" s="59">
        <f ca="1">AVERAGE(OFFSET($CX$3,0,0,'Données projet'!$E$13+1,1))-AVERAGE(OFFSET($H$3,0,0,'Données projet'!$E$13+1,1))</f>
        <v>226.0452828290525</v>
      </c>
      <c r="CZ29" s="59">
        <f t="shared" si="42"/>
        <v>179.89696397462069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2.3952941189294172</v>
      </c>
      <c r="DG29" s="21">
        <f>EXP(-LN(2)/25)*DG28+(1-EXP(-LN(2)/25))/(LN(2)/25)*Calculateur!DB29*Calculateur!DD29*VLOOKUP('Données projet'!$B$13,Paramètres!$A$1:$I$89,3,0)*0.475*44/12</f>
        <v>2.275115415987556</v>
      </c>
      <c r="DH29" s="21">
        <f>EXP(-LN(2)/2)*DH28+(1-EXP(-LN(2)/2))/(LN(2)/2)*DB29*DE29*VLOOKUP('Données projet'!$B$13,Paramètres!$A$1:$I$89,3,0)*0.475*44/12</f>
        <v>1.5697834689055685</v>
      </c>
      <c r="DI29" s="22">
        <f t="shared" si="15"/>
        <v>6.2401930038225419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19.75</v>
      </c>
      <c r="DO29" s="12">
        <f>IF('Données projet'!$A$166&gt;35,DO28+DN29-DW28,IF(A29&lt;'Données projet'!$A$166,$DL$205^A29,IF(A29='Données projet'!$A$166,'Données projet'!$B$166,DO28+DN29-DW28)))</f>
        <v>193.5</v>
      </c>
      <c r="DP29" s="17">
        <f>DO29*VLOOKUP('Données projet'!$B$14,Paramètres!$A$1:$I$89,3,0)*VLOOKUP('Données projet'!$B$14,Paramètres!$A$1:$I$89,5,0)</f>
        <v>115.71300000000001</v>
      </c>
      <c r="DQ29" s="13">
        <f t="shared" si="43"/>
        <v>30.673019842466044</v>
      </c>
      <c r="DR29" s="20">
        <f t="shared" si="16"/>
        <v>254.95565122562834</v>
      </c>
      <c r="DS29" s="59">
        <f t="shared" si="17"/>
        <v>548.2889845589616</v>
      </c>
      <c r="DT29" s="59">
        <f ca="1">AVERAGE(OFFSET($DS$3,0,0,'Données projet'!$E$14+1,1))-AVERAGE(OFFSET($H$3,0,0,'Données projet'!$E$14+1,1))</f>
        <v>252.81045065813976</v>
      </c>
      <c r="DU29" s="59">
        <f t="shared" si="44"/>
        <v>254.36590349790589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13.45188382388057</v>
      </c>
      <c r="EB29" s="21">
        <f>EXP(-LN(2)/25)*EB28+(1-EXP(-LN(2)/25))/(LN(2)/25)*Calculateur!DW29*Calculateur!DY29*VLOOKUP('Données projet'!$B$14,Paramètres!$A$1:$I$89,3,0)*0.475*44/12</f>
        <v>13.394473357185218</v>
      </c>
      <c r="EC29" s="21">
        <f>EXP(-LN(2)/2)*EC28+(1-EXP(-LN(2)/2))/(LN(2)/2)*DW29*DZ29*VLOOKUP('Données projet'!$B$14,Paramètres!$A$1:$I$89,3,0)*0.475*44/12</f>
        <v>6.3094918540997043</v>
      </c>
      <c r="ED29" s="22">
        <f t="shared" si="18"/>
        <v>33.155849035165488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16.399999999999999</v>
      </c>
      <c r="EJ29" s="12">
        <f>IF('Données projet'!$A$192&gt;35,EJ28+EI29-ER28,IF(A29&lt;'Données projet'!$A$192,$EG$205^A29,IF(A29='Données projet'!$A$192,'Données projet'!$B$192,EJ28+EI29-ER28)))</f>
        <v>139.40000000000003</v>
      </c>
      <c r="EK29" s="17">
        <f>EJ29*VLOOKUP('Données projet'!$B$15,Paramètres!$A$1:$I$89,3,0)*VLOOKUP('Données projet'!$B$15,Paramètres!$A$1:$I$89,5,0)</f>
        <v>102.20808000000002</v>
      </c>
      <c r="EL29" s="13">
        <f t="shared" si="45"/>
        <v>27.487371629246301</v>
      </c>
      <c r="EM29" s="20">
        <f t="shared" si="19"/>
        <v>225.88624492093732</v>
      </c>
      <c r="EN29" s="59">
        <f t="shared" si="20"/>
        <v>519.21957825427057</v>
      </c>
      <c r="EO29" s="59">
        <f ca="1">AVERAGE(OFFSET($EN$3,0,0,'Données projet'!$E$15+1,1))-AVERAGE(OFFSET($H$3,0,0,'Données projet'!$E$15+1,1))</f>
        <v>296.91321813251051</v>
      </c>
      <c r="EP29" s="59">
        <f t="shared" si="46"/>
        <v>291.0718079639509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9.2595260915413586</v>
      </c>
      <c r="EW29" s="21">
        <f>EXP(-LN(2)/25)*EW28+(1-EXP(-LN(2)/25))/(LN(2)/25)*Calculateur!ER29*Calculateur!ET29*VLOOKUP('Données projet'!$B$15,Paramètres!$A$1:$I$89,3,0)*0.475*44/12</f>
        <v>10.759333289532552</v>
      </c>
      <c r="EX29" s="21">
        <f>EXP(-LN(2)/2)*EX28+(1-EXP(-LN(2)/2))/(LN(2)/2)*ER29*EU29*VLOOKUP('Données projet'!$B$15,Paramètres!$A$1:$I$89,3,0)*0.475*44/12</f>
        <v>8.7411848430863639</v>
      </c>
      <c r="EY29" s="22">
        <f t="shared" si="21"/>
        <v>28.760044224160275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9.1999999999999993</v>
      </c>
      <c r="FE29" s="12">
        <f>IF('Données projet'!$A$218&gt;35,FE28+FD29-FM28,IF(A29&lt;'Données projet'!$A$218,$FB$205^A29,IF(A29='Données projet'!$A$218,'Données projet'!$B$218,FE28+FD29-FM28)))</f>
        <v>84.200000000000017</v>
      </c>
      <c r="FF29" s="17">
        <f>FE29*VLOOKUP('Données projet'!$B$16,Paramètres!$A$1:$I$89,3,0)*VLOOKUP('Données projet'!$B$16,Paramètres!$A$1:$I$89,5,0)</f>
        <v>85.378800000000027</v>
      </c>
      <c r="FG29" s="13">
        <f t="shared" si="47"/>
        <v>23.447306793896516</v>
      </c>
      <c r="FH29" s="20">
        <f t="shared" si="22"/>
        <v>189.53880266603645</v>
      </c>
      <c r="FI29" s="59">
        <f t="shared" si="23"/>
        <v>482.87213599936979</v>
      </c>
      <c r="FJ29" s="59">
        <f ca="1">AVERAGE(OFFSET($FI$3,0,0,'Données projet'!$E$16+1,1))-AVERAGE(OFFSET($H$3,0,0,'Données projet'!$E$16+1,1))</f>
        <v>356.65981389369125</v>
      </c>
      <c r="FK29" s="59">
        <f t="shared" si="48"/>
        <v>231.92898690465887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4.4830702050776967</v>
      </c>
      <c r="FR29" s="21">
        <f>EXP(-LN(2)/25)*FR28+(1-EXP(-LN(2)/25))/(LN(2)/25)*Calculateur!FM29*Calculateur!FO29*VLOOKUP('Données projet'!$B$16,Paramètres!$A$1:$I$89,3,0)*0.475*44/12</f>
        <v>5.7180206239783713</v>
      </c>
      <c r="FS29" s="21">
        <f>EXP(-LN(2)/2)*FS28+(1-EXP(-LN(2)/2))/(LN(2)/2)*FM29*FP29*VLOOKUP('Données projet'!$B$16,Paramètres!$A$1:$I$89,3,0)*0.475*44/12</f>
        <v>6.1132549746251801</v>
      </c>
      <c r="FT29" s="22">
        <f t="shared" si="24"/>
        <v>16.314345803681249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9.1999999999999993</v>
      </c>
      <c r="FZ29" s="12">
        <f>IF('Données projet'!$A$244&gt;35,FZ28+FY29-GH28,IF(A29&lt;'Données projet'!$A$244,$FW$205^A29,IF(A29='Données projet'!$A$244,'Données projet'!$B$244,FZ28+FY29-GH28)))</f>
        <v>84.200000000000017</v>
      </c>
      <c r="GA29" s="17">
        <f>FZ29*VLOOKUP('Données projet'!$B$17,Paramètres!$A$1:$I$89,3,0)*VLOOKUP('Données projet'!$B$17,Paramètres!$A$1:$I$89,5,0)</f>
        <v>81.438240000000022</v>
      </c>
      <c r="GB29" s="13">
        <f t="shared" si="49"/>
        <v>22.488475778344696</v>
      </c>
      <c r="GC29" s="20">
        <f t="shared" si="25"/>
        <v>181.00569664728371</v>
      </c>
      <c r="GD29" s="59">
        <f t="shared" si="26"/>
        <v>474.33902998061706</v>
      </c>
      <c r="GE29" s="59">
        <f ca="1">AVERAGE(OFFSET($GD$3,0,0,'Données projet'!$E$17+1,1))-AVERAGE(OFFSET($H$3,0,0,'Données projet'!$E$17+1,1))</f>
        <v>337.76140497227715</v>
      </c>
      <c r="GF29" s="59">
        <f t="shared" si="50"/>
        <v>219.76562717496353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4.2761592725356499</v>
      </c>
      <c r="GM29" s="21">
        <f>EXP(-LN(2)/25)*GM28+(1-EXP(-LN(2)/25))/(LN(2)/25)*Calculateur!GH29*Calculateur!GJ29*VLOOKUP('Données projet'!$B$17,Paramètres!$A$1:$I$89,3,0)*0.475*44/12</f>
        <v>5.4541119797947539</v>
      </c>
      <c r="GN29" s="21">
        <f>EXP(-LN(2)/2)*GN28+(1-EXP(-LN(2)/2))/(LN(2)/2)*GH29*GK29*VLOOKUP('Données projet'!$B$17,Paramètres!$A$1:$I$89,3,0)*0.475*44/12</f>
        <v>5.831104745027095</v>
      </c>
      <c r="GO29" s="21">
        <f t="shared" si="27"/>
        <v>15.561375997357498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93.40000000000002</v>
      </c>
      <c r="O30" s="13">
        <f>N30*VLOOKUP('Données projet'!$B$9,Paramètres!$A$1:$I$89,3,0)*VLOOKUP('Données projet'!$B$9,Paramètres!$A$1:$I$89,5,0)</f>
        <v>84.508320000000026</v>
      </c>
      <c r="P30" s="13">
        <f t="shared" si="33"/>
        <v>23.235950088324714</v>
      </c>
      <c r="Q30" s="20">
        <f t="shared" si="2"/>
        <v>187.65460373716556</v>
      </c>
      <c r="R30" s="59">
        <f t="shared" si="0"/>
        <v>480.9879370704989</v>
      </c>
      <c r="S30" s="59">
        <f ca="1">AVERAGE(OFFSET($R$3,0,0,'Données projet'!$E$9+1,1))-AVERAGE(OFFSET($H$3,0,0,'Données projet'!$E$9+1,1))</f>
        <v>312.53389584272878</v>
      </c>
      <c r="T30" s="59">
        <f t="shared" si="34"/>
        <v>203.5274665601915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3.9218350169233682</v>
      </c>
      <c r="AA30" s="21">
        <f>EXP(-LN(2)/25)*AA29+(1-EXP(-LN(2)/25))/(LN(2)/25)*Calculateur!V30*Calculateur!X30*VLOOKUP('Données projet'!$B$9,Paramètres!$A$1:$I$89,3,0)*0.475*44/12</f>
        <v>4.9627129363145643</v>
      </c>
      <c r="AB30" s="21">
        <f>EXP(-LN(2)/2)*AB29+(1-EXP(-LN(2)/2))/(LN(2)/2)*V30*Y30*VLOOKUP('Données projet'!$B$9,Paramètres!$A$1:$I$89,3,0)*0.475*44/12</f>
        <v>3.857199919468183</v>
      </c>
      <c r="AC30" s="22">
        <f t="shared" si="3"/>
        <v>12.741747872706116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14.8</v>
      </c>
      <c r="AI30" s="13">
        <f>IF('Données projet'!$A$62&gt;35,AI29+AH30-AQ29,IF(A30&lt;'Données projet'!$A$62,$AF$205^A30,IF(A30='Données projet'!$A$62,'Données projet'!$B$62,AI29+AH30-AQ29)))</f>
        <v>160.60000000000008</v>
      </c>
      <c r="AJ30" s="13">
        <f>AI30*VLOOKUP('Données projet'!$B$10,Paramètres!$A$1:$I$89,3,0)*VLOOKUP('Données projet'!$B$10,Paramètres!$A$1:$I$89,5,0)</f>
        <v>140.30016000000009</v>
      </c>
      <c r="AK30" s="13">
        <f t="shared" si="35"/>
        <v>36.365759362628388</v>
      </c>
      <c r="AL30" s="20">
        <f t="shared" si="4"/>
        <v>307.69314288991126</v>
      </c>
      <c r="AM30" s="59">
        <f t="shared" si="5"/>
        <v>601.02647622324457</v>
      </c>
      <c r="AN30" s="59">
        <f ca="1">AVERAGE(OFFSET($AM$3,0,0,'Données projet'!$E$10+1,1))-AVERAGE(OFFSET($H$3,0,0,'Données projet'!$E$10+1,1))</f>
        <v>243.05628303465238</v>
      </c>
      <c r="AO30" s="59">
        <f t="shared" si="36"/>
        <v>352.47096767658394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3.8830916634488664</v>
      </c>
      <c r="AV30" s="21">
        <f>EXP(-LN(2)/25)*AV29+(1-EXP(-LN(2)/25))/(LN(2)/25)*Calculateur!AQ30*Calculateur!AS30*VLOOKUP('Données projet'!$B$10,Paramètres!$A$1:$I$89,3,0)*0.475*44/12</f>
        <v>10.519561230527989</v>
      </c>
      <c r="AW30" s="21">
        <f>EXP(-LN(2)/2)*AW29+(1-EXP(-LN(2)/2))/(LN(2)/2)*AQ30*AT30*VLOOKUP('Données projet'!$B$10,Paramètres!$A$1:$I$89,3,0)*0.475*44/12</f>
        <v>8.105321925344553</v>
      </c>
      <c r="AX30" s="21">
        <f t="shared" si="6"/>
        <v>22.507974819321408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16.399999999999999</v>
      </c>
      <c r="BD30" s="12">
        <f>IF('Données projet'!$A$88&gt;35,BD29+BC30-BL29,IF(A30&lt;'Données projet'!$A$88,$BA$205^A30,IF(A30='Données projet'!$A$88,'Données projet'!$B$88,BD29+BC30-BL29)))</f>
        <v>155.80000000000004</v>
      </c>
      <c r="BE30" s="13">
        <f>BD30*VLOOKUP('Données projet'!$B$11,Paramètres!$A$1:$I$89,3,0)*VLOOKUP('Données projet'!$B$11,Paramètres!$A$1:$I$89,5,0)</f>
        <v>123.95448000000005</v>
      </c>
      <c r="BF30" s="13">
        <f t="shared" si="37"/>
        <v>32.595569202682604</v>
      </c>
      <c r="BG30" s="20">
        <f t="shared" si="7"/>
        <v>272.65800236133896</v>
      </c>
      <c r="BH30" s="59">
        <f t="shared" si="8"/>
        <v>565.99133569467222</v>
      </c>
      <c r="BI30" s="59">
        <f ca="1">AVERAGE(OFFSET($BH$3,0,0,'Données projet'!$E$11+1,1))-AVERAGE(OFFSET($H$3,0,0,'Données projet'!$E$11+1,1))</f>
        <v>325.72928944930294</v>
      </c>
      <c r="BJ30" s="59">
        <f t="shared" si="38"/>
        <v>318.38876834819752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12.141368345088829</v>
      </c>
      <c r="BQ30" s="21">
        <f>EXP(-LN(2)/25)*BQ29+(1-EXP(-LN(2)/25))/(LN(2)/25)*Calculateur!BL30*Calculateur!BN30*VLOOKUP('Données projet'!$B$11,Paramètres!$A$1:$I$89,3,0)*0.475*44/12</f>
        <v>13.996643243222621</v>
      </c>
      <c r="BR30" s="21">
        <f>EXP(-LN(2)/2)*BR29+(1-EXP(-LN(2)/2))/(LN(2)/2)*BL30*BO30*VLOOKUP('Données projet'!$B$11,Paramètres!$A$1:$I$89,3,0)*0.475*44/12</f>
        <v>6.7069894677813471</v>
      </c>
      <c r="BS30" s="22">
        <f t="shared" si="9"/>
        <v>32.845001056092798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33</v>
      </c>
      <c r="BY30" s="12">
        <f>IF('Données projet'!$A$114&gt;35,BY29+BX30-CG29,IF(A30&lt;'Données projet'!$A$114,$BV$205^A30,IF(A30='Données projet'!$A$114,'Données projet'!$B$114,BY29+BX30-CG29)))</f>
        <v>425.00000000000006</v>
      </c>
      <c r="BZ30" s="13">
        <f>BY30*VLOOKUP('Données projet'!$B$12,Paramètres!$A$1:$I$89,3,0)*VLOOKUP('Données projet'!$B$12,Paramètres!$A$1:$I$89,5,0)</f>
        <v>237.57500000000005</v>
      </c>
      <c r="CA30" s="13">
        <f t="shared" si="39"/>
        <v>57.917471937261212</v>
      </c>
      <c r="CB30" s="20">
        <f t="shared" si="10"/>
        <v>514.64938862406336</v>
      </c>
      <c r="CC30" s="59">
        <f t="shared" si="11"/>
        <v>807.98272195739673</v>
      </c>
      <c r="CD30" s="59">
        <f ca="1">AVERAGE(OFFSET($CC$3,0,0,'Données projet'!$E$12+1,1))-AVERAGE(OFFSET($H$3,0,0,'Données projet'!$E$12+1,1))</f>
        <v>475.54809021014017</v>
      </c>
      <c r="CE30" s="59">
        <f t="shared" si="40"/>
        <v>593.51433014569966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22.46815578832048</v>
      </c>
      <c r="CM30" s="21">
        <f>EXP(-LN(2)/2)*CM29+(1-EXP(-LN(2)/2))/(LN(2)/2)*CG30*CJ30*VLOOKUP('Données projet'!$B$12,Paramètres!$A$1:$I$89,3,0)*0.475*44/12</f>
        <v>8.557226341259403</v>
      </c>
      <c r="CN30" s="22">
        <f t="shared" si="12"/>
        <v>31.025382129579882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9.1999999999999993</v>
      </c>
      <c r="CT30" s="12">
        <f>IF('Données projet'!$A$140&gt;35,CT29+CS30-DB29,IF(A30&lt;'Données projet'!$A$140,$CQ$205^A30,IF(A30='Données projet'!$A$140,'Données projet'!$B$140,CT29+CS30-DB29)))</f>
        <v>182.89999999999992</v>
      </c>
      <c r="CU30" s="17">
        <f>CT30*VLOOKUP('Données projet'!$B$13,Paramètres!$A$1:$I$89,3,0)*VLOOKUP('Données projet'!$B$13,Paramètres!$A$1:$I$89,5,0)</f>
        <v>85.597199999999958</v>
      </c>
      <c r="CV30" s="13">
        <f t="shared" si="41"/>
        <v>23.500295908287228</v>
      </c>
      <c r="CW30" s="20">
        <f t="shared" si="13"/>
        <v>190.01147204026685</v>
      </c>
      <c r="CX30" s="59">
        <f t="shared" si="14"/>
        <v>483.34480537360014</v>
      </c>
      <c r="CY30" s="59">
        <f ca="1">AVERAGE(OFFSET($CX$3,0,0,'Données projet'!$E$13+1,1))-AVERAGE(OFFSET($H$3,0,0,'Données projet'!$E$13+1,1))</f>
        <v>226.0452828290525</v>
      </c>
      <c r="CZ30" s="59">
        <f t="shared" si="42"/>
        <v>179.89696397462069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2.3483238622423634</v>
      </c>
      <c r="DG30" s="21">
        <f>EXP(-LN(2)/25)*DG29+(1-EXP(-LN(2)/25))/(LN(2)/25)*Calculateur!DB30*Calculateur!DD30*VLOOKUP('Données projet'!$B$13,Paramètres!$A$1:$I$89,3,0)*0.475*44/12</f>
        <v>2.2129022652942565</v>
      </c>
      <c r="DH30" s="21">
        <f>EXP(-LN(2)/2)*DH29+(1-EXP(-LN(2)/2))/(LN(2)/2)*DB30*DE30*VLOOKUP('Données projet'!$B$13,Paramètres!$A$1:$I$89,3,0)*0.475*44/12</f>
        <v>1.1100045358576693</v>
      </c>
      <c r="DI30" s="22">
        <f t="shared" si="15"/>
        <v>5.6712306633942893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19.75</v>
      </c>
      <c r="DO30" s="12">
        <f>IF('Données projet'!$A$166&gt;35,DO29+DN30-DW29,IF(A30&lt;'Données projet'!$A$166,$DL$205^A30,IF(A30='Données projet'!$A$166,'Données projet'!$B$166,DO29+DN30-DW29)))</f>
        <v>213.25</v>
      </c>
      <c r="DP30" s="17">
        <f>DO30*VLOOKUP('Données projet'!$B$14,Paramètres!$A$1:$I$89,3,0)*VLOOKUP('Données projet'!$B$14,Paramètres!$A$1:$I$89,5,0)</f>
        <v>127.5235</v>
      </c>
      <c r="DQ30" s="13">
        <f t="shared" si="43"/>
        <v>33.423473895208211</v>
      </c>
      <c r="DR30" s="20">
        <f t="shared" si="16"/>
        <v>280.31597953415428</v>
      </c>
      <c r="DS30" s="59">
        <f t="shared" si="17"/>
        <v>573.64931286748765</v>
      </c>
      <c r="DT30" s="59">
        <f ca="1">AVERAGE(OFFSET($DS$3,0,0,'Données projet'!$E$14+1,1))-AVERAGE(OFFSET($H$3,0,0,'Données projet'!$E$14+1,1))</f>
        <v>252.81045065813976</v>
      </c>
      <c r="DU30" s="59">
        <f t="shared" si="44"/>
        <v>254.36590349790589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13.188100586933244</v>
      </c>
      <c r="EB30" s="21">
        <f>EXP(-LN(2)/25)*EB29+(1-EXP(-LN(2)/25))/(LN(2)/25)*Calculateur!DW30*Calculateur!DY30*VLOOKUP('Données projet'!$B$14,Paramètres!$A$1:$I$89,3,0)*0.475*44/12</f>
        <v>13.028200778848248</v>
      </c>
      <c r="EC30" s="21">
        <f>EXP(-LN(2)/2)*EC29+(1-EXP(-LN(2)/2))/(LN(2)/2)*DW30*DZ30*VLOOKUP('Données projet'!$B$14,Paramètres!$A$1:$I$89,3,0)*0.475*44/12</f>
        <v>4.4614844758751842</v>
      </c>
      <c r="ED30" s="22">
        <f t="shared" si="18"/>
        <v>30.677785841656675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16.399999999999999</v>
      </c>
      <c r="EJ30" s="12">
        <f>IF('Données projet'!$A$192&gt;35,EJ29+EI30-ER29,IF(A30&lt;'Données projet'!$A$192,$EG$205^A30,IF(A30='Données projet'!$A$192,'Données projet'!$B$192,EJ29+EI30-ER29)))</f>
        <v>155.80000000000004</v>
      </c>
      <c r="EK30" s="17">
        <f>EJ30*VLOOKUP('Données projet'!$B$15,Paramètres!$A$1:$I$89,3,0)*VLOOKUP('Données projet'!$B$15,Paramètres!$A$1:$I$89,5,0)</f>
        <v>114.23256000000002</v>
      </c>
      <c r="EL30" s="13">
        <f t="shared" si="45"/>
        <v>30.326006869580301</v>
      </c>
      <c r="EM30" s="20">
        <f t="shared" si="19"/>
        <v>251.77283729785236</v>
      </c>
      <c r="EN30" s="59">
        <f t="shared" si="20"/>
        <v>545.10617063118571</v>
      </c>
      <c r="EO30" s="59">
        <f ca="1">AVERAGE(OFFSET($EN$3,0,0,'Données projet'!$E$15+1,1))-AVERAGE(OFFSET($H$3,0,0,'Données projet'!$E$15+1,1))</f>
        <v>296.91321813251051</v>
      </c>
      <c r="EP30" s="59">
        <f t="shared" si="46"/>
        <v>291.0718079639509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9.0779524326394796</v>
      </c>
      <c r="EW30" s="21">
        <f>EXP(-LN(2)/25)*EW29+(1-EXP(-LN(2)/25))/(LN(2)/25)*Calculateur!ER30*Calculateur!ET30*VLOOKUP('Données projet'!$B$15,Paramètres!$A$1:$I$89,3,0)*0.475*44/12</f>
        <v>10.465118754921537</v>
      </c>
      <c r="EX30" s="21">
        <f>EXP(-LN(2)/2)*EX29+(1-EXP(-LN(2)/2))/(LN(2)/2)*ER30*EU30*VLOOKUP('Données projet'!$B$15,Paramètres!$A$1:$I$89,3,0)*0.475*44/12</f>
        <v>6.1809510781514359</v>
      </c>
      <c r="EY30" s="22">
        <f t="shared" si="21"/>
        <v>25.724022265712456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9.1999999999999993</v>
      </c>
      <c r="FE30" s="12">
        <f>IF('Données projet'!$A$218&gt;35,FE29+FD30-FM29,IF(A30&lt;'Données projet'!$A$218,$FB$205^A30,IF(A30='Données projet'!$A$218,'Données projet'!$B$218,FE29+FD30-FM29)))</f>
        <v>93.40000000000002</v>
      </c>
      <c r="FF30" s="17">
        <f>FE30*VLOOKUP('Données projet'!$B$16,Paramètres!$A$1:$I$89,3,0)*VLOOKUP('Données projet'!$B$16,Paramètres!$A$1:$I$89,5,0)</f>
        <v>94.707600000000028</v>
      </c>
      <c r="FG30" s="13">
        <f t="shared" si="47"/>
        <v>25.697193912523566</v>
      </c>
      <c r="FH30" s="20">
        <f t="shared" si="22"/>
        <v>209.70501606431188</v>
      </c>
      <c r="FI30" s="59">
        <f t="shared" si="23"/>
        <v>503.03834939764522</v>
      </c>
      <c r="FJ30" s="59">
        <f ca="1">AVERAGE(OFFSET($FI$3,0,0,'Données projet'!$E$16+1,1))-AVERAGE(OFFSET($H$3,0,0,'Données projet'!$E$16+1,1))</f>
        <v>356.65981389369125</v>
      </c>
      <c r="FK30" s="59">
        <f t="shared" si="48"/>
        <v>231.92898690465887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4.3951599327589479</v>
      </c>
      <c r="FR30" s="21">
        <f>EXP(-LN(2)/25)*FR29+(1-EXP(-LN(2)/25))/(LN(2)/25)*Calculateur!FM30*Calculateur!FO30*VLOOKUP('Données projet'!$B$16,Paramètres!$A$1:$I$89,3,0)*0.475*44/12</f>
        <v>5.5616610493180465</v>
      </c>
      <c r="FS30" s="21">
        <f>EXP(-LN(2)/2)*FS29+(1-EXP(-LN(2)/2))/(LN(2)/2)*FM30*FP30*VLOOKUP('Données projet'!$B$16,Paramètres!$A$1:$I$89,3,0)*0.475*44/12</f>
        <v>4.322724047679861</v>
      </c>
      <c r="FT30" s="22">
        <f t="shared" si="24"/>
        <v>14.279545029756855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9.1999999999999993</v>
      </c>
      <c r="FZ30" s="12">
        <f>IF('Données projet'!$A$244&gt;35,FZ29+FY30-GH29,IF(A30&lt;'Données projet'!$A$244,$FW$205^A30,IF(A30='Données projet'!$A$244,'Données projet'!$B$244,FZ29+FY30-GH29)))</f>
        <v>93.40000000000002</v>
      </c>
      <c r="GA30" s="17">
        <f>FZ30*VLOOKUP('Données projet'!$B$17,Paramètres!$A$1:$I$89,3,0)*VLOOKUP('Données projet'!$B$17,Paramètres!$A$1:$I$89,5,0)</f>
        <v>90.336480000000023</v>
      </c>
      <c r="GB30" s="13">
        <f t="shared" si="49"/>
        <v>24.646358234355564</v>
      </c>
      <c r="GC30" s="20">
        <f t="shared" si="25"/>
        <v>200.26177659150264</v>
      </c>
      <c r="GD30" s="59">
        <f t="shared" si="26"/>
        <v>493.59510992483592</v>
      </c>
      <c r="GE30" s="59">
        <f ca="1">AVERAGE(OFFSET($GD$3,0,0,'Données projet'!$E$17+1,1))-AVERAGE(OFFSET($H$3,0,0,'Données projet'!$E$17+1,1))</f>
        <v>337.76140497227715</v>
      </c>
      <c r="GF30" s="59">
        <f t="shared" si="50"/>
        <v>219.76562717496353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4.1923063974008441</v>
      </c>
      <c r="GM30" s="21">
        <f>EXP(-LN(2)/25)*GM29+(1-EXP(-LN(2)/25))/(LN(2)/25)*Calculateur!GH30*Calculateur!GJ30*VLOOKUP('Données projet'!$B$17,Paramètres!$A$1:$I$89,3,0)*0.475*44/12</f>
        <v>5.3049690008879828</v>
      </c>
      <c r="GN30" s="21">
        <f>EXP(-LN(2)/2)*GN29+(1-EXP(-LN(2)/2))/(LN(2)/2)*GH30*GK30*VLOOKUP('Données projet'!$B$17,Paramètres!$A$1:$I$89,3,0)*0.475*44/12</f>
        <v>4.1232137070177135</v>
      </c>
      <c r="GO30" s="21">
        <f t="shared" si="27"/>
        <v>13.620489105306541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102.60000000000002</v>
      </c>
      <c r="O31" s="13">
        <f>N31*VLOOKUP('Données projet'!$B$9,Paramètres!$A$1:$I$89,3,0)*VLOOKUP('Données projet'!$B$9,Paramètres!$A$1:$I$89,5,0)</f>
        <v>92.832480000000018</v>
      </c>
      <c r="P31" s="13">
        <f t="shared" si="33"/>
        <v>25.247114117480137</v>
      </c>
      <c r="Q31" s="20">
        <f t="shared" si="2"/>
        <v>205.65529308794461</v>
      </c>
      <c r="R31" s="59">
        <f t="shared" si="0"/>
        <v>498.9886264212779</v>
      </c>
      <c r="S31" s="59">
        <f ca="1">AVERAGE(OFFSET($R$3,0,0,'Données projet'!$E$9+1,1))-AVERAGE(OFFSET($H$3,0,0,'Données projet'!$E$9+1,1))</f>
        <v>312.53389584272878</v>
      </c>
      <c r="T31" s="59">
        <f t="shared" si="34"/>
        <v>203.5274665601915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3.8449302243246626</v>
      </c>
      <c r="AA31" s="21">
        <f>EXP(-LN(2)/25)*AA30+(1-EXP(-LN(2)/25))/(LN(2)/25)*Calculateur!V31*Calculateur!X31*VLOOKUP('Données projet'!$B$9,Paramètres!$A$1:$I$89,3,0)*0.475*44/12</f>
        <v>4.8270072900933121</v>
      </c>
      <c r="AB31" s="21">
        <f>EXP(-LN(2)/2)*AB30+(1-EXP(-LN(2)/2))/(LN(2)/2)*V31*Y31*VLOOKUP('Données projet'!$B$9,Paramètres!$A$1:$I$89,3,0)*0.475*44/12</f>
        <v>2.7274522194481574</v>
      </c>
      <c r="AC31" s="22">
        <f t="shared" si="3"/>
        <v>11.399389733866132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14.8</v>
      </c>
      <c r="AI31" s="13">
        <f>IF('Données projet'!$A$62&gt;35,AI30+AH31-AQ30,IF(A31&lt;'Données projet'!$A$62,$AF$205^A31,IF(A31='Données projet'!$A$62,'Données projet'!$B$62,AI30+AH31-AQ30)))</f>
        <v>175.40000000000009</v>
      </c>
      <c r="AJ31" s="13">
        <f>AI31*VLOOKUP('Données projet'!$B$10,Paramètres!$A$1:$I$89,3,0)*VLOOKUP('Données projet'!$B$10,Paramètres!$A$1:$I$89,5,0)</f>
        <v>153.2294400000001</v>
      </c>
      <c r="AK31" s="13">
        <f t="shared" si="35"/>
        <v>39.311575138468363</v>
      </c>
      <c r="AL31" s="20">
        <f t="shared" si="4"/>
        <v>335.34226803283252</v>
      </c>
      <c r="AM31" s="59">
        <f t="shared" si="5"/>
        <v>628.67560136616589</v>
      </c>
      <c r="AN31" s="59">
        <f ca="1">AVERAGE(OFFSET($AM$3,0,0,'Données projet'!$E$10+1,1))-AVERAGE(OFFSET($H$3,0,0,'Données projet'!$E$10+1,1))</f>
        <v>243.05628303465238</v>
      </c>
      <c r="AO31" s="59">
        <f t="shared" si="36"/>
        <v>352.47096767658394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3.8069466043806837</v>
      </c>
      <c r="AV31" s="21">
        <f>EXP(-LN(2)/25)*AV30+(1-EXP(-LN(2)/25))/(LN(2)/25)*Calculateur!AQ31*Calculateur!AS31*VLOOKUP('Données projet'!$B$10,Paramètres!$A$1:$I$89,3,0)*0.475*44/12</f>
        <v>10.231903275479519</v>
      </c>
      <c r="AW31" s="21">
        <f>EXP(-LN(2)/2)*AW30+(1-EXP(-LN(2)/2))/(LN(2)/2)*AQ31*AT31*VLOOKUP('Données projet'!$B$10,Paramètres!$A$1:$I$89,3,0)*0.475*44/12</f>
        <v>5.7313280971111373</v>
      </c>
      <c r="AX31" s="21">
        <f t="shared" si="6"/>
        <v>19.77017797697134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16.399999999999999</v>
      </c>
      <c r="BD31" s="12">
        <f>IF('Données projet'!$A$88&gt;35,BD30+BC31-BL30,IF(A31&lt;'Données projet'!$A$88,$BA$205^A31,IF(A31='Données projet'!$A$88,'Données projet'!$B$88,BD30+BC31-BL30)))</f>
        <v>172.20000000000005</v>
      </c>
      <c r="BE31" s="13">
        <f>BD31*VLOOKUP('Données projet'!$B$11,Paramètres!$A$1:$I$89,3,0)*VLOOKUP('Données projet'!$B$11,Paramètres!$A$1:$I$89,5,0)</f>
        <v>137.00232000000005</v>
      </c>
      <c r="BF31" s="13">
        <f t="shared" si="37"/>
        <v>35.609416420931346</v>
      </c>
      <c r="BG31" s="20">
        <f t="shared" si="7"/>
        <v>300.63210759978887</v>
      </c>
      <c r="BH31" s="59">
        <f t="shared" si="8"/>
        <v>593.96544093312218</v>
      </c>
      <c r="BI31" s="59">
        <f ca="1">AVERAGE(OFFSET($BH$3,0,0,'Données projet'!$E$11+1,1))-AVERAGE(OFFSET($H$3,0,0,'Données projet'!$E$11+1,1))</f>
        <v>325.72928944930294</v>
      </c>
      <c r="BJ31" s="59">
        <f t="shared" si="38"/>
        <v>318.38876834819752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11.903283517345095</v>
      </c>
      <c r="BQ31" s="21">
        <f>EXP(-LN(2)/25)*BQ30+(1-EXP(-LN(2)/25))/(LN(2)/25)*Calculateur!BL31*Calculateur!BN31*VLOOKUP('Données projet'!$B$11,Paramètres!$A$1:$I$89,3,0)*0.475*44/12</f>
        <v>13.61390429768522</v>
      </c>
      <c r="BR31" s="21">
        <f>EXP(-LN(2)/2)*BR30+(1-EXP(-LN(2)/2))/(LN(2)/2)*BL31*BO31*VLOOKUP('Données projet'!$B$11,Paramètres!$A$1:$I$89,3,0)*0.475*44/12</f>
        <v>4.7425577340149445</v>
      </c>
      <c r="BS31" s="22">
        <f t="shared" si="9"/>
        <v>30.25974554904526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33</v>
      </c>
      <c r="BY31" s="12">
        <f>IF('Données projet'!$A$114&gt;35,BY30+BX31-CG30,IF(A31&lt;'Données projet'!$A$114,$BV$205^A31,IF(A31='Données projet'!$A$114,'Données projet'!$B$114,BY30+BX31-CG30)))</f>
        <v>458.00000000000006</v>
      </c>
      <c r="BZ31" s="13">
        <f>BY31*VLOOKUP('Données projet'!$B$12,Paramètres!$A$1:$I$89,3,0)*VLOOKUP('Données projet'!$B$12,Paramètres!$A$1:$I$89,5,0)</f>
        <v>256.02200000000005</v>
      </c>
      <c r="CA31" s="13">
        <f t="shared" si="39"/>
        <v>61.87366971205131</v>
      </c>
      <c r="CB31" s="20">
        <f t="shared" si="10"/>
        <v>553.66829141515609</v>
      </c>
      <c r="CC31" s="59">
        <f t="shared" si="11"/>
        <v>847.00162474848935</v>
      </c>
      <c r="CD31" s="59">
        <f ca="1">AVERAGE(OFFSET($CC$3,0,0,'Données projet'!$E$12+1,1))-AVERAGE(OFFSET($H$3,0,0,'Données projet'!$E$12+1,1))</f>
        <v>475.54809021014017</v>
      </c>
      <c r="CE31" s="59">
        <f t="shared" si="40"/>
        <v>593.51433014569966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21.853762886739897</v>
      </c>
      <c r="CM31" s="21">
        <f>EXP(-LN(2)/2)*CM30+(1-EXP(-LN(2)/2))/(LN(2)/2)*CG31*CJ31*VLOOKUP('Données projet'!$B$12,Paramètres!$A$1:$I$89,3,0)*0.475*44/12</f>
        <v>6.0508727740526735</v>
      </c>
      <c r="CN31" s="22">
        <f t="shared" si="12"/>
        <v>27.904635660792572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9.1999999999999993</v>
      </c>
      <c r="CT31" s="12">
        <f>IF('Données projet'!$A$140&gt;35,CT30+CS31-DB30,IF(A31&lt;'Données projet'!$A$140,$CQ$205^A31,IF(A31='Données projet'!$A$140,'Données projet'!$B$140,CT30+CS31-DB30)))</f>
        <v>192.09999999999991</v>
      </c>
      <c r="CU31" s="17">
        <f>CT31*VLOOKUP('Données projet'!$B$13,Paramètres!$A$1:$I$89,3,0)*VLOOKUP('Données projet'!$B$13,Paramètres!$A$1:$I$89,5,0)</f>
        <v>89.902799999999957</v>
      </c>
      <c r="CV31" s="13">
        <f t="shared" si="41"/>
        <v>24.541781220398729</v>
      </c>
      <c r="CW31" s="20">
        <f t="shared" si="13"/>
        <v>199.32431229219435</v>
      </c>
      <c r="CX31" s="59">
        <f t="shared" si="14"/>
        <v>492.65764562552766</v>
      </c>
      <c r="CY31" s="59">
        <f ca="1">AVERAGE(OFFSET($CX$3,0,0,'Données projet'!$E$13+1,1))-AVERAGE(OFFSET($H$3,0,0,'Données projet'!$E$13+1,1))</f>
        <v>226.0452828290525</v>
      </c>
      <c r="CZ31" s="59">
        <f t="shared" si="42"/>
        <v>179.89696397462069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2.3022746636399152</v>
      </c>
      <c r="DG31" s="21">
        <f>EXP(-LN(2)/25)*DG30+(1-EXP(-LN(2)/25))/(LN(2)/25)*Calculateur!DB31*Calculateur!DD31*VLOOKUP('Données projet'!$B$13,Paramètres!$A$1:$I$89,3,0)*0.475*44/12</f>
        <v>2.1523903364783123</v>
      </c>
      <c r="DH31" s="21">
        <f>EXP(-LN(2)/2)*DH30+(1-EXP(-LN(2)/2))/(LN(2)/2)*DB31*DE31*VLOOKUP('Données projet'!$B$13,Paramètres!$A$1:$I$89,3,0)*0.475*44/12</f>
        <v>0.78489173445278426</v>
      </c>
      <c r="DI31" s="22">
        <f t="shared" si="15"/>
        <v>5.2395567345710115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>
        <f>VLOOKUP(A31,'Données projet'!$A$165:$I$185,2,0)</f>
        <v>233</v>
      </c>
      <c r="DM31" s="12">
        <f>VLOOKUP(A31,'Données projet'!$A$165:$I$185,9,0)</f>
        <v>19.75</v>
      </c>
      <c r="DN31" s="12">
        <f t="array" ref="DN31">INDEX(DM:DM,MIN(IF(ISNUMBER(DM31:DM227),ROW(DM31:DM227),"")))</f>
        <v>19.75</v>
      </c>
      <c r="DO31" s="12">
        <f>IF('Données projet'!$A$166&gt;35,DO30+DN31-DW30,IF(A31&lt;'Données projet'!$A$166,$DL$205^A31,IF(A31='Données projet'!$A$166,'Données projet'!$B$166,DO30+DN31-DW30)))</f>
        <v>233</v>
      </c>
      <c r="DP31" s="17">
        <f>DO31*VLOOKUP('Données projet'!$B$14,Paramètres!$A$1:$I$89,3,0)*VLOOKUP('Données projet'!$B$14,Paramètres!$A$1:$I$89,5,0)</f>
        <v>139.334</v>
      </c>
      <c r="DQ31" s="13">
        <f t="shared" si="43"/>
        <v>36.144391930570897</v>
      </c>
      <c r="DR31" s="20">
        <f t="shared" si="16"/>
        <v>305.62486594574432</v>
      </c>
      <c r="DS31" s="59">
        <f t="shared" si="17"/>
        <v>598.95819927907769</v>
      </c>
      <c r="DT31" s="59">
        <f ca="1">AVERAGE(OFFSET($DS$3,0,0,'Données projet'!$E$14+1,1))-AVERAGE(OFFSET($H$3,0,0,'Données projet'!$E$14+1,1))</f>
        <v>252.81045065813976</v>
      </c>
      <c r="DU31" s="59">
        <f t="shared" si="44"/>
        <v>254.36590349790589</v>
      </c>
      <c r="DV31" s="15">
        <f>IF(ISNA(VLOOKUP(A31,'Données projet'!$A$165:$I$185,3,0)),0,VLOOKUP(A31,'Données projet'!$A$165:$I$185,3,0))</f>
        <v>5</v>
      </c>
      <c r="DW31" s="15">
        <f>IF(ISNA(VLOOKUP(A31,'Données projet'!$A$165:$I$185,4,0)),0,VLOOKUP(A31,'Données projet'!$A$165:$I$185,4,0))</f>
        <v>41</v>
      </c>
      <c r="DX31" s="16">
        <f>IF(ISNA(VLOOKUP(A31,'Données projet'!$A$165:$I$185,5,0)),0%,VLOOKUP(A31,'Données projet'!$A$165:$I$185,5,0)*VLOOKUP('Données projet'!$B$14,Paramètres!$A$1:$I$89,7,0))</f>
        <v>0.18000000000000002</v>
      </c>
      <c r="DY31" s="16">
        <f>IF(ISNA(VLOOKUP(A31,'Données projet'!$A$165:$I$185,6,0)),0%,VLOOKUP(A31,'Données projet'!$A$165:$I$185,6,0)*VLOOKUP('Données projet'!$B$14,Paramètres!$A$1:$I$89,7,0))</f>
        <v>0.13500000000000001</v>
      </c>
      <c r="DZ31" s="16">
        <f>IF(ISNA(VLOOKUP(A31,'Données projet'!$A$165:$I$185,7,0)),0%,VLOOKUP(A31,'Données projet'!$A$165:$I$185,7,0))</f>
        <v>0.3</v>
      </c>
      <c r="EA31" s="21">
        <f>EXP(-LN(2)/35)*EA30+(1-EXP(-LN(2)/35))/(LN(2)/35)*DW31*DX31*VLOOKUP('Données projet'!$B$14,Paramètres!$A$1:$I$89,3,0)*0.475*44/12</f>
        <v>18.783937295694564</v>
      </c>
      <c r="EB31" s="21">
        <f>EXP(-LN(2)/25)*EB30+(1-EXP(-LN(2)/25))/(LN(2)/25)*Calculateur!DW31*Calculateur!DY31*VLOOKUP('Données projet'!$B$14,Paramètres!$A$1:$I$89,3,0)*0.475*44/12</f>
        <v>17.045491039064625</v>
      </c>
      <c r="EC31" s="21">
        <f>EXP(-LN(2)/2)*EC30+(1-EXP(-LN(2)/2))/(LN(2)/2)*DW31*DZ31*VLOOKUP('Données projet'!$B$14,Paramètres!$A$1:$I$89,3,0)*0.475*44/12</f>
        <v>11.48276736827602</v>
      </c>
      <c r="ED31" s="22">
        <f t="shared" si="18"/>
        <v>47.312195703035208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16.399999999999999</v>
      </c>
      <c r="EJ31" s="12">
        <f>IF('Données projet'!$A$192&gt;35,EJ30+EI31-ER30,IF(A31&lt;'Données projet'!$A$192,$EG$205^A31,IF(A31='Données projet'!$A$192,'Données projet'!$B$192,EJ30+EI31-ER30)))</f>
        <v>172.20000000000005</v>
      </c>
      <c r="EK31" s="17">
        <f>EJ31*VLOOKUP('Données projet'!$B$15,Paramètres!$A$1:$I$89,3,0)*VLOOKUP('Données projet'!$B$15,Paramètres!$A$1:$I$89,5,0)</f>
        <v>126.25704000000002</v>
      </c>
      <c r="EL31" s="13">
        <f t="shared" si="45"/>
        <v>33.130006114881255</v>
      </c>
      <c r="EM31" s="20">
        <f t="shared" si="19"/>
        <v>277.59910531675155</v>
      </c>
      <c r="EN31" s="59">
        <f t="shared" si="20"/>
        <v>570.9324386500848</v>
      </c>
      <c r="EO31" s="59">
        <f ca="1">AVERAGE(OFFSET($EN$3,0,0,'Données projet'!$E$15+1,1))-AVERAGE(OFFSET($H$3,0,0,'Données projet'!$E$15+1,1))</f>
        <v>296.91321813251051</v>
      </c>
      <c r="EP31" s="59">
        <f t="shared" si="46"/>
        <v>291.0718079639509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8.8999393224396695</v>
      </c>
      <c r="EW31" s="21">
        <f>EXP(-LN(2)/25)*EW30+(1-EXP(-LN(2)/25))/(LN(2)/25)*Calculateur!ER31*Calculateur!ET31*VLOOKUP('Données projet'!$B$15,Paramètres!$A$1:$I$89,3,0)*0.475*44/12</f>
        <v>10.178949532231531</v>
      </c>
      <c r="EX31" s="21">
        <f>EXP(-LN(2)/2)*EX30+(1-EXP(-LN(2)/2))/(LN(2)/2)*ER31*EU31*VLOOKUP('Données projet'!$B$15,Paramètres!$A$1:$I$89,3,0)*0.475*44/12</f>
        <v>4.3705924215431828</v>
      </c>
      <c r="EY31" s="22">
        <f t="shared" si="21"/>
        <v>23.449481276214382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9.1999999999999993</v>
      </c>
      <c r="FE31" s="12">
        <f>IF('Données projet'!$A$218&gt;35,FE30+FD31-FM30,IF(A31&lt;'Données projet'!$A$218,$FB$205^A31,IF(A31='Données projet'!$A$218,'Données projet'!$B$218,FE30+FD31-FM30)))</f>
        <v>102.60000000000002</v>
      </c>
      <c r="FF31" s="17">
        <f>FE31*VLOOKUP('Données projet'!$B$16,Paramètres!$A$1:$I$89,3,0)*VLOOKUP('Données projet'!$B$16,Paramètres!$A$1:$I$89,5,0)</f>
        <v>104.03640000000003</v>
      </c>
      <c r="FG31" s="13">
        <f t="shared" si="47"/>
        <v>27.921388397820998</v>
      </c>
      <c r="FH31" s="20">
        <f t="shared" si="22"/>
        <v>229.82648145953826</v>
      </c>
      <c r="FI31" s="59">
        <f t="shared" si="23"/>
        <v>523.15981479287154</v>
      </c>
      <c r="FJ31" s="59">
        <f ca="1">AVERAGE(OFFSET($FI$3,0,0,'Données projet'!$E$16+1,1))-AVERAGE(OFFSET($H$3,0,0,'Données projet'!$E$16+1,1))</f>
        <v>356.65981389369125</v>
      </c>
      <c r="FK31" s="59">
        <f t="shared" si="48"/>
        <v>231.92898690465887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4.3089735272603988</v>
      </c>
      <c r="FR31" s="21">
        <f>EXP(-LN(2)/25)*FR30+(1-EXP(-LN(2)/25))/(LN(2)/25)*Calculateur!FM31*Calculateur!FO31*VLOOKUP('Données projet'!$B$16,Paramètres!$A$1:$I$89,3,0)*0.475*44/12</f>
        <v>5.4095771354494016</v>
      </c>
      <c r="FS31" s="21">
        <f>EXP(-LN(2)/2)*FS30+(1-EXP(-LN(2)/2))/(LN(2)/2)*FM31*FP31*VLOOKUP('Données projet'!$B$16,Paramètres!$A$1:$I$89,3,0)*0.475*44/12</f>
        <v>3.0566274873125905</v>
      </c>
      <c r="FT31" s="22">
        <f t="shared" si="24"/>
        <v>12.775178150022391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9.1999999999999993</v>
      </c>
      <c r="FZ31" s="12">
        <f>IF('Données projet'!$A$244&gt;35,FZ30+FY31-GH30,IF(A31&lt;'Données projet'!$A$244,$FW$205^A31,IF(A31='Données projet'!$A$244,'Données projet'!$B$244,FZ30+FY31-GH30)))</f>
        <v>102.60000000000002</v>
      </c>
      <c r="GA31" s="17">
        <f>FZ31*VLOOKUP('Données projet'!$B$17,Paramètres!$A$1:$I$89,3,0)*VLOOKUP('Données projet'!$B$17,Paramètres!$A$1:$I$89,5,0)</f>
        <v>99.234720000000024</v>
      </c>
      <c r="GB31" s="13">
        <f t="shared" si="49"/>
        <v>26.779598706219044</v>
      </c>
      <c r="GC31" s="20">
        <f t="shared" si="25"/>
        <v>219.47493841333153</v>
      </c>
      <c r="GD31" s="59">
        <f t="shared" si="26"/>
        <v>512.80827174666479</v>
      </c>
      <c r="GE31" s="59">
        <f ca="1">AVERAGE(OFFSET($GD$3,0,0,'Données projet'!$E$17+1,1))-AVERAGE(OFFSET($H$3,0,0,'Données projet'!$E$17+1,1))</f>
        <v>337.76140497227715</v>
      </c>
      <c r="GF31" s="59">
        <f t="shared" si="50"/>
        <v>219.76562717496353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4.1100978260022281</v>
      </c>
      <c r="GM31" s="21">
        <f>EXP(-LN(2)/25)*GM30+(1-EXP(-LN(2)/25))/(LN(2)/25)*Calculateur!GH31*Calculateur!GJ31*VLOOKUP('Données projet'!$B$17,Paramètres!$A$1:$I$89,3,0)*0.475*44/12</f>
        <v>5.1599043445825057</v>
      </c>
      <c r="GN31" s="21">
        <f>EXP(-LN(2)/2)*GN30+(1-EXP(-LN(2)/2))/(LN(2)/2)*GH31*GK31*VLOOKUP('Données projet'!$B$17,Paramètres!$A$1:$I$89,3,0)*0.475*44/12</f>
        <v>2.9155523725135479</v>
      </c>
      <c r="GO31" s="21">
        <f t="shared" si="27"/>
        <v>12.185554543098281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111.80000000000003</v>
      </c>
      <c r="O32" s="13">
        <f>N32*VLOOKUP('Données projet'!$B$9,Paramètres!$A$1:$I$89,3,0)*VLOOKUP('Données projet'!$B$9,Paramètres!$A$1:$I$89,5,0)</f>
        <v>101.15664000000001</v>
      </c>
      <c r="P32" s="13">
        <f t="shared" si="33"/>
        <v>27.237366379381644</v>
      </c>
      <c r="Q32" s="20">
        <f t="shared" si="2"/>
        <v>223.61956111075639</v>
      </c>
      <c r="R32" s="59">
        <f t="shared" si="0"/>
        <v>516.95289444408968</v>
      </c>
      <c r="S32" s="59">
        <f ca="1">AVERAGE(OFFSET($R$3,0,0,'Données projet'!$E$9+1,1))-AVERAGE(OFFSET($H$3,0,0,'Données projet'!$E$9+1,1))</f>
        <v>312.53389584272878</v>
      </c>
      <c r="T32" s="59">
        <f t="shared" si="34"/>
        <v>203.5274665601915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3.7695334878015259</v>
      </c>
      <c r="AA32" s="21">
        <f>EXP(-LN(2)/25)*AA31+(1-EXP(-LN(2)/25))/(LN(2)/25)*Calculateur!V32*Calculateur!X32*VLOOKUP('Données projet'!$B$9,Paramètres!$A$1:$I$89,3,0)*0.475*44/12</f>
        <v>4.6950125219044292</v>
      </c>
      <c r="AB32" s="21">
        <f>EXP(-LN(2)/2)*AB31+(1-EXP(-LN(2)/2))/(LN(2)/2)*V32*Y32*VLOOKUP('Données projet'!$B$9,Paramètres!$A$1:$I$89,3,0)*0.475*44/12</f>
        <v>1.9285999597340917</v>
      </c>
      <c r="AC32" s="22">
        <f t="shared" si="3"/>
        <v>10.393145969440047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14.8</v>
      </c>
      <c r="AI32" s="13">
        <f>IF('Données projet'!$A$62&gt;35,AI31+AH32-AQ31,IF(A32&lt;'Données projet'!$A$62,$AF$205^A32,IF(A32='Données projet'!$A$62,'Données projet'!$B$62,AI31+AH32-AQ31)))</f>
        <v>190.2000000000001</v>
      </c>
      <c r="AJ32" s="13">
        <f>AI32*VLOOKUP('Données projet'!$B$10,Paramètres!$A$1:$I$89,3,0)*VLOOKUP('Données projet'!$B$10,Paramètres!$A$1:$I$89,5,0)</f>
        <v>166.15872000000013</v>
      </c>
      <c r="AK32" s="13">
        <f t="shared" si="35"/>
        <v>42.228563636586422</v>
      </c>
      <c r="AL32" s="20">
        <f t="shared" si="4"/>
        <v>362.94118566705487</v>
      </c>
      <c r="AM32" s="59">
        <f t="shared" si="5"/>
        <v>656.27451900038818</v>
      </c>
      <c r="AN32" s="59">
        <f ca="1">AVERAGE(OFFSET($AM$3,0,0,'Données projet'!$E$10+1,1))-AVERAGE(OFFSET($H$3,0,0,'Données projet'!$E$10+1,1))</f>
        <v>243.05628303465238</v>
      </c>
      <c r="AO32" s="59">
        <f t="shared" si="36"/>
        <v>352.47096767658394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3.7322947034769278</v>
      </c>
      <c r="AV32" s="21">
        <f>EXP(-LN(2)/25)*AV31+(1-EXP(-LN(2)/25))/(LN(2)/25)*Calculateur!AQ32*Calculateur!AS32*VLOOKUP('Données projet'!$B$10,Paramètres!$A$1:$I$89,3,0)*0.475*44/12</f>
        <v>9.9521113423391245</v>
      </c>
      <c r="AW32" s="21">
        <f>EXP(-LN(2)/2)*AW31+(1-EXP(-LN(2)/2))/(LN(2)/2)*AQ32*AT32*VLOOKUP('Données projet'!$B$10,Paramètres!$A$1:$I$89,3,0)*0.475*44/12</f>
        <v>4.0526609626722774</v>
      </c>
      <c r="AX32" s="21">
        <f t="shared" si="6"/>
        <v>17.737067008488332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16.399999999999999</v>
      </c>
      <c r="BD32" s="12">
        <f>IF('Données projet'!$A$88&gt;35,BD31+BC32-BL31,IF(A32&lt;'Données projet'!$A$88,$BA$205^A32,IF(A32='Données projet'!$A$88,'Données projet'!$B$88,BD31+BC32-BL31)))</f>
        <v>188.60000000000005</v>
      </c>
      <c r="BE32" s="13">
        <f>BD32*VLOOKUP('Données projet'!$B$11,Paramètres!$A$1:$I$89,3,0)*VLOOKUP('Données projet'!$B$11,Paramètres!$A$1:$I$89,5,0)</f>
        <v>150.05016000000003</v>
      </c>
      <c r="BF32" s="13">
        <f t="shared" si="37"/>
        <v>38.589984439024605</v>
      </c>
      <c r="BG32" s="20">
        <f t="shared" si="7"/>
        <v>328.5482515646346</v>
      </c>
      <c r="BH32" s="59">
        <f t="shared" si="8"/>
        <v>621.88158489796797</v>
      </c>
      <c r="BI32" s="59">
        <f ca="1">AVERAGE(OFFSET($BH$3,0,0,'Données projet'!$E$11+1,1))-AVERAGE(OFFSET($H$3,0,0,'Données projet'!$E$11+1,1))</f>
        <v>325.72928944930294</v>
      </c>
      <c r="BJ32" s="59">
        <f t="shared" si="38"/>
        <v>318.38876834819752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11.669867387856009</v>
      </c>
      <c r="BQ32" s="21">
        <f>EXP(-LN(2)/25)*BQ31+(1-EXP(-LN(2)/25))/(LN(2)/25)*Calculateur!BL32*Calculateur!BN32*VLOOKUP('Données projet'!$B$11,Paramètres!$A$1:$I$89,3,0)*0.475*44/12</f>
        <v>13.241631368740906</v>
      </c>
      <c r="BR32" s="21">
        <f>EXP(-LN(2)/2)*BR31+(1-EXP(-LN(2)/2))/(LN(2)/2)*BL32*BO32*VLOOKUP('Données projet'!$B$11,Paramètres!$A$1:$I$89,3,0)*0.475*44/12</f>
        <v>3.3534947338906744</v>
      </c>
      <c r="BS32" s="22">
        <f t="shared" si="9"/>
        <v>28.264993490487587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33</v>
      </c>
      <c r="BY32" s="12">
        <f>IF('Données projet'!$A$114&gt;35,BY31+BX32-CG31,IF(A32&lt;'Données projet'!$A$114,$BV$205^A32,IF(A32='Données projet'!$A$114,'Données projet'!$B$114,BY31+BX32-CG31)))</f>
        <v>491.00000000000006</v>
      </c>
      <c r="BZ32" s="13">
        <f>BY32*VLOOKUP('Données projet'!$B$12,Paramètres!$A$1:$I$89,3,0)*VLOOKUP('Données projet'!$B$12,Paramètres!$A$1:$I$89,5,0)</f>
        <v>274.46900000000005</v>
      </c>
      <c r="CA32" s="13">
        <f t="shared" si="39"/>
        <v>65.796795812732981</v>
      </c>
      <c r="CB32" s="20">
        <f t="shared" si="10"/>
        <v>592.62959437384325</v>
      </c>
      <c r="CC32" s="59">
        <f t="shared" si="11"/>
        <v>885.9629277071765</v>
      </c>
      <c r="CD32" s="59">
        <f ca="1">AVERAGE(OFFSET($CC$3,0,0,'Données projet'!$E$12+1,1))-AVERAGE(OFFSET($H$3,0,0,'Données projet'!$E$12+1,1))</f>
        <v>475.54809021014017</v>
      </c>
      <c r="CE32" s="59">
        <f t="shared" si="40"/>
        <v>593.51433014569966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21.256170591362551</v>
      </c>
      <c r="CM32" s="21">
        <f>EXP(-LN(2)/2)*CM31+(1-EXP(-LN(2)/2))/(LN(2)/2)*CG32*CJ32*VLOOKUP('Données projet'!$B$12,Paramètres!$A$1:$I$89,3,0)*0.475*44/12</f>
        <v>4.2786131706297024</v>
      </c>
      <c r="CN32" s="22">
        <f t="shared" si="12"/>
        <v>25.534783761992252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9.1999999999999993</v>
      </c>
      <c r="CT32" s="12">
        <f>IF('Données projet'!$A$140&gt;35,CT31+CS32-DB31,IF(A32&lt;'Données projet'!$A$140,$CQ$205^A32,IF(A32='Données projet'!$A$140,'Données projet'!$B$140,CT31+CS32-DB31)))</f>
        <v>201.2999999999999</v>
      </c>
      <c r="CU32" s="17">
        <f>CT32*VLOOKUP('Données projet'!$B$13,Paramètres!$A$1:$I$89,3,0)*VLOOKUP('Données projet'!$B$13,Paramètres!$A$1:$I$89,5,0)</f>
        <v>94.208399999999955</v>
      </c>
      <c r="CV32" s="13">
        <f t="shared" si="41"/>
        <v>25.577474486943441</v>
      </c>
      <c r="CW32" s="20">
        <f t="shared" si="13"/>
        <v>208.62706473142643</v>
      </c>
      <c r="CX32" s="59">
        <f t="shared" si="14"/>
        <v>501.96039806475972</v>
      </c>
      <c r="CY32" s="59">
        <f ca="1">AVERAGE(OFFSET($CX$3,0,0,'Données projet'!$E$13+1,1))-AVERAGE(OFFSET($H$3,0,0,'Données projet'!$E$13+1,1))</f>
        <v>226.0452828290525</v>
      </c>
      <c r="CZ32" s="59">
        <f t="shared" si="42"/>
        <v>179.89696397462069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2.2571284617348231</v>
      </c>
      <c r="DG32" s="21">
        <f>EXP(-LN(2)/25)*DG31+(1-EXP(-LN(2)/25))/(LN(2)/25)*Calculateur!DB32*Calculateur!DD32*VLOOKUP('Données projet'!$B$13,Paramètres!$A$1:$I$89,3,0)*0.475*44/12</f>
        <v>2.0935331095380243</v>
      </c>
      <c r="DH32" s="21">
        <f>EXP(-LN(2)/2)*DH31+(1-EXP(-LN(2)/2))/(LN(2)/2)*DB32*DE32*VLOOKUP('Données projet'!$B$13,Paramètres!$A$1:$I$89,3,0)*0.475*44/12</f>
        <v>0.55500226792883467</v>
      </c>
      <c r="DI32" s="22">
        <f t="shared" si="15"/>
        <v>4.905663839201682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15.333333333333334</v>
      </c>
      <c r="DO32" s="12">
        <f>IF('Données projet'!$A$166&gt;35,DO31+DN32-DW31,IF(A32&lt;'Données projet'!$A$166,$DL$205^A32,IF(A32='Données projet'!$A$166,'Données projet'!$B$166,DO31+DN32-DW31)))</f>
        <v>207.33333333333334</v>
      </c>
      <c r="DP32" s="17">
        <f>DO32*VLOOKUP('Données projet'!$B$14,Paramètres!$A$1:$I$89,3,0)*VLOOKUP('Données projet'!$B$14,Paramètres!$A$1:$I$89,5,0)</f>
        <v>123.98533333333334</v>
      </c>
      <c r="DQ32" s="13">
        <f t="shared" si="43"/>
        <v>32.60273802554125</v>
      </c>
      <c r="DR32" s="20">
        <f t="shared" si="16"/>
        <v>272.7242242833733</v>
      </c>
      <c r="DS32" s="59">
        <f t="shared" si="17"/>
        <v>566.05755761670662</v>
      </c>
      <c r="DT32" s="59">
        <f ca="1">AVERAGE(OFFSET($DS$3,0,0,'Données projet'!$E$14+1,1))-AVERAGE(OFFSET($H$3,0,0,'Données projet'!$E$14+1,1))</f>
        <v>252.81045065813976</v>
      </c>
      <c r="DU32" s="59">
        <f t="shared" si="44"/>
        <v>254.36590349790589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18.415595742396452</v>
      </c>
      <c r="EB32" s="21">
        <f>EXP(-LN(2)/25)*EB31+(1-EXP(-LN(2)/25))/(LN(2)/25)*Calculateur!DW32*Calculateur!DY32*VLOOKUP('Données projet'!$B$14,Paramètres!$A$1:$I$89,3,0)*0.475*44/12</f>
        <v>16.579381190217987</v>
      </c>
      <c r="EC32" s="21">
        <f>EXP(-LN(2)/2)*EC31+(1-EXP(-LN(2)/2))/(LN(2)/2)*DW32*DZ32*VLOOKUP('Données projet'!$B$14,Paramètres!$A$1:$I$89,3,0)*0.475*44/12</f>
        <v>8.1195426728955802</v>
      </c>
      <c r="ED32" s="22">
        <f t="shared" si="18"/>
        <v>43.114519605510012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16.399999999999999</v>
      </c>
      <c r="EJ32" s="12">
        <f>IF('Données projet'!$A$192&gt;35,EJ31+EI32-ER31,IF(A32&lt;'Données projet'!$A$192,$EG$205^A32,IF(A32='Données projet'!$A$192,'Données projet'!$B$192,EJ31+EI32-ER31)))</f>
        <v>188.60000000000005</v>
      </c>
      <c r="EK32" s="17">
        <f>EJ32*VLOOKUP('Données projet'!$B$15,Paramètres!$A$1:$I$89,3,0)*VLOOKUP('Données projet'!$B$15,Paramètres!$A$1:$I$89,5,0)</f>
        <v>138.28152000000003</v>
      </c>
      <c r="EL32" s="13">
        <f t="shared" si="45"/>
        <v>35.903043322174675</v>
      </c>
      <c r="EM32" s="20">
        <f t="shared" si="19"/>
        <v>303.37144778612094</v>
      </c>
      <c r="EN32" s="59">
        <f t="shared" si="20"/>
        <v>596.70478111945431</v>
      </c>
      <c r="EO32" s="59">
        <f ca="1">AVERAGE(OFFSET($EN$3,0,0,'Données projet'!$E$15+1,1))-AVERAGE(OFFSET($H$3,0,0,'Données projet'!$E$15+1,1))</f>
        <v>296.91321813251051</v>
      </c>
      <c r="EP32" s="59">
        <f t="shared" si="46"/>
        <v>291.0718079639509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8.7254169407536022</v>
      </c>
      <c r="EW32" s="21">
        <f>EXP(-LN(2)/25)*EW31+(1-EXP(-LN(2)/25))/(LN(2)/25)*Calculateur!ER32*Calculateur!ET32*VLOOKUP('Données projet'!$B$15,Paramètres!$A$1:$I$89,3,0)*0.475*44/12</f>
        <v>9.900605621984969</v>
      </c>
      <c r="EX32" s="21">
        <f>EXP(-LN(2)/2)*EX31+(1-EXP(-LN(2)/2))/(LN(2)/2)*ER32*EU32*VLOOKUP('Données projet'!$B$15,Paramètres!$A$1:$I$89,3,0)*0.475*44/12</f>
        <v>3.0904755390757184</v>
      </c>
      <c r="EY32" s="22">
        <f t="shared" si="21"/>
        <v>21.716498101814288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9.1999999999999993</v>
      </c>
      <c r="FE32" s="12">
        <f>IF('Données projet'!$A$218&gt;35,FE31+FD32-FM31,IF(A32&lt;'Données projet'!$A$218,$FB$205^A32,IF(A32='Données projet'!$A$218,'Données projet'!$B$218,FE31+FD32-FM31)))</f>
        <v>111.80000000000003</v>
      </c>
      <c r="FF32" s="17">
        <f>FE32*VLOOKUP('Données projet'!$B$16,Paramètres!$A$1:$I$89,3,0)*VLOOKUP('Données projet'!$B$16,Paramètres!$A$1:$I$89,5,0)</f>
        <v>113.36520000000003</v>
      </c>
      <c r="FG32" s="13">
        <f t="shared" si="47"/>
        <v>30.122456058687614</v>
      </c>
      <c r="FH32" s="20">
        <f t="shared" si="22"/>
        <v>249.9076676355476</v>
      </c>
      <c r="FI32" s="59">
        <f t="shared" si="23"/>
        <v>543.24100096888094</v>
      </c>
      <c r="FJ32" s="59">
        <f ca="1">AVERAGE(OFFSET($FI$3,0,0,'Données projet'!$E$16+1,1))-AVERAGE(OFFSET($H$3,0,0,'Données projet'!$E$16+1,1))</f>
        <v>356.65981389369125</v>
      </c>
      <c r="FK32" s="59">
        <f t="shared" si="48"/>
        <v>231.92898690465887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4.2244771846051599</v>
      </c>
      <c r="FR32" s="21">
        <f>EXP(-LN(2)/25)*FR31+(1-EXP(-LN(2)/25))/(LN(2)/25)*Calculateur!FM32*Calculateur!FO32*VLOOKUP('Données projet'!$B$16,Paramètres!$A$1:$I$89,3,0)*0.475*44/12</f>
        <v>5.2616519642032396</v>
      </c>
      <c r="FS32" s="21">
        <f>EXP(-LN(2)/2)*FS31+(1-EXP(-LN(2)/2))/(LN(2)/2)*FM32*FP32*VLOOKUP('Données projet'!$B$16,Paramètres!$A$1:$I$89,3,0)*0.475*44/12</f>
        <v>2.1613620238399305</v>
      </c>
      <c r="FT32" s="22">
        <f t="shared" si="24"/>
        <v>11.64749117264833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9.1999999999999993</v>
      </c>
      <c r="FZ32" s="12">
        <f>IF('Données projet'!$A$244&gt;35,FZ31+FY32-GH31,IF(A32&lt;'Données projet'!$A$244,$FW$205^A32,IF(A32='Données projet'!$A$244,'Données projet'!$B$244,FZ31+FY32-GH31)))</f>
        <v>111.80000000000003</v>
      </c>
      <c r="GA32" s="17">
        <f>FZ32*VLOOKUP('Données projet'!$B$17,Paramètres!$A$1:$I$89,3,0)*VLOOKUP('Données projet'!$B$17,Paramètres!$A$1:$I$89,5,0)</f>
        <v>108.13296000000003</v>
      </c>
      <c r="GB32" s="13">
        <f t="shared" si="49"/>
        <v>28.890658079177882</v>
      </c>
      <c r="GC32" s="20">
        <f t="shared" si="25"/>
        <v>238.64946815456821</v>
      </c>
      <c r="GD32" s="59">
        <f t="shared" si="26"/>
        <v>531.9828014879015</v>
      </c>
      <c r="GE32" s="59">
        <f ca="1">AVERAGE(OFFSET($GD$3,0,0,'Données projet'!$E$17+1,1))-AVERAGE(OFFSET($H$3,0,0,'Données projet'!$E$17+1,1))</f>
        <v>337.76140497227715</v>
      </c>
      <c r="GF32" s="59">
        <f t="shared" si="50"/>
        <v>219.76562717496353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4.0295013145464615</v>
      </c>
      <c r="GM32" s="21">
        <f>EXP(-LN(2)/25)*GM31+(1-EXP(-LN(2)/25))/(LN(2)/25)*Calculateur!GH32*Calculateur!GJ32*VLOOKUP('Données projet'!$B$17,Paramètres!$A$1:$I$89,3,0)*0.475*44/12</f>
        <v>5.018806488932321</v>
      </c>
      <c r="GN32" s="21">
        <f>EXP(-LN(2)/2)*GN31+(1-EXP(-LN(2)/2))/(LN(2)/2)*GH32*GK32*VLOOKUP('Données projet'!$B$17,Paramètres!$A$1:$I$89,3,0)*0.475*44/12</f>
        <v>2.0616068535088572</v>
      </c>
      <c r="GO32" s="21">
        <f t="shared" si="27"/>
        <v>11.109914656987639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121.00000000000003</v>
      </c>
      <c r="O33" s="13">
        <f>N33*VLOOKUP('Données projet'!$B$9,Paramètres!$A$1:$I$89,3,0)*VLOOKUP('Données projet'!$B$9,Paramètres!$A$1:$I$89,5,0)</f>
        <v>109.48080000000002</v>
      </c>
      <c r="P33" s="13">
        <f t="shared" si="33"/>
        <v>29.208623339903898</v>
      </c>
      <c r="Q33" s="20">
        <f t="shared" si="2"/>
        <v>241.55074565033269</v>
      </c>
      <c r="R33" s="59">
        <f t="shared" si="0"/>
        <v>534.88407898366597</v>
      </c>
      <c r="S33" s="59">
        <f ca="1">AVERAGE(OFFSET($R$3,0,0,'Données projet'!$E$9+1,1))-AVERAGE(OFFSET($H$3,0,0,'Données projet'!$E$9+1,1))</f>
        <v>312.53389584272878</v>
      </c>
      <c r="T33" s="59">
        <f t="shared" si="34"/>
        <v>203.5274665601915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0.129</v>
      </c>
      <c r="X33" s="16">
        <f>IF(ISNA(VLOOKUP(A33,'Données projet'!$A$35:$I$55,6,0)),0%,VLOOKUP(A33,'Données projet'!$A$35:$I$55,6,0)*VLOOKUP('Données projet'!$B$9,Paramètres!$A$1:$I$89,7,0))</f>
        <v>0.17200000000000001</v>
      </c>
      <c r="Y33" s="16">
        <f>IF(ISNA(VLOOKUP(A33,'Données projet'!$A$35:$I$55,7,0)),0%,VLOOKUP(A33,'Données projet'!$A$35:$I$55,7,0))</f>
        <v>0.3</v>
      </c>
      <c r="Z33" s="21">
        <f>EXP(-LN(2)/35)*Z32+(1-EXP(-LN(2)/35))/(LN(2)/35)*V33*W33*VLOOKUP('Données projet'!$B$9,Paramètres!$A$1:$I$89,3,0)*0.475*44/12</f>
        <v>7.3084445483320444</v>
      </c>
      <c r="AA33" s="21">
        <f>EXP(-LN(2)/25)*AA32+(1-EXP(-LN(2)/25))/(LN(2)/25)*Calculateur!V33*Calculateur!X33*VLOOKUP('Données projet'!$B$9,Paramètres!$A$1:$I$89,3,0)*0.475*44/12</f>
        <v>9.3647661275084193</v>
      </c>
      <c r="AB33" s="21">
        <f>EXP(-LN(2)/2)*AB32+(1-EXP(-LN(2)/2))/(LN(2)/2)*V33*Y33*VLOOKUP('Données projet'!$B$9,Paramètres!$A$1:$I$89,3,0)*0.475*44/12</f>
        <v>8.5348325893377019</v>
      </c>
      <c r="AC33" s="22">
        <f t="shared" si="3"/>
        <v>25.208043265178169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205</v>
      </c>
      <c r="AG33" s="12">
        <f>VLOOKUP(A33,'Données projet'!$A$61:$I$81,9,0)</f>
        <v>14.8</v>
      </c>
      <c r="AH33" s="12">
        <f t="array" ref="AH33">INDEX(AG:AG,MIN(IF(ISNUMBER(AG33:AG229),ROW(AG33:AG229),"")))</f>
        <v>14.8</v>
      </c>
      <c r="AI33" s="13">
        <f>IF('Données projet'!$A$62&gt;35,AI32+AH33-AQ32,IF(A33&lt;'Données projet'!$A$62,$AF$205^A33,IF(A33='Données projet'!$A$62,'Données projet'!$B$62,AI32+AH33-AQ32)))</f>
        <v>205.00000000000011</v>
      </c>
      <c r="AJ33" s="13">
        <f>AI33*VLOOKUP('Données projet'!$B$10,Paramètres!$A$1:$I$89,3,0)*VLOOKUP('Données projet'!$B$10,Paramètres!$A$1:$I$89,5,0)</f>
        <v>179.08800000000011</v>
      </c>
      <c r="AK33" s="13">
        <f t="shared" si="35"/>
        <v>45.119223023956877</v>
      </c>
      <c r="AL33" s="20">
        <f t="shared" si="4"/>
        <v>390.4942467667251</v>
      </c>
      <c r="AM33" s="59">
        <f t="shared" si="5"/>
        <v>683.82758010005841</v>
      </c>
      <c r="AN33" s="59">
        <f ca="1">AVERAGE(OFFSET($AM$3,0,0,'Données projet'!$E$10+1,1))-AVERAGE(OFFSET($H$3,0,0,'Données projet'!$E$10+1,1))</f>
        <v>243.05628303465238</v>
      </c>
      <c r="AO33" s="59">
        <f t="shared" si="36"/>
        <v>352.47096767658394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51</v>
      </c>
      <c r="AR33" s="16">
        <f>IF(ISNA(VLOOKUP(A33,'Données projet'!$A$61:$I$81,5,0)),0%,VLOOKUP(A33,'Données projet'!$A$61:$I$81,5,0)*VLOOKUP('Données projet'!$B$10,Paramètres!$A$1:$I$89,7,0))</f>
        <v>8.6000000000000007E-2</v>
      </c>
      <c r="AS33" s="16">
        <f>IF(ISNA(VLOOKUP(A33,'Données projet'!$A$61:$I$81,6,0)),0%,VLOOKUP(A33,'Données projet'!$A$61:$I$81,6,0)*VLOOKUP('Données projet'!$B$10,Paramètres!$A$1:$I$89,7,0))</f>
        <v>0.17200000000000001</v>
      </c>
      <c r="AT33" s="16">
        <f>IF(ISNA(VLOOKUP(A33,'Données projet'!$A$61:$I$81,7,0)),0%,VLOOKUP(A33,'Données projet'!$A$61:$I$81,7,0))</f>
        <v>0.2</v>
      </c>
      <c r="AU33" s="21">
        <f>EXP(-LN(2)/35)*AU32+(1-EXP(-LN(2)/35))/(LN(2)/35)*AQ33*AR33*VLOOKUP('Données projet'!$B$10,Paramètres!$A$1:$I$89,3,0)*0.475*44/12</f>
        <v>7.8948375995508275</v>
      </c>
      <c r="AV33" s="21">
        <f>EXP(-LN(2)/25)*AV32+(1-EXP(-LN(2)/25))/(LN(2)/25)*Calculateur!AQ33*Calculateur!AS33*VLOOKUP('Données projet'!$B$10,Paramètres!$A$1:$I$89,3,0)*0.475*44/12</f>
        <v>18.11807679865813</v>
      </c>
      <c r="AW33" s="21">
        <f>EXP(-LN(2)/2)*AW32+(1-EXP(-LN(2)/2))/(LN(2)/2)*AQ33*AT33*VLOOKUP('Données projet'!$B$10,Paramètres!$A$1:$I$89,3,0)*0.475*44/12</f>
        <v>11.273168197068093</v>
      </c>
      <c r="AX33" s="21">
        <f t="shared" si="6"/>
        <v>37.286082595277051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205</v>
      </c>
      <c r="BB33" s="12">
        <f>VLOOKUP(A33,'Données projet'!$A$87:$I$107,9,0)</f>
        <v>16.399999999999999</v>
      </c>
      <c r="BC33" s="12">
        <f t="array" ref="BC33">INDEX(BB:BB,MIN(IF(ISNUMBER(BB33:BB229),ROW(BB33:BB229),"")))</f>
        <v>16.399999999999999</v>
      </c>
      <c r="BD33" s="12">
        <f>IF('Données projet'!$A$88&gt;35,BD32+BC33-BL32,IF(A33&lt;'Données projet'!$A$88,$BA$205^A33,IF(A33='Données projet'!$A$88,'Données projet'!$B$88,BD32+BC33-BL32)))</f>
        <v>205.00000000000006</v>
      </c>
      <c r="BE33" s="13">
        <f>BD33*VLOOKUP('Données projet'!$B$11,Paramètres!$A$1:$I$89,3,0)*VLOOKUP('Données projet'!$B$11,Paramètres!$A$1:$I$89,5,0)</f>
        <v>163.09800000000004</v>
      </c>
      <c r="BF33" s="13">
        <f t="shared" si="37"/>
        <v>41.540496136845142</v>
      </c>
      <c r="BG33" s="20">
        <f t="shared" si="7"/>
        <v>356.41204743833867</v>
      </c>
      <c r="BH33" s="59">
        <f t="shared" si="8"/>
        <v>649.74538077167199</v>
      </c>
      <c r="BI33" s="59">
        <f ca="1">AVERAGE(OFFSET($BH$3,0,0,'Données projet'!$E$11+1,1))-AVERAGE(OFFSET($H$3,0,0,'Données projet'!$E$11+1,1))</f>
        <v>325.72928944930294</v>
      </c>
      <c r="BJ33" s="59">
        <f t="shared" si="38"/>
        <v>318.38876834819752</v>
      </c>
      <c r="BK33" s="15">
        <f>IF(ISNA(VLOOKUP(A33,'Données projet'!$A$87:$I$107,3,0)),0,VLOOKUP(A33,'Données projet'!$A$87:$I$107,3,0))</f>
        <v>5</v>
      </c>
      <c r="BL33" s="15">
        <f>IF(ISNA(VLOOKUP(A33,'Données projet'!$A$87:$I$107,4,0)),0,VLOOKUP(A33,'Données projet'!$A$87:$I$107,4,0))</f>
        <v>42</v>
      </c>
      <c r="BM33" s="16">
        <f>IF(ISNA(VLOOKUP(A33,'Données projet'!$A$87:$I$107,5,0)),0%,VLOOKUP(A33,'Données projet'!$A$87:$I$107,5,0)*VLOOKUP('Données projet'!$B$11,Paramètres!$A$1:$I$89,7,0))</f>
        <v>0.159</v>
      </c>
      <c r="BN33" s="16">
        <f>IF(ISNA(VLOOKUP(A33,'Données projet'!$A$87:$I$107,6,0)),0%,VLOOKUP(A33,'Données projet'!$A$87:$I$107,6,0)*VLOOKUP('Données projet'!$B$11,Paramètres!$A$1:$I$89,7,0))</f>
        <v>0.21200000000000002</v>
      </c>
      <c r="BO33" s="16">
        <f>IF(ISNA(VLOOKUP(A33,'Données projet'!$A$87:$I$107,7,0)),0%,VLOOKUP(A33,'Données projet'!$A$87:$I$107,7,0))</f>
        <v>0.3</v>
      </c>
      <c r="BP33" s="21">
        <f>EXP(-LN(2)/35)*BP32+(1-EXP(-LN(2)/35))/(LN(2)/35)*BL33*BM33*VLOOKUP('Données projet'!$B$11,Paramètres!$A$1:$I$89,3,0)*0.475*44/12</f>
        <v>17.314411104657363</v>
      </c>
      <c r="BQ33" s="21">
        <f>EXP(-LN(2)/25)*BQ32+(1-EXP(-LN(2)/25))/(LN(2)/25)*Calculateur!BL33*Calculateur!BN33*VLOOKUP('Données projet'!$B$11,Paramètres!$A$1:$I$89,3,0)*0.475*44/12</f>
        <v>20.679880866273201</v>
      </c>
      <c r="BR33" s="21">
        <f>EXP(-LN(2)/2)*BR32+(1-EXP(-LN(2)/2))/(LN(2)/2)*BL33*BO33*VLOOKUP('Données projet'!$B$11,Paramètres!$A$1:$I$89,3,0)*0.475*44/12</f>
        <v>11.829721034084063</v>
      </c>
      <c r="BS33" s="22">
        <f t="shared" si="9"/>
        <v>49.824013005014621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524</v>
      </c>
      <c r="BW33" s="12">
        <f>VLOOKUP(A33,'Données projet'!$A$113:$I$133,9,0)</f>
        <v>33</v>
      </c>
      <c r="BX33" s="12">
        <f t="array" ref="BX33">INDEX(BW:BW,MIN(IF(ISNUMBER(BW33:BW229),ROW(BW33:BW229),"")))</f>
        <v>33</v>
      </c>
      <c r="BY33" s="12">
        <f>IF('Données projet'!$A$114&gt;35,BY32+BX33-CG32,IF(A33&lt;'Données projet'!$A$114,$BV$205^A33,IF(A33='Données projet'!$A$114,'Données projet'!$B$114,BY32+BX33-CG32)))</f>
        <v>524</v>
      </c>
      <c r="BZ33" s="13">
        <f>BY33*VLOOKUP('Données projet'!$B$12,Paramètres!$A$1:$I$89,3,0)*VLOOKUP('Données projet'!$B$12,Paramètres!$A$1:$I$89,5,0)</f>
        <v>292.916</v>
      </c>
      <c r="CA33" s="13">
        <f t="shared" si="39"/>
        <v>69.68932587703776</v>
      </c>
      <c r="CB33" s="20">
        <f t="shared" si="10"/>
        <v>631.53760923584082</v>
      </c>
      <c r="CC33" s="59">
        <f t="shared" si="11"/>
        <v>924.87094256917408</v>
      </c>
      <c r="CD33" s="59">
        <f ca="1">AVERAGE(OFFSET($CC$3,0,0,'Données projet'!$E$12+1,1))-AVERAGE(OFFSET($H$3,0,0,'Données projet'!$E$12+1,1))</f>
        <v>475.54809021014017</v>
      </c>
      <c r="CE33" s="59">
        <f t="shared" si="40"/>
        <v>593.51433014569966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90</v>
      </c>
      <c r="CH33" s="16">
        <f>IF(ISNA(VLOOKUP(A33,'Données projet'!$A$113:$I$133,5,0)),0%,VLOOKUP(A33,'Données projet'!$A$113:$I$133,5,0)*VLOOKUP('Données projet'!$B$12,Paramètres!$A$1:$I$89,7,0))</f>
        <v>0.11000000000000001</v>
      </c>
      <c r="CI33" s="16">
        <f>IF(ISNA(VLOOKUP(A33,'Données projet'!$A$113:$I$133,6,0)),0%,VLOOKUP(A33,'Données projet'!$A$113:$I$133,6,0)*VLOOKUP('Données projet'!$B$12,Paramètres!$A$1:$I$89,7,0))</f>
        <v>0.33</v>
      </c>
      <c r="CJ33" s="16">
        <f>IF(ISNA(VLOOKUP(A33,'Données projet'!$A$113:$I$133,7,0)),0%,VLOOKUP(A33,'Données projet'!$A$113:$I$133,7,0))</f>
        <v>0.2</v>
      </c>
      <c r="CK33" s="21">
        <f>EXP(-LN(2)/35)*CK32+(1-EXP(-LN(2)/35))/(LN(2)/35)*CG33*CH33*VLOOKUP('Données projet'!$B$12,Paramètres!$A$1:$I$89,3,0)*0.475*44/12</f>
        <v>7.3413403528479604</v>
      </c>
      <c r="CL33" s="21">
        <f>EXP(-LN(2)/25)*CL32+(1-EXP(-LN(2)/25))/(LN(2)/25)*Calculateur!CG33*Calculateur!CI33*VLOOKUP('Données projet'!$B$12,Paramètres!$A$1:$I$89,3,0)*0.475*44/12</f>
        <v>42.612223584554776</v>
      </c>
      <c r="CM33" s="21">
        <f>EXP(-LN(2)/2)*CM32+(1-EXP(-LN(2)/2))/(LN(2)/2)*CG33*CJ33*VLOOKUP('Données projet'!$B$12,Paramètres!$A$1:$I$89,3,0)*0.475*44/12</f>
        <v>14.417957764737636</v>
      </c>
      <c r="CN33" s="22">
        <f t="shared" si="12"/>
        <v>64.37152170214037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210.5</v>
      </c>
      <c r="CR33" s="12">
        <f>VLOOKUP(A33,'Données projet'!$A$139:$I$159,9,0)</f>
        <v>9.1999999999999993</v>
      </c>
      <c r="CS33" s="12">
        <f t="array" ref="CS33">INDEX(CR:CR,MIN(IF(ISNUMBER(CR33:CR229),ROW(CR33:CR229),"")))</f>
        <v>9.1999999999999993</v>
      </c>
      <c r="CT33" s="12">
        <f>IF('Données projet'!$A$140&gt;35,CT32+CS33-DB32,IF(A33&lt;'Données projet'!$A$140,$CQ$205^A33,IF(A33='Données projet'!$A$140,'Données projet'!$B$140,CT32+CS33-DB32)))</f>
        <v>210.49999999999989</v>
      </c>
      <c r="CU33" s="17">
        <f>CT33*VLOOKUP('Données projet'!$B$13,Paramètres!$A$1:$I$89,3,0)*VLOOKUP('Données projet'!$B$13,Paramètres!$A$1:$I$89,5,0)</f>
        <v>98.513999999999953</v>
      </c>
      <c r="CV33" s="13">
        <f t="shared" si="41"/>
        <v>26.607670659193456</v>
      </c>
      <c r="CW33" s="20">
        <f t="shared" si="13"/>
        <v>217.92024306476185</v>
      </c>
      <c r="CX33" s="59">
        <f t="shared" si="14"/>
        <v>511.25357639809516</v>
      </c>
      <c r="CY33" s="59">
        <f ca="1">AVERAGE(OFFSET($CX$3,0,0,'Données projet'!$E$13+1,1))-AVERAGE(OFFSET($H$3,0,0,'Données projet'!$E$13+1,1))</f>
        <v>226.0452828290525</v>
      </c>
      <c r="CZ33" s="59">
        <f t="shared" si="42"/>
        <v>179.89696397462069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67</v>
      </c>
      <c r="DC33" s="16">
        <f>IF(ISNA(VLOOKUP(A33,'Données projet'!$A$139:$I$159,5,0)),0%,VLOOKUP(A33,'Données projet'!$A$139:$I$159,5,0)*VLOOKUP('Données projet'!$B$13,Paramètres!$A$1:$I$89,7,0))</f>
        <v>0.16500000000000001</v>
      </c>
      <c r="DD33" s="16">
        <f>IF(ISNA(VLOOKUP(A33,'Données projet'!$A$139:$I$159,6,0)),0%,VLOOKUP(A33,'Données projet'!$A$139:$I$159,6,0)*VLOOKUP('Données projet'!$B$13,Paramètres!$A$1:$I$89,7,0))</f>
        <v>0.22000000000000003</v>
      </c>
      <c r="DE33" s="16">
        <f>IF(ISNA(VLOOKUP(A33,'Données projet'!$A$139:$I$159,7,0)),0%,VLOOKUP(A33,'Données projet'!$A$139:$I$159,7,0))</f>
        <v>0.3</v>
      </c>
      <c r="DF33" s="21">
        <f>EXP(-LN(2)/35)*DF32+(1-EXP(-LN(2)/35))/(LN(2)/35)*DB33*DC33*VLOOKUP('Données projet'!$B$13,Paramètres!$A$1:$I$89,3,0)*0.475*44/12</f>
        <v>9.0761671349983928</v>
      </c>
      <c r="DG33" s="21">
        <f>EXP(-LN(2)/25)*DG32+(1-EXP(-LN(2)/25))/(LN(2)/25)*Calculateur!DB33*Calculateur!DD33*VLOOKUP('Données projet'!$B$13,Paramètres!$A$1:$I$89,3,0)*0.475*44/12</f>
        <v>11.151320216689932</v>
      </c>
      <c r="DH33" s="21">
        <f>EXP(-LN(2)/2)*DH32+(1-EXP(-LN(2)/2))/(LN(2)/2)*DB33*DE33*VLOOKUP('Données projet'!$B$13,Paramètres!$A$1:$I$89,3,0)*0.475*44/12</f>
        <v>11.043128643598349</v>
      </c>
      <c r="DI33" s="22">
        <f t="shared" si="15"/>
        <v>31.270615995286676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15.333333333333334</v>
      </c>
      <c r="DO33" s="12">
        <f>IF('Données projet'!$A$166&gt;35,DO32+DN33-DW32,IF(A33&lt;'Données projet'!$A$166,$DL$205^A33,IF(A33='Données projet'!$A$166,'Données projet'!$B$166,DO32+DN33-DW32)))</f>
        <v>222.66666666666669</v>
      </c>
      <c r="DP33" s="17">
        <f>DO33*VLOOKUP('Données projet'!$B$14,Paramètres!$A$1:$I$89,3,0)*VLOOKUP('Données projet'!$B$14,Paramètres!$A$1:$I$89,5,0)</f>
        <v>133.15466666666669</v>
      </c>
      <c r="DQ33" s="13">
        <f t="shared" si="43"/>
        <v>34.724289843216837</v>
      </c>
      <c r="DR33" s="20">
        <f t="shared" si="16"/>
        <v>292.38918258804711</v>
      </c>
      <c r="DS33" s="59">
        <f t="shared" si="17"/>
        <v>585.72251592138036</v>
      </c>
      <c r="DT33" s="59">
        <f ca="1">AVERAGE(OFFSET($DS$3,0,0,'Données projet'!$E$14+1,1))-AVERAGE(OFFSET($H$3,0,0,'Données projet'!$E$14+1,1))</f>
        <v>252.81045065813976</v>
      </c>
      <c r="DU33" s="59">
        <f t="shared" si="44"/>
        <v>254.36590349790589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18.054477142292352</v>
      </c>
      <c r="EB33" s="21">
        <f>EXP(-LN(2)/25)*EB32+(1-EXP(-LN(2)/25))/(LN(2)/25)*Calculateur!DW33*Calculateur!DY33*VLOOKUP('Données projet'!$B$14,Paramètres!$A$1:$I$89,3,0)*0.475*44/12</f>
        <v>16.126017139699712</v>
      </c>
      <c r="EC33" s="21">
        <f>EXP(-LN(2)/2)*EC32+(1-EXP(-LN(2)/2))/(LN(2)/2)*DW33*DZ33*VLOOKUP('Données projet'!$B$14,Paramètres!$A$1:$I$89,3,0)*0.475*44/12</f>
        <v>5.741383684138011</v>
      </c>
      <c r="ED33" s="22">
        <f t="shared" si="18"/>
        <v>39.921877966130083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205</v>
      </c>
      <c r="EH33" s="12">
        <f>VLOOKUP(A33,'Données projet'!$A$191:$I$211,9,0)</f>
        <v>16.399999999999999</v>
      </c>
      <c r="EI33" s="12">
        <f t="array" ref="EI33">INDEX(EH:EH,MIN(IF(ISNUMBER(EH33:EH229),ROW(EH33:EH229),"")))</f>
        <v>16.399999999999999</v>
      </c>
      <c r="EJ33" s="12">
        <f>IF('Données projet'!$A$192&gt;35,EJ32+EI33-ER32,IF(A33&lt;'Données projet'!$A$192,$EG$205^A33,IF(A33='Données projet'!$A$192,'Données projet'!$B$192,EJ32+EI33-ER32)))</f>
        <v>205.00000000000006</v>
      </c>
      <c r="EK33" s="17">
        <f>EJ33*VLOOKUP('Données projet'!$B$15,Paramètres!$A$1:$I$89,3,0)*VLOOKUP('Données projet'!$B$15,Paramètres!$A$1:$I$89,5,0)</f>
        <v>150.30600000000004</v>
      </c>
      <c r="EL33" s="13">
        <f t="shared" si="45"/>
        <v>38.648116968856677</v>
      </c>
      <c r="EM33" s="20">
        <f t="shared" si="19"/>
        <v>329.09508705409212</v>
      </c>
      <c r="EN33" s="59">
        <f t="shared" si="20"/>
        <v>622.42842038742538</v>
      </c>
      <c r="EO33" s="59">
        <f ca="1">AVERAGE(OFFSET($EN$3,0,0,'Données projet'!$E$15+1,1))-AVERAGE(OFFSET($H$3,0,0,'Données projet'!$E$15+1,1))</f>
        <v>296.91321813251051</v>
      </c>
      <c r="EP33" s="59">
        <f t="shared" si="46"/>
        <v>291.0718079639509</v>
      </c>
      <c r="EQ33" s="15">
        <f>IF(ISNA(VLOOKUP(A33,'Données projet'!$A$191:$I$211,3,0)),0,VLOOKUP(A33,'Données projet'!$A$191:$I$211,3,0))</f>
        <v>5</v>
      </c>
      <c r="ER33" s="15">
        <f>IF(ISNA(VLOOKUP(A33,'Données projet'!$A$191:$I$211,4,0)),0,VLOOKUP(A33,'Données projet'!$A$191:$I$211,4,0))</f>
        <v>42</v>
      </c>
      <c r="ES33" s="16">
        <f>IF(ISNA(VLOOKUP(A33,'Données projet'!$A$191:$I$211,5,0)),0%,VLOOKUP(A33,'Données projet'!$A$191:$I$211,5,0)*VLOOKUP('Données projet'!$B$15,Paramètres!$A$1:$I$89,7,0))</f>
        <v>0.129</v>
      </c>
      <c r="ET33" s="16">
        <f>IF(ISNA(VLOOKUP(A33,'Données projet'!$A$191:$I$211,6,0)),0%,VLOOKUP(A33,'Données projet'!$A$191:$I$211,6,0)*VLOOKUP('Données projet'!$B$15,Paramètres!$A$1:$I$89,7,0))</f>
        <v>0.17200000000000001</v>
      </c>
      <c r="EU33" s="16">
        <f>IF(ISNA(VLOOKUP(A33,'Données projet'!$A$191:$I$211,7,0)),0%,VLOOKUP(A33,'Données projet'!$A$191:$I$211,7,0))</f>
        <v>0.3</v>
      </c>
      <c r="EV33" s="21">
        <f>EXP(-LN(2)/35)*EV32+(1-EXP(-LN(2)/35))/(LN(2)/35)*ER33*ES33*VLOOKUP('Données projet'!$B$15,Paramètres!$A$1:$I$89,3,0)*0.475*44/12</f>
        <v>12.945773156682399</v>
      </c>
      <c r="EW33" s="21">
        <f>EXP(-LN(2)/25)*EW32+(1-EXP(-LN(2)/25))/(LN(2)/25)*Calculateur!ER33*Calculateur!ET33*VLOOKUP('Données projet'!$B$15,Paramètres!$A$1:$I$89,3,0)*0.475*44/12</f>
        <v>15.462093685067753</v>
      </c>
      <c r="EX33" s="21">
        <f>EXP(-LN(2)/2)*EX32+(1-EXP(-LN(2)/2))/(LN(2)/2)*ER33*EU33*VLOOKUP('Données projet'!$B$15,Paramètres!$A$1:$I$89,3,0)*0.475*44/12</f>
        <v>10.90189977650884</v>
      </c>
      <c r="EY33" s="22">
        <f t="shared" si="21"/>
        <v>39.30976661825899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121</v>
      </c>
      <c r="FC33" s="12">
        <f>VLOOKUP(A33,'Données projet'!$A$217:$I$237,9,0)</f>
        <v>9.1999999999999993</v>
      </c>
      <c r="FD33" s="12">
        <f t="array" ref="FD33">INDEX(FC:FC,MIN(IF(ISNUMBER(FC33:FC229),ROW(FC33:FC229),"")))</f>
        <v>9.1999999999999993</v>
      </c>
      <c r="FE33" s="12">
        <f>IF('Données projet'!$A$218&gt;35,FE32+FD33-FM32,IF(A33&lt;'Données projet'!$A$218,$FB$205^A33,IF(A33='Données projet'!$A$218,'Données projet'!$B$218,FE32+FD33-FM32)))</f>
        <v>121.00000000000003</v>
      </c>
      <c r="FF33" s="17">
        <f>FE33*VLOOKUP('Données projet'!$B$16,Paramètres!$A$1:$I$89,3,0)*VLOOKUP('Données projet'!$B$16,Paramètres!$A$1:$I$89,5,0)</f>
        <v>122.69400000000003</v>
      </c>
      <c r="FG33" s="13">
        <f t="shared" si="47"/>
        <v>32.302516360650685</v>
      </c>
      <c r="FH33" s="20">
        <f t="shared" si="22"/>
        <v>269.95226599480003</v>
      </c>
      <c r="FI33" s="59">
        <f t="shared" si="23"/>
        <v>563.28559932813334</v>
      </c>
      <c r="FJ33" s="59">
        <f ca="1">AVERAGE(OFFSET($FI$3,0,0,'Données projet'!$E$16+1,1))-AVERAGE(OFFSET($H$3,0,0,'Données projet'!$E$16+1,1))</f>
        <v>356.65981389369125</v>
      </c>
      <c r="FK33" s="59">
        <f t="shared" si="48"/>
        <v>231.92898690465887</v>
      </c>
      <c r="FL33" s="15">
        <f>IF(ISNA(VLOOKUP(A33,'Données projet'!$A$217:$I$237,3,0)),0,VLOOKUP(A33,'Données projet'!$A$217:$I$237,3,0))</f>
        <v>3</v>
      </c>
      <c r="FM33" s="15">
        <f>IF(ISNA(VLOOKUP(A33,'Données projet'!$A$217:$I$237,4,0)),0,VLOOKUP(A33,'Données projet'!$A$217:$I$237,4,0))</f>
        <v>28</v>
      </c>
      <c r="FN33" s="16">
        <f>IF(ISNA(VLOOKUP(A33,'Données projet'!$A$217:$I$237,5,0)),0%,VLOOKUP(A33,'Données projet'!$A$217:$I$237,5,0)*VLOOKUP('Données projet'!$B$16,Paramètres!$A$1:$I$89,7,0))</f>
        <v>0.129</v>
      </c>
      <c r="FO33" s="16">
        <f>IF(ISNA(VLOOKUP(A33,'Données projet'!$A$217:$I$237,6,0)),0%,VLOOKUP(A33,'Données projet'!$A$217:$I$237,6,0)*VLOOKUP('Données projet'!$B$16,Paramètres!$A$1:$I$89,7,0))</f>
        <v>0.17200000000000001</v>
      </c>
      <c r="FP33" s="16">
        <f>IF(ISNA(VLOOKUP(A33,'Données projet'!$A$217:$I$237,7,0)),0%,VLOOKUP(A33,'Données projet'!$A$217:$I$237,7,0))</f>
        <v>0.3</v>
      </c>
      <c r="FQ33" s="21">
        <f>EXP(-LN(2)/35)*FQ32+(1-EXP(-LN(2)/35))/(LN(2)/35)*FM33*FN33*VLOOKUP('Données projet'!$B$16,Paramètres!$A$1:$I$89,3,0)*0.475*44/12</f>
        <v>8.1904982007169487</v>
      </c>
      <c r="FR33" s="21">
        <f>EXP(-LN(2)/25)*FR32+(1-EXP(-LN(2)/25))/(LN(2)/25)*Calculateur!FM33*Calculateur!FO33*VLOOKUP('Données projet'!$B$16,Paramètres!$A$1:$I$89,3,0)*0.475*44/12</f>
        <v>10.49499652220771</v>
      </c>
      <c r="FS33" s="21">
        <f>EXP(-LN(2)/2)*FS32+(1-EXP(-LN(2)/2))/(LN(2)/2)*FM33*FP33*VLOOKUP('Données projet'!$B$16,Paramètres!$A$1:$I$89,3,0)*0.475*44/12</f>
        <v>9.5648985914991496</v>
      </c>
      <c r="FT33" s="22">
        <f t="shared" si="24"/>
        <v>28.25039331442381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121</v>
      </c>
      <c r="FX33" s="12">
        <f>VLOOKUP(A33,'Données projet'!$A$243:$I$263,9,0)</f>
        <v>9.1999999999999993</v>
      </c>
      <c r="FY33" s="12">
        <f t="array" ref="FY33">INDEX(FX:FX,MIN(IF(ISNUMBER(FX33:FX229),ROW(FX33:FX229),"")))</f>
        <v>9.1999999999999993</v>
      </c>
      <c r="FZ33" s="12">
        <f>IF('Données projet'!$A$244&gt;35,FZ32+FY33-GH32,IF(A33&lt;'Données projet'!$A$244,$FW$205^A33,IF(A33='Données projet'!$A$244,'Données projet'!$B$244,FZ32+FY33-GH32)))</f>
        <v>121.00000000000003</v>
      </c>
      <c r="GA33" s="17">
        <f>FZ33*VLOOKUP('Données projet'!$B$17,Paramètres!$A$1:$I$89,3,0)*VLOOKUP('Données projet'!$B$17,Paramètres!$A$1:$I$89,5,0)</f>
        <v>117.03120000000003</v>
      </c>
      <c r="GB33" s="13">
        <f t="shared" si="49"/>
        <v>30.981569147428555</v>
      </c>
      <c r="GC33" s="20">
        <f t="shared" si="25"/>
        <v>257.78890626510474</v>
      </c>
      <c r="GD33" s="59">
        <f t="shared" si="26"/>
        <v>551.122239598438</v>
      </c>
      <c r="GE33" s="59">
        <f ca="1">AVERAGE(OFFSET($GD$3,0,0,'Données projet'!$E$17+1,1))-AVERAGE(OFFSET($H$3,0,0,'Données projet'!$E$17+1,1))</f>
        <v>337.76140497227715</v>
      </c>
      <c r="GF33" s="59">
        <f t="shared" si="50"/>
        <v>219.76562717496353</v>
      </c>
      <c r="GG33" s="15">
        <f>IF(ISNA(VLOOKUP(A33,'Données projet'!$A$243:$I$263,3,0)),0,VLOOKUP(A33,'Données projet'!$A$243:$I$263,3,0))</f>
        <v>3</v>
      </c>
      <c r="GH33" s="15">
        <f>IF(ISNA(VLOOKUP(A33,'Données projet'!$A$243:$I$263,4,0)),0,VLOOKUP(A33,'Données projet'!$A$243:$I$263,4,0))</f>
        <v>28</v>
      </c>
      <c r="GI33" s="16">
        <f>IF(ISNA(VLOOKUP(A33,'Données projet'!$A$243:$I$263,5,0)),0%,VLOOKUP(A33,'Données projet'!$A$243:$I$263,5,0)*VLOOKUP('Données projet'!$B$17,Paramètres!$A$1:$I$89,7,0))</f>
        <v>0.129</v>
      </c>
      <c r="GJ33" s="16">
        <f>IF(ISNA(VLOOKUP(A33,'Données projet'!$A$243:$I$263,6,0)),0%,VLOOKUP(A33,'Données projet'!$A$243:$I$263,6,0)*VLOOKUP('Données projet'!$B$17,Paramètres!$A$1:$I$89,7,0))</f>
        <v>0.17200000000000001</v>
      </c>
      <c r="GK33" s="16">
        <f>IF(ISNA(VLOOKUP(A33,'Données projet'!$A$243:$I$263,7,0)),0%,VLOOKUP(A33,'Données projet'!$A$243:$I$263,7,0))</f>
        <v>0.3</v>
      </c>
      <c r="GL33" s="21">
        <f>EXP(-LN(2)/35)*GL32+(1-EXP(-LN(2)/35))/(LN(2)/35)*GH33*GI33*VLOOKUP('Données projet'!$B$17,Paramètres!$A$1:$I$89,3,0)*0.475*44/12</f>
        <v>7.8124752068377052</v>
      </c>
      <c r="GM33" s="21">
        <f>EXP(-LN(2)/25)*GM32+(1-EXP(-LN(2)/25))/(LN(2)/25)*Calculateur!GH33*Calculateur!GJ33*VLOOKUP('Données projet'!$B$17,Paramètres!$A$1:$I$89,3,0)*0.475*44/12</f>
        <v>10.010612067336588</v>
      </c>
      <c r="GN33" s="21">
        <f>EXP(-LN(2)/2)*GN32+(1-EXP(-LN(2)/2))/(LN(2)/2)*GH33*GK33*VLOOKUP('Données projet'!$B$17,Paramètres!$A$1:$I$89,3,0)*0.475*44/12</f>
        <v>9.12344173342996</v>
      </c>
      <c r="GO33" s="21">
        <f t="shared" si="27"/>
        <v>26.946529007604251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103.80000000000004</v>
      </c>
      <c r="O34" s="13">
        <f>N34*VLOOKUP('Données projet'!$B$9,Paramètres!$A$1:$I$89,3,0)*VLOOKUP('Données projet'!$B$9,Paramètres!$A$1:$I$89,5,0)</f>
        <v>93.91824000000004</v>
      </c>
      <c r="P34" s="13">
        <f t="shared" si="33"/>
        <v>25.507853654186022</v>
      </c>
      <c r="Q34" s="20">
        <f t="shared" si="2"/>
        <v>208.00044644770739</v>
      </c>
      <c r="R34" s="59">
        <f t="shared" si="0"/>
        <v>501.33377978104068</v>
      </c>
      <c r="S34" s="59">
        <f ca="1">AVERAGE(OFFSET($R$3,0,0,'Données projet'!$E$9+1,1))-AVERAGE(OFFSET($H$3,0,0,'Données projet'!$E$9+1,1))</f>
        <v>312.53389584272878</v>
      </c>
      <c r="T34" s="59">
        <f t="shared" si="34"/>
        <v>203.5274665601915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7.1651304084502652</v>
      </c>
      <c r="AA34" s="21">
        <f>EXP(-LN(2)/25)*AA33+(1-EXP(-LN(2)/25))/(LN(2)/25)*Calculateur!V34*Calculateur!X34*VLOOKUP('Données projet'!$B$9,Paramètres!$A$1:$I$89,3,0)*0.475*44/12</f>
        <v>9.1086861052800536</v>
      </c>
      <c r="AB34" s="21">
        <f>EXP(-LN(2)/2)*AB33+(1-EXP(-LN(2)/2))/(LN(2)/2)*V34*Y34*VLOOKUP('Données projet'!$B$9,Paramètres!$A$1:$I$89,3,0)*0.475*44/12</f>
        <v>6.03503800021263</v>
      </c>
      <c r="AC34" s="22">
        <f t="shared" si="3"/>
        <v>22.308854513942947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13.6</v>
      </c>
      <c r="AI34" s="13">
        <f>IF('Données projet'!$A$62&gt;35,AI33+AH34-AQ33,IF(A34&lt;'Données projet'!$A$62,$AF$205^A34,IF(A34='Données projet'!$A$62,'Données projet'!$B$62,AI33+AH34-AQ33)))</f>
        <v>167.60000000000011</v>
      </c>
      <c r="AJ34" s="13">
        <f>AI34*VLOOKUP('Données projet'!$B$10,Paramètres!$A$1:$I$89,3,0)*VLOOKUP('Données projet'!$B$10,Paramètres!$A$1:$I$89,5,0)</f>
        <v>146.41536000000011</v>
      </c>
      <c r="AK34" s="13">
        <f t="shared" si="35"/>
        <v>37.762820103024502</v>
      </c>
      <c r="AL34" s="20">
        <f t="shared" si="4"/>
        <v>320.77699701276782</v>
      </c>
      <c r="AM34" s="59">
        <f t="shared" si="5"/>
        <v>614.11033034610114</v>
      </c>
      <c r="AN34" s="59">
        <f ca="1">AVERAGE(OFFSET($AM$3,0,0,'Données projet'!$E$10+1,1))-AVERAGE(OFFSET($H$3,0,0,'Données projet'!$E$10+1,1))</f>
        <v>243.05628303465238</v>
      </c>
      <c r="AO34" s="59">
        <f t="shared" si="36"/>
        <v>352.47096767658394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7.7400246495990928</v>
      </c>
      <c r="AV34" s="21">
        <f>EXP(-LN(2)/25)*AV33+(1-EXP(-LN(2)/25))/(LN(2)/25)*Calculateur!AQ34*Calculateur!AS34*VLOOKUP('Données projet'!$B$10,Paramètres!$A$1:$I$89,3,0)*0.475*44/12</f>
        <v>17.622637035810573</v>
      </c>
      <c r="AW34" s="21">
        <f>EXP(-LN(2)/2)*AW33+(1-EXP(-LN(2)/2))/(LN(2)/2)*AQ34*AT34*VLOOKUP('Données projet'!$B$10,Paramètres!$A$1:$I$89,3,0)*0.475*44/12</f>
        <v>7.9713336776033756</v>
      </c>
      <c r="AX34" s="21">
        <f t="shared" si="6"/>
        <v>33.333995363013045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15.2</v>
      </c>
      <c r="BD34" s="12">
        <f>IF('Données projet'!$A$88&gt;35,BD33+BC34-BL33,IF(A34&lt;'Données projet'!$A$88,$BA$205^A34,IF(A34='Données projet'!$A$88,'Données projet'!$B$88,BD33+BC34-BL33)))</f>
        <v>178.20000000000005</v>
      </c>
      <c r="BE34" s="13">
        <f>BD34*VLOOKUP('Données projet'!$B$11,Paramètres!$A$1:$I$89,3,0)*VLOOKUP('Données projet'!$B$11,Paramètres!$A$1:$I$89,5,0)</f>
        <v>141.77592000000004</v>
      </c>
      <c r="BF34" s="13">
        <f t="shared" si="37"/>
        <v>36.703544878441981</v>
      </c>
      <c r="BG34" s="20">
        <f t="shared" si="7"/>
        <v>310.85173466328649</v>
      </c>
      <c r="BH34" s="59">
        <f t="shared" si="8"/>
        <v>604.18506799661986</v>
      </c>
      <c r="BI34" s="59">
        <f ca="1">AVERAGE(OFFSET($BH$3,0,0,'Données projet'!$E$11+1,1))-AVERAGE(OFFSET($H$3,0,0,'Données projet'!$E$11+1,1))</f>
        <v>325.72928944930294</v>
      </c>
      <c r="BJ34" s="59">
        <f t="shared" si="38"/>
        <v>318.38876834819752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16.974886063643019</v>
      </c>
      <c r="BQ34" s="21">
        <f>EXP(-LN(2)/25)*BQ33+(1-EXP(-LN(2)/25))/(LN(2)/25)*Calculateur!BL34*Calculateur!BN34*VLOOKUP('Données projet'!$B$11,Paramètres!$A$1:$I$89,3,0)*0.475*44/12</f>
        <v>20.114388436477292</v>
      </c>
      <c r="BR34" s="21">
        <f>EXP(-LN(2)/2)*BR33+(1-EXP(-LN(2)/2))/(LN(2)/2)*BL34*BO34*VLOOKUP('Données projet'!$B$11,Paramètres!$A$1:$I$89,3,0)*0.475*44/12</f>
        <v>8.3648759627459786</v>
      </c>
      <c r="BS34" s="22">
        <f t="shared" si="9"/>
        <v>45.454150462866288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28.4</v>
      </c>
      <c r="BY34" s="12">
        <f>IF('Données projet'!$A$114&gt;35,BY33+BX34-CG33,IF(A34&lt;'Données projet'!$A$114,$BV$205^A34,IF(A34='Données projet'!$A$114,'Données projet'!$B$114,BY33+BX34-CG33)))</f>
        <v>462.4</v>
      </c>
      <c r="BZ34" s="13">
        <f>BY34*VLOOKUP('Données projet'!$B$12,Paramètres!$A$1:$I$89,3,0)*VLOOKUP('Données projet'!$B$12,Paramètres!$A$1:$I$89,5,0)</f>
        <v>258.48160000000001</v>
      </c>
      <c r="CA34" s="13">
        <f t="shared" si="39"/>
        <v>62.398606187610767</v>
      </c>
      <c r="CB34" s="20">
        <f t="shared" si="10"/>
        <v>558.86635911008875</v>
      </c>
      <c r="CC34" s="59">
        <f t="shared" si="11"/>
        <v>852.19969244342201</v>
      </c>
      <c r="CD34" s="59">
        <f ca="1">AVERAGE(OFFSET($CC$3,0,0,'Données projet'!$E$12+1,1))-AVERAGE(OFFSET($H$3,0,0,'Données projet'!$E$12+1,1))</f>
        <v>475.54809021014017</v>
      </c>
      <c r="CE34" s="59">
        <f t="shared" si="40"/>
        <v>593.51433014569966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7.1973811463040835</v>
      </c>
      <c r="CL34" s="21">
        <f>EXP(-LN(2)/25)*CL33+(1-EXP(-LN(2)/25))/(LN(2)/25)*Calculateur!CG34*Calculateur!CI34*VLOOKUP('Données projet'!$B$12,Paramètres!$A$1:$I$89,3,0)*0.475*44/12</f>
        <v>41.44699008975568</v>
      </c>
      <c r="CM34" s="21">
        <f>EXP(-LN(2)/2)*CM33+(1-EXP(-LN(2)/2))/(LN(2)/2)*CG34*CJ34*VLOOKUP('Données projet'!$B$12,Paramètres!$A$1:$I$89,3,0)*0.475*44/12</f>
        <v>10.19503570630722</v>
      </c>
      <c r="CN34" s="22">
        <f t="shared" si="12"/>
        <v>58.839406942366978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</v>
      </c>
      <c r="CT34" s="12">
        <f>IF('Données projet'!$A$140&gt;35,CT33+CS34-DB33,IF(A34&lt;'Données projet'!$A$140,$CQ$205^A34,IF(A34='Données projet'!$A$140,'Données projet'!$B$140,CT33+CS34-DB33)))</f>
        <v>153.49999999999989</v>
      </c>
      <c r="CU34" s="17">
        <f>CT34*VLOOKUP('Données projet'!$B$13,Paramètres!$A$1:$I$89,3,0)*VLOOKUP('Données projet'!$B$13,Paramètres!$A$1:$I$89,5,0)</f>
        <v>71.837999999999951</v>
      </c>
      <c r="CV34" s="13">
        <f t="shared" si="41"/>
        <v>20.129206956785634</v>
      </c>
      <c r="CW34" s="20">
        <f t="shared" si="13"/>
        <v>160.17621878306821</v>
      </c>
      <c r="CX34" s="59">
        <f t="shared" si="14"/>
        <v>453.50955211640155</v>
      </c>
      <c r="CY34" s="59">
        <f ca="1">AVERAGE(OFFSET($CX$3,0,0,'Données projet'!$E$13+1,1))-AVERAGE(OFFSET($H$3,0,0,'Données projet'!$E$13+1,1))</f>
        <v>226.0452828290525</v>
      </c>
      <c r="CZ34" s="59">
        <f t="shared" si="42"/>
        <v>179.89696397462069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8.8981890333964007</v>
      </c>
      <c r="DG34" s="21">
        <f>EXP(-LN(2)/25)*DG33+(1-EXP(-LN(2)/25))/(LN(2)/25)*Calculateur!DB34*Calculateur!DD34*VLOOKUP('Données projet'!$B$13,Paramètres!$A$1:$I$89,3,0)*0.475*44/12</f>
        <v>10.846386778942103</v>
      </c>
      <c r="DH34" s="21">
        <f>EXP(-LN(2)/2)*DH33+(1-EXP(-LN(2)/2))/(LN(2)/2)*DB34*DE34*VLOOKUP('Données projet'!$B$13,Paramètres!$A$1:$I$89,3,0)*0.475*44/12</f>
        <v>7.8086711494037937</v>
      </c>
      <c r="DI34" s="22">
        <f t="shared" si="15"/>
        <v>27.553246961742296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15.333333333333334</v>
      </c>
      <c r="DO34" s="12">
        <f>IF('Données projet'!$A$166&gt;35,DO33+DN34-DW33,IF(A34&lt;'Données projet'!$A$166,$DL$205^A34,IF(A34='Données projet'!$A$166,'Données projet'!$B$166,DO33+DN34-DW33)))</f>
        <v>238.00000000000003</v>
      </c>
      <c r="DP34" s="17">
        <f>DO34*VLOOKUP('Données projet'!$B$14,Paramètres!$A$1:$I$89,3,0)*VLOOKUP('Données projet'!$B$14,Paramètres!$A$1:$I$89,5,0)</f>
        <v>142.32400000000004</v>
      </c>
      <c r="DQ34" s="13">
        <f t="shared" si="43"/>
        <v>36.828890051912026</v>
      </c>
      <c r="DR34" s="20">
        <f t="shared" si="16"/>
        <v>312.02461684041356</v>
      </c>
      <c r="DS34" s="59">
        <f t="shared" si="17"/>
        <v>605.35795017374687</v>
      </c>
      <c r="DT34" s="59">
        <f ca="1">AVERAGE(OFFSET($DS$3,0,0,'Données projet'!$E$14+1,1))-AVERAGE(OFFSET($H$3,0,0,'Données projet'!$E$14+1,1))</f>
        <v>252.81045065813976</v>
      </c>
      <c r="DU34" s="59">
        <f t="shared" si="44"/>
        <v>254.36590349790589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17.700439857675697</v>
      </c>
      <c r="EB34" s="21">
        <f>EXP(-LN(2)/25)*EB33+(1-EXP(-LN(2)/25))/(LN(2)/25)*Calculateur!DW34*Calculateur!DY34*VLOOKUP('Données projet'!$B$14,Paramètres!$A$1:$I$89,3,0)*0.475*44/12</f>
        <v>15.68505035298424</v>
      </c>
      <c r="EC34" s="21">
        <f>EXP(-LN(2)/2)*EC33+(1-EXP(-LN(2)/2))/(LN(2)/2)*DW34*DZ34*VLOOKUP('Données projet'!$B$14,Paramètres!$A$1:$I$89,3,0)*0.475*44/12</f>
        <v>4.059771336447791</v>
      </c>
      <c r="ED34" s="22">
        <f t="shared" si="18"/>
        <v>37.445261547107727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15.2</v>
      </c>
      <c r="EJ34" s="12">
        <f>IF('Données projet'!$A$192&gt;35,EJ33+EI34-ER33,IF(A34&lt;'Données projet'!$A$192,$EG$205^A34,IF(A34='Données projet'!$A$192,'Données projet'!$B$192,EJ33+EI34-ER33)))</f>
        <v>178.20000000000005</v>
      </c>
      <c r="EK34" s="17">
        <f>EJ34*VLOOKUP('Données projet'!$B$15,Paramètres!$A$1:$I$89,3,0)*VLOOKUP('Données projet'!$B$15,Paramètres!$A$1:$I$89,5,0)</f>
        <v>130.65624000000003</v>
      </c>
      <c r="EL34" s="13">
        <f t="shared" si="45"/>
        <v>34.147952661921146</v>
      </c>
      <c r="EM34" s="20">
        <f t="shared" si="19"/>
        <v>287.03396888617937</v>
      </c>
      <c r="EN34" s="59">
        <f t="shared" si="20"/>
        <v>580.36730221951268</v>
      </c>
      <c r="EO34" s="59">
        <f ca="1">AVERAGE(OFFSET($EN$3,0,0,'Données projet'!$E$15+1,1))-AVERAGE(OFFSET($H$3,0,0,'Données projet'!$E$15+1,1))</f>
        <v>296.91321813251051</v>
      </c>
      <c r="EP34" s="59">
        <f t="shared" si="46"/>
        <v>291.0718079639509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12.691914441221805</v>
      </c>
      <c r="EW34" s="21">
        <f>EXP(-LN(2)/25)*EW33+(1-EXP(-LN(2)/25))/(LN(2)/25)*Calculateur!ER34*Calculateur!ET34*VLOOKUP('Données projet'!$B$15,Paramètres!$A$1:$I$89,3,0)*0.475*44/12</f>
        <v>15.039281920133407</v>
      </c>
      <c r="EX34" s="21">
        <f>EXP(-LN(2)/2)*EX33+(1-EXP(-LN(2)/2))/(LN(2)/2)*ER34*EU34*VLOOKUP('Données projet'!$B$15,Paramètres!$A$1:$I$89,3,0)*0.475*44/12</f>
        <v>7.708807259785508</v>
      </c>
      <c r="EY34" s="22">
        <f t="shared" si="21"/>
        <v>35.440003621140718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10.8</v>
      </c>
      <c r="FE34" s="12">
        <f>IF('Données projet'!$A$218&gt;35,FE33+FD34-FM33,IF(A34&lt;'Données projet'!$A$218,$FB$205^A34,IF(A34='Données projet'!$A$218,'Données projet'!$B$218,FE33+FD34-FM33)))</f>
        <v>103.80000000000004</v>
      </c>
      <c r="FF34" s="17">
        <f>FE34*VLOOKUP('Données projet'!$B$16,Paramètres!$A$1:$I$89,3,0)*VLOOKUP('Données projet'!$B$16,Paramètres!$A$1:$I$89,5,0)</f>
        <v>105.25320000000005</v>
      </c>
      <c r="FG34" s="13">
        <f t="shared" si="47"/>
        <v>28.209746498519422</v>
      </c>
      <c r="FH34" s="20">
        <f t="shared" si="22"/>
        <v>232.44796515158808</v>
      </c>
      <c r="FI34" s="59">
        <f t="shared" si="23"/>
        <v>525.78129848492142</v>
      </c>
      <c r="FJ34" s="59">
        <f ca="1">AVERAGE(OFFSET($FI$3,0,0,'Données projet'!$E$16+1,1))-AVERAGE(OFFSET($H$3,0,0,'Données projet'!$E$16+1,1))</f>
        <v>356.65981389369125</v>
      </c>
      <c r="FK34" s="59">
        <f t="shared" si="48"/>
        <v>231.92898690465887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8.0298875267115069</v>
      </c>
      <c r="FR34" s="21">
        <f>EXP(-LN(2)/25)*FR33+(1-EXP(-LN(2)/25))/(LN(2)/25)*Calculateur!FM34*Calculateur!FO34*VLOOKUP('Données projet'!$B$16,Paramètres!$A$1:$I$89,3,0)*0.475*44/12</f>
        <v>10.208010290400059</v>
      </c>
      <c r="FS34" s="21">
        <f>EXP(-LN(2)/2)*FS33+(1-EXP(-LN(2)/2))/(LN(2)/2)*FM34*FP34*VLOOKUP('Données projet'!$B$16,Paramètres!$A$1:$I$89,3,0)*0.475*44/12</f>
        <v>6.7634046554107066</v>
      </c>
      <c r="FT34" s="22">
        <f t="shared" si="24"/>
        <v>25.001302472522273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10.8</v>
      </c>
      <c r="FZ34" s="12">
        <f>IF('Données projet'!$A$244&gt;35,FZ33+FY34-GH33,IF(A34&lt;'Données projet'!$A$244,$FW$205^A34,IF(A34='Données projet'!$A$244,'Données projet'!$B$244,FZ33+FY34-GH33)))</f>
        <v>103.80000000000004</v>
      </c>
      <c r="GA34" s="17">
        <f>FZ34*VLOOKUP('Données projet'!$B$17,Paramètres!$A$1:$I$89,3,0)*VLOOKUP('Données projet'!$B$17,Paramètres!$A$1:$I$89,5,0)</f>
        <v>100.39536000000004</v>
      </c>
      <c r="GB34" s="13">
        <f t="shared" si="49"/>
        <v>27.056164975430569</v>
      </c>
      <c r="GC34" s="20">
        <f t="shared" si="25"/>
        <v>221.97807266554162</v>
      </c>
      <c r="GD34" s="59">
        <f t="shared" si="26"/>
        <v>515.31140599887499</v>
      </c>
      <c r="GE34" s="59">
        <f ca="1">AVERAGE(OFFSET($GD$3,0,0,'Données projet'!$E$17+1,1))-AVERAGE(OFFSET($H$3,0,0,'Données projet'!$E$17+1,1))</f>
        <v>337.76140497227715</v>
      </c>
      <c r="GF34" s="59">
        <f t="shared" si="50"/>
        <v>219.76562717496353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7.6592773331709756</v>
      </c>
      <c r="GM34" s="21">
        <f>EXP(-LN(2)/25)*GM33+(1-EXP(-LN(2)/25))/(LN(2)/25)*Calculateur!GH34*Calculateur!GJ34*VLOOKUP('Données projet'!$B$17,Paramètres!$A$1:$I$89,3,0)*0.475*44/12</f>
        <v>9.7368713539200602</v>
      </c>
      <c r="GN34" s="21">
        <f>EXP(-LN(2)/2)*GN33+(1-EXP(-LN(2)/2))/(LN(2)/2)*GH34*GK34*VLOOKUP('Données projet'!$B$17,Paramètres!$A$1:$I$89,3,0)*0.475*44/12</f>
        <v>6.4512475174686754</v>
      </c>
      <c r="GO34" s="21">
        <f t="shared" si="27"/>
        <v>23.847396204559711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114.60000000000004</v>
      </c>
      <c r="O35" s="13">
        <f>N35*VLOOKUP('Données projet'!$B$9,Paramètres!$A$1:$I$89,3,0)*VLOOKUP('Données projet'!$B$9,Paramètres!$A$1:$I$89,5,0)</f>
        <v>103.69008000000004</v>
      </c>
      <c r="P35" s="13">
        <f t="shared" si="33"/>
        <v>27.83924565319537</v>
      </c>
      <c r="Q35" s="20">
        <f t="shared" ref="Q35:Q66" si="53">(O35+P35)*0.475*44/12</f>
        <v>229.08024217931529</v>
      </c>
      <c r="R35" s="59">
        <f t="shared" si="0"/>
        <v>522.41357551264855</v>
      </c>
      <c r="S35" s="59">
        <f ca="1">AVERAGE(OFFSET($R$3,0,0,'Données projet'!$E$9+1,1))-AVERAGE(OFFSET($H$3,0,0,'Données projet'!$E$9+1,1))</f>
        <v>312.53389584272878</v>
      </c>
      <c r="T35" s="59">
        <f t="shared" si="34"/>
        <v>203.5274665601915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7.0246265714385734</v>
      </c>
      <c r="AA35" s="21">
        <f>EXP(-LN(2)/25)*AA34+(1-EXP(-LN(2)/25))/(LN(2)/25)*Calculateur!V35*Calculateur!X35*VLOOKUP('Données projet'!$B$9,Paramètres!$A$1:$I$89,3,0)*0.475*44/12</f>
        <v>8.8596086047261871</v>
      </c>
      <c r="AB35" s="21">
        <f>EXP(-LN(2)/2)*AB34+(1-EXP(-LN(2)/2))/(LN(2)/2)*V35*Y35*VLOOKUP('Données projet'!$B$9,Paramètres!$A$1:$I$89,3,0)*0.475*44/12</f>
        <v>4.2674162946688519</v>
      </c>
      <c r="AC35" s="22">
        <f t="shared" si="3"/>
        <v>20.151651470833613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13.6</v>
      </c>
      <c r="AI35" s="13">
        <f>IF('Données projet'!$A$62&gt;35,AI34+AH35-AQ34,IF(A35&lt;'Données projet'!$A$62,$AF$205^A35,IF(A35='Données projet'!$A$62,'Données projet'!$B$62,AI34+AH35-AQ34)))</f>
        <v>181.2000000000001</v>
      </c>
      <c r="AJ35" s="13">
        <f>AI35*VLOOKUP('Données projet'!$B$10,Paramètres!$A$1:$I$89,3,0)*VLOOKUP('Données projet'!$B$10,Paramètres!$A$1:$I$89,5,0)</f>
        <v>158.29632000000009</v>
      </c>
      <c r="AK35" s="13">
        <f t="shared" si="35"/>
        <v>40.458006540983739</v>
      </c>
      <c r="AL35" s="20">
        <f t="shared" si="4"/>
        <v>346.16378539221347</v>
      </c>
      <c r="AM35" s="59">
        <f t="shared" si="5"/>
        <v>639.49711872554678</v>
      </c>
      <c r="AN35" s="59">
        <f ca="1">AVERAGE(OFFSET($AM$3,0,0,'Données projet'!$E$10+1,1))-AVERAGE(OFFSET($H$3,0,0,'Données projet'!$E$10+1,1))</f>
        <v>243.05628303465238</v>
      </c>
      <c r="AO35" s="59">
        <f t="shared" si="36"/>
        <v>352.47096767658394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7.5882474871693359</v>
      </c>
      <c r="AV35" s="21">
        <f>EXP(-LN(2)/25)*AV34+(1-EXP(-LN(2)/25))/(LN(2)/25)*Calculateur!AQ35*Calculateur!AS35*VLOOKUP('Données projet'!$B$10,Paramètres!$A$1:$I$89,3,0)*0.475*44/12</f>
        <v>17.140745099332129</v>
      </c>
      <c r="AW35" s="21">
        <f>EXP(-LN(2)/2)*AW34+(1-EXP(-LN(2)/2))/(LN(2)/2)*AQ35*AT35*VLOOKUP('Données projet'!$B$10,Paramètres!$A$1:$I$89,3,0)*0.475*44/12</f>
        <v>5.6365840985340476</v>
      </c>
      <c r="AX35" s="21">
        <f t="shared" si="6"/>
        <v>30.365576685035514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15.2</v>
      </c>
      <c r="BD35" s="12">
        <f>IF('Données projet'!$A$88&gt;35,BD34+BC35-BL34,IF(A35&lt;'Données projet'!$A$88,$BA$205^A35,IF(A35='Données projet'!$A$88,'Données projet'!$B$88,BD34+BC35-BL34)))</f>
        <v>193.40000000000003</v>
      </c>
      <c r="BE35" s="13">
        <f>BD35*VLOOKUP('Données projet'!$B$11,Paramètres!$A$1:$I$89,3,0)*VLOOKUP('Données projet'!$B$11,Paramètres!$A$1:$I$89,5,0)</f>
        <v>153.86904000000004</v>
      </c>
      <c r="BF35" s="13">
        <f t="shared" si="37"/>
        <v>39.456531419736123</v>
      </c>
      <c r="BG35" s="20">
        <f t="shared" si="7"/>
        <v>336.70870355604046</v>
      </c>
      <c r="BH35" s="59">
        <f t="shared" si="8"/>
        <v>630.04203688937378</v>
      </c>
      <c r="BI35" s="59">
        <f ca="1">AVERAGE(OFFSET($BH$3,0,0,'Données projet'!$E$11+1,1))-AVERAGE(OFFSET($H$3,0,0,'Données projet'!$E$11+1,1))</f>
        <v>325.72928944930294</v>
      </c>
      <c r="BJ35" s="59">
        <f t="shared" si="38"/>
        <v>318.38876834819752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16.64201890159314</v>
      </c>
      <c r="BQ35" s="21">
        <f>EXP(-LN(2)/25)*BQ34+(1-EXP(-LN(2)/25))/(LN(2)/25)*Calculateur!BL35*Calculateur!BN35*VLOOKUP('Données projet'!$B$11,Paramètres!$A$1:$I$89,3,0)*0.475*44/12</f>
        <v>19.564359426912105</v>
      </c>
      <c r="BR35" s="21">
        <f>EXP(-LN(2)/2)*BR34+(1-EXP(-LN(2)/2))/(LN(2)/2)*BL35*BO35*VLOOKUP('Données projet'!$B$11,Paramètres!$A$1:$I$89,3,0)*0.475*44/12</f>
        <v>5.9148605170420323</v>
      </c>
      <c r="BS35" s="22">
        <f t="shared" si="9"/>
        <v>42.121238845547275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28.4</v>
      </c>
      <c r="BY35" s="12">
        <f>IF('Données projet'!$A$114&gt;35,BY34+BX35-CG34,IF(A35&lt;'Données projet'!$A$114,$BV$205^A35,IF(A35='Données projet'!$A$114,'Données projet'!$B$114,BY34+BX35-CG34)))</f>
        <v>490.79999999999995</v>
      </c>
      <c r="BZ35" s="13">
        <f>BY35*VLOOKUP('Données projet'!$B$12,Paramètres!$A$1:$I$89,3,0)*VLOOKUP('Données projet'!$B$12,Paramètres!$A$1:$I$89,5,0)</f>
        <v>274.35719999999998</v>
      </c>
      <c r="CA35" s="13">
        <f t="shared" si="39"/>
        <v>65.773113764972635</v>
      </c>
      <c r="CB35" s="20">
        <f t="shared" si="10"/>
        <v>592.39362980732722</v>
      </c>
      <c r="CC35" s="59">
        <f t="shared" si="11"/>
        <v>885.72696314066047</v>
      </c>
      <c r="CD35" s="59">
        <f ca="1">AVERAGE(OFFSET($CC$3,0,0,'Données projet'!$E$12+1,1))-AVERAGE(OFFSET($H$3,0,0,'Données projet'!$E$12+1,1))</f>
        <v>475.54809021014017</v>
      </c>
      <c r="CE35" s="59">
        <f t="shared" si="40"/>
        <v>593.51433014569966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7.0562448919940861</v>
      </c>
      <c r="CL35" s="21">
        <f>EXP(-LN(2)/25)*CL34+(1-EXP(-LN(2)/25))/(LN(2)/25)*Calculateur!CG35*Calculateur!CI35*VLOOKUP('Données projet'!$B$12,Paramètres!$A$1:$I$89,3,0)*0.475*44/12</f>
        <v>40.313619966148828</v>
      </c>
      <c r="CM35" s="21">
        <f>EXP(-LN(2)/2)*CM34+(1-EXP(-LN(2)/2))/(LN(2)/2)*CG35*CJ35*VLOOKUP('Données projet'!$B$12,Paramètres!$A$1:$I$89,3,0)*0.475*44/12</f>
        <v>7.208978882368819</v>
      </c>
      <c r="CN35" s="22">
        <f t="shared" si="12"/>
        <v>54.578843740511729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</v>
      </c>
      <c r="CT35" s="12">
        <f>IF('Données projet'!$A$140&gt;35,CT34+CS35-DB34,IF(A35&lt;'Données projet'!$A$140,$CQ$205^A35,IF(A35='Données projet'!$A$140,'Données projet'!$B$140,CT34+CS35-DB34)))</f>
        <v>163.49999999999989</v>
      </c>
      <c r="CU35" s="17">
        <f>CT35*VLOOKUP('Données projet'!$B$13,Paramètres!$A$1:$I$89,3,0)*VLOOKUP('Données projet'!$B$13,Paramètres!$A$1:$I$89,5,0)</f>
        <v>76.517999999999944</v>
      </c>
      <c r="CV35" s="13">
        <f t="shared" si="41"/>
        <v>21.283624623620089</v>
      </c>
      <c r="CW35" s="20">
        <f t="shared" si="13"/>
        <v>170.33782955280489</v>
      </c>
      <c r="CX35" s="59">
        <f t="shared" si="14"/>
        <v>463.67116288613818</v>
      </c>
      <c r="CY35" s="59">
        <f ca="1">AVERAGE(OFFSET($CX$3,0,0,'Données projet'!$E$13+1,1))-AVERAGE(OFFSET($H$3,0,0,'Données projet'!$E$13+1,1))</f>
        <v>226.0452828290525</v>
      </c>
      <c r="CZ35" s="59">
        <f t="shared" si="42"/>
        <v>179.89696397462069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8.7237009738109013</v>
      </c>
      <c r="DG35" s="21">
        <f>EXP(-LN(2)/25)*DG34+(1-EXP(-LN(2)/25))/(LN(2)/25)*Calculateur!DB35*Calculateur!DD35*VLOOKUP('Données projet'!$B$13,Paramètres!$A$1:$I$89,3,0)*0.475*44/12</f>
        <v>10.54979176208524</v>
      </c>
      <c r="DH35" s="21">
        <f>EXP(-LN(2)/2)*DH34+(1-EXP(-LN(2)/2))/(LN(2)/2)*DB35*DE35*VLOOKUP('Données projet'!$B$13,Paramètres!$A$1:$I$89,3,0)*0.475*44/12</f>
        <v>5.5215643217991754</v>
      </c>
      <c r="DI35" s="22">
        <f t="shared" si="15"/>
        <v>24.795057057695317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15.333333333333334</v>
      </c>
      <c r="DO35" s="12">
        <f>IF('Données projet'!$A$166&gt;35,DO34+DN35-DW34,IF(A35&lt;'Données projet'!$A$166,$DL$205^A35,IF(A35='Données projet'!$A$166,'Données projet'!$B$166,DO34+DN35-DW34)))</f>
        <v>253.33333333333337</v>
      </c>
      <c r="DP35" s="17">
        <f>DO35*VLOOKUP('Données projet'!$B$14,Paramètres!$A$1:$I$89,3,0)*VLOOKUP('Données projet'!$B$14,Paramètres!$A$1:$I$89,5,0)</f>
        <v>151.49333333333337</v>
      </c>
      <c r="DQ35" s="13">
        <f t="shared" si="43"/>
        <v>38.917755071333922</v>
      </c>
      <c r="DR35" s="20">
        <f t="shared" si="16"/>
        <v>331.63264563812885</v>
      </c>
      <c r="DS35" s="59">
        <f t="shared" si="17"/>
        <v>624.96597897146216</v>
      </c>
      <c r="DT35" s="59">
        <f ca="1">AVERAGE(OFFSET($DS$3,0,0,'Données projet'!$E$14+1,1))-AVERAGE(OFFSET($H$3,0,0,'Données projet'!$E$14+1,1))</f>
        <v>252.81045065813976</v>
      </c>
      <c r="DU35" s="59">
        <f t="shared" si="44"/>
        <v>254.36590349790589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17.353345028268954</v>
      </c>
      <c r="EB35" s="21">
        <f>EXP(-LN(2)/25)*EB34+(1-EXP(-LN(2)/25))/(LN(2)/25)*Calculateur!DW35*Calculateur!DY35*VLOOKUP('Données projet'!$B$14,Paramètres!$A$1:$I$89,3,0)*0.475*44/12</f>
        <v>15.256141826240937</v>
      </c>
      <c r="EC35" s="21">
        <f>EXP(-LN(2)/2)*EC34+(1-EXP(-LN(2)/2))/(LN(2)/2)*DW35*DZ35*VLOOKUP('Données projet'!$B$14,Paramètres!$A$1:$I$89,3,0)*0.475*44/12</f>
        <v>2.870691842069006</v>
      </c>
      <c r="ED35" s="22">
        <f t="shared" si="18"/>
        <v>35.480178696578896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15.2</v>
      </c>
      <c r="EJ35" s="12">
        <f>IF('Données projet'!$A$192&gt;35,EJ34+EI35-ER34,IF(A35&lt;'Données projet'!$A$192,$EG$205^A35,IF(A35='Données projet'!$A$192,'Données projet'!$B$192,EJ34+EI35-ER34)))</f>
        <v>193.40000000000003</v>
      </c>
      <c r="EK35" s="17">
        <f>EJ35*VLOOKUP('Données projet'!$B$15,Paramètres!$A$1:$I$89,3,0)*VLOOKUP('Données projet'!$B$15,Paramètres!$A$1:$I$89,5,0)</f>
        <v>141.80088000000003</v>
      </c>
      <c r="EL35" s="13">
        <f t="shared" si="45"/>
        <v>36.709254421801973</v>
      </c>
      <c r="EM35" s="20">
        <f t="shared" si="19"/>
        <v>310.90515078463847</v>
      </c>
      <c r="EN35" s="59">
        <f t="shared" si="20"/>
        <v>604.23848411797178</v>
      </c>
      <c r="EO35" s="59">
        <f ca="1">AVERAGE(OFFSET($EN$3,0,0,'Données projet'!$E$15+1,1))-AVERAGE(OFFSET($H$3,0,0,'Données projet'!$E$15+1,1))</f>
        <v>296.91321813251051</v>
      </c>
      <c r="EP35" s="59">
        <f t="shared" si="46"/>
        <v>291.0718079639509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12.443033740332863</v>
      </c>
      <c r="EW35" s="21">
        <f>EXP(-LN(2)/25)*EW34+(1-EXP(-LN(2)/25))/(LN(2)/25)*Calculateur!ER35*Calculateur!ET35*VLOOKUP('Données projet'!$B$15,Paramètres!$A$1:$I$89,3,0)*0.475*44/12</f>
        <v>14.628031965145896</v>
      </c>
      <c r="EX35" s="21">
        <f>EXP(-LN(2)/2)*EX34+(1-EXP(-LN(2)/2))/(LN(2)/2)*ER35*EU35*VLOOKUP('Données projet'!$B$15,Paramètres!$A$1:$I$89,3,0)*0.475*44/12</f>
        <v>5.4509498882544207</v>
      </c>
      <c r="EY35" s="22">
        <f t="shared" si="21"/>
        <v>32.52201559373318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10.8</v>
      </c>
      <c r="FE35" s="12">
        <f>IF('Données projet'!$A$218&gt;35,FE34+FD35-FM34,IF(A35&lt;'Données projet'!$A$218,$FB$205^A35,IF(A35='Données projet'!$A$218,'Données projet'!$B$218,FE34+FD35-FM34)))</f>
        <v>114.60000000000004</v>
      </c>
      <c r="FF35" s="17">
        <f>FE35*VLOOKUP('Données projet'!$B$16,Paramètres!$A$1:$I$89,3,0)*VLOOKUP('Données projet'!$B$16,Paramètres!$A$1:$I$89,5,0)</f>
        <v>116.20440000000004</v>
      </c>
      <c r="FG35" s="13">
        <f t="shared" si="47"/>
        <v>30.788088768016376</v>
      </c>
      <c r="FH35" s="20">
        <f t="shared" si="22"/>
        <v>256.01191793762854</v>
      </c>
      <c r="FI35" s="59">
        <f t="shared" si="23"/>
        <v>549.34525127096185</v>
      </c>
      <c r="FJ35" s="59">
        <f ca="1">AVERAGE(OFFSET($FI$3,0,0,'Données projet'!$E$16+1,1))-AVERAGE(OFFSET($H$3,0,0,'Données projet'!$E$16+1,1))</f>
        <v>356.65981389369125</v>
      </c>
      <c r="FK35" s="59">
        <f t="shared" si="48"/>
        <v>231.92898690465887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7.8724263300604731</v>
      </c>
      <c r="FR35" s="21">
        <f>EXP(-LN(2)/25)*FR34+(1-EXP(-LN(2)/25))/(LN(2)/25)*Calculateur!FM35*Calculateur!FO35*VLOOKUP('Données projet'!$B$16,Paramètres!$A$1:$I$89,3,0)*0.475*44/12</f>
        <v>9.9288717121931391</v>
      </c>
      <c r="FS35" s="21">
        <f>EXP(-LN(2)/2)*FS34+(1-EXP(-LN(2)/2))/(LN(2)/2)*FM35*FP35*VLOOKUP('Données projet'!$B$16,Paramètres!$A$1:$I$89,3,0)*0.475*44/12</f>
        <v>4.7824492957495757</v>
      </c>
      <c r="FT35" s="22">
        <f t="shared" si="24"/>
        <v>22.583747338003189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10.8</v>
      </c>
      <c r="FZ35" s="12">
        <f>IF('Données projet'!$A$244&gt;35,FZ34+FY35-GH34,IF(A35&lt;'Données projet'!$A$244,$FW$205^A35,IF(A35='Données projet'!$A$244,'Données projet'!$B$244,FZ34+FY35-GH34)))</f>
        <v>114.60000000000004</v>
      </c>
      <c r="GA35" s="17">
        <f>FZ35*VLOOKUP('Données projet'!$B$17,Paramètres!$A$1:$I$89,3,0)*VLOOKUP('Données projet'!$B$17,Paramètres!$A$1:$I$89,5,0)</f>
        <v>110.84112000000003</v>
      </c>
      <c r="GB35" s="13">
        <f t="shared" si="49"/>
        <v>29.529071061640771</v>
      </c>
      <c r="GC35" s="20">
        <f t="shared" si="25"/>
        <v>244.47808276569106</v>
      </c>
      <c r="GD35" s="59">
        <f t="shared" si="26"/>
        <v>537.81141609902443</v>
      </c>
      <c r="GE35" s="59">
        <f ca="1">AVERAGE(OFFSET($GD$3,0,0,'Données projet'!$E$17+1,1))-AVERAGE(OFFSET($H$3,0,0,'Données projet'!$E$17+1,1))</f>
        <v>337.76140497227715</v>
      </c>
      <c r="GF35" s="59">
        <f t="shared" si="50"/>
        <v>219.76562717496353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7.5090835763653745</v>
      </c>
      <c r="GM35" s="21">
        <f>EXP(-LN(2)/25)*GM34+(1-EXP(-LN(2)/25))/(LN(2)/25)*Calculateur!GH35*Calculateur!GJ35*VLOOKUP('Données projet'!$B$17,Paramètres!$A$1:$I$89,3,0)*0.475*44/12</f>
        <v>9.4706160947073048</v>
      </c>
      <c r="GN35" s="21">
        <f>EXP(-LN(2)/2)*GN34+(1-EXP(-LN(2)/2))/(LN(2)/2)*GH35*GK35*VLOOKUP('Données projet'!$B$17,Paramètres!$A$1:$I$89,3,0)*0.475*44/12</f>
        <v>4.5617208667149809</v>
      </c>
      <c r="GO35" s="21">
        <f t="shared" si="27"/>
        <v>21.541420537787662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125.40000000000003</v>
      </c>
      <c r="O36" s="13">
        <f>N36*VLOOKUP('Données projet'!$B$9,Paramètres!$A$1:$I$89,3,0)*VLOOKUP('Données projet'!$B$9,Paramètres!$A$1:$I$89,5,0)</f>
        <v>113.46192000000002</v>
      </c>
      <c r="P36" s="13">
        <f t="shared" si="33"/>
        <v>30.145163126535493</v>
      </c>
      <c r="Q36" s="20">
        <f t="shared" si="53"/>
        <v>250.11566977871598</v>
      </c>
      <c r="R36" s="59">
        <f t="shared" si="0"/>
        <v>543.44900311204924</v>
      </c>
      <c r="S36" s="59">
        <f ca="1">AVERAGE(OFFSET($R$3,0,0,'Données projet'!$E$9+1,1))-AVERAGE(OFFSET($H$3,0,0,'Données projet'!$E$9+1,1))</f>
        <v>312.53389584272878</v>
      </c>
      <c r="T36" s="59">
        <f t="shared" si="34"/>
        <v>203.5274665601915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6.8868779289718027</v>
      </c>
      <c r="AA36" s="21">
        <f>EXP(-LN(2)/25)*AA35+(1-EXP(-LN(2)/25))/(LN(2)/25)*Calculateur!V36*Calculateur!X36*VLOOKUP('Données projet'!$B$9,Paramètres!$A$1:$I$89,3,0)*0.475*44/12</f>
        <v>8.6173421415233822</v>
      </c>
      <c r="AB36" s="21">
        <f>EXP(-LN(2)/2)*AB35+(1-EXP(-LN(2)/2))/(LN(2)/2)*V36*Y36*VLOOKUP('Données projet'!$B$9,Paramètres!$A$1:$I$89,3,0)*0.475*44/12</f>
        <v>3.0175190001063155</v>
      </c>
      <c r="AC36" s="22">
        <f t="shared" si="3"/>
        <v>18.521739070601502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13.6</v>
      </c>
      <c r="AI36" s="13">
        <f>IF('Données projet'!$A$62&gt;35,AI35+AH36-AQ35,IF(A36&lt;'Données projet'!$A$62,$AF$205^A36,IF(A36='Données projet'!$A$62,'Données projet'!$B$62,AI35+AH36-AQ35)))</f>
        <v>194.8000000000001</v>
      </c>
      <c r="AJ36" s="13">
        <f>AI36*VLOOKUP('Données projet'!$B$10,Paramètres!$A$1:$I$89,3,0)*VLOOKUP('Données projet'!$B$10,Paramètres!$A$1:$I$89,5,0)</f>
        <v>170.17728000000011</v>
      </c>
      <c r="AK36" s="13">
        <f t="shared" si="35"/>
        <v>43.129725999134671</v>
      </c>
      <c r="AL36" s="20">
        <f t="shared" si="4"/>
        <v>371.50970211515977</v>
      </c>
      <c r="AM36" s="59">
        <f t="shared" si="5"/>
        <v>664.84303544849308</v>
      </c>
      <c r="AN36" s="59">
        <f ca="1">AVERAGE(OFFSET($AM$3,0,0,'Données projet'!$E$10+1,1))-AVERAGE(OFFSET($H$3,0,0,'Données projet'!$E$10+1,1))</f>
        <v>243.05628303465238</v>
      </c>
      <c r="AO36" s="59">
        <f t="shared" si="36"/>
        <v>352.47096767658394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7.4394465823198983</v>
      </c>
      <c r="AV36" s="21">
        <f>EXP(-LN(2)/25)*AV35+(1-EXP(-LN(2)/25))/(LN(2)/25)*Calculateur!AQ36*Calculateur!AS36*VLOOKUP('Données projet'!$B$10,Paramètres!$A$1:$I$89,3,0)*0.475*44/12</f>
        <v>16.672030523198284</v>
      </c>
      <c r="AW36" s="21">
        <f>EXP(-LN(2)/2)*AW35+(1-EXP(-LN(2)/2))/(LN(2)/2)*AQ36*AT36*VLOOKUP('Données projet'!$B$10,Paramètres!$A$1:$I$89,3,0)*0.475*44/12</f>
        <v>3.9856668388016883</v>
      </c>
      <c r="AX36" s="21">
        <f t="shared" si="6"/>
        <v>28.097143944319871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15.2</v>
      </c>
      <c r="BD36" s="12">
        <f>IF('Données projet'!$A$88&gt;35,BD35+BC36-BL35,IF(A36&lt;'Données projet'!$A$88,$BA$205^A36,IF(A36='Données projet'!$A$88,'Données projet'!$B$88,BD35+BC36-BL35)))</f>
        <v>208.60000000000002</v>
      </c>
      <c r="BE36" s="13">
        <f>BD36*VLOOKUP('Données projet'!$B$11,Paramètres!$A$1:$I$89,3,0)*VLOOKUP('Données projet'!$B$11,Paramètres!$A$1:$I$89,5,0)</f>
        <v>165.96216000000001</v>
      </c>
      <c r="BF36" s="13">
        <f t="shared" si="37"/>
        <v>42.184420424142857</v>
      </c>
      <c r="BG36" s="20">
        <f t="shared" si="7"/>
        <v>362.52196090538217</v>
      </c>
      <c r="BH36" s="59">
        <f t="shared" si="8"/>
        <v>655.85529423871549</v>
      </c>
      <c r="BI36" s="59">
        <f ca="1">AVERAGE(OFFSET($BH$3,0,0,'Données projet'!$E$11+1,1))-AVERAGE(OFFSET($H$3,0,0,'Données projet'!$E$11+1,1))</f>
        <v>325.72928944930294</v>
      </c>
      <c r="BJ36" s="59">
        <f t="shared" si="38"/>
        <v>318.38876834819752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16.315679061562136</v>
      </c>
      <c r="BQ36" s="21">
        <f>EXP(-LN(2)/25)*BQ35+(1-EXP(-LN(2)/25))/(LN(2)/25)*Calculateur!BL36*Calculateur!BN36*VLOOKUP('Données projet'!$B$11,Paramètres!$A$1:$I$89,3,0)*0.475*44/12</f>
        <v>19.029370989538247</v>
      </c>
      <c r="BR36" s="21">
        <f>EXP(-LN(2)/2)*BR35+(1-EXP(-LN(2)/2))/(LN(2)/2)*BL36*BO36*VLOOKUP('Données projet'!$B$11,Paramètres!$A$1:$I$89,3,0)*0.475*44/12</f>
        <v>4.1824379813729902</v>
      </c>
      <c r="BS36" s="22">
        <f t="shared" si="9"/>
        <v>39.527488032473379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28.4</v>
      </c>
      <c r="BY36" s="12">
        <f>IF('Données projet'!$A$114&gt;35,BY35+BX36-CG35,IF(A36&lt;'Données projet'!$A$114,$BV$205^A36,IF(A36='Données projet'!$A$114,'Données projet'!$B$114,BY35+BX36-CG35)))</f>
        <v>519.19999999999993</v>
      </c>
      <c r="BZ36" s="13">
        <f>BY36*VLOOKUP('Données projet'!$B$12,Paramètres!$A$1:$I$89,3,0)*VLOOKUP('Données projet'!$B$12,Paramètres!$A$1:$I$89,5,0)</f>
        <v>290.2328</v>
      </c>
      <c r="CA36" s="13">
        <f t="shared" si="39"/>
        <v>69.124955529636495</v>
      </c>
      <c r="CB36" s="20">
        <f t="shared" si="10"/>
        <v>625.88142421411692</v>
      </c>
      <c r="CC36" s="59">
        <f t="shared" si="11"/>
        <v>919.21475754745029</v>
      </c>
      <c r="CD36" s="59">
        <f ca="1">AVERAGE(OFFSET($CC$3,0,0,'Données projet'!$E$12+1,1))-AVERAGE(OFFSET($H$3,0,0,'Données projet'!$E$12+1,1))</f>
        <v>475.54809021014017</v>
      </c>
      <c r="CE36" s="59">
        <f t="shared" si="40"/>
        <v>593.51433014569966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6.9178762335464929</v>
      </c>
      <c r="CL36" s="21">
        <f>EXP(-LN(2)/25)*CL35+(1-EXP(-LN(2)/25))/(LN(2)/25)*Calculateur!CG36*Calculateur!CI36*VLOOKUP('Données projet'!$B$12,Paramètres!$A$1:$I$89,3,0)*0.475*44/12</f>
        <v>39.211241908173349</v>
      </c>
      <c r="CM36" s="21">
        <f>EXP(-LN(2)/2)*CM35+(1-EXP(-LN(2)/2))/(LN(2)/2)*CG36*CJ36*VLOOKUP('Données projet'!$B$12,Paramètres!$A$1:$I$89,3,0)*0.475*44/12</f>
        <v>5.0975178531536107</v>
      </c>
      <c r="CN36" s="22">
        <f t="shared" si="12"/>
        <v>51.226635994873455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</v>
      </c>
      <c r="CT36" s="12">
        <f>IF('Données projet'!$A$140&gt;35,CT35+CS36-DB35,IF(A36&lt;'Données projet'!$A$140,$CQ$205^A36,IF(A36='Données projet'!$A$140,'Données projet'!$B$140,CT35+CS36-DB35)))</f>
        <v>173.49999999999989</v>
      </c>
      <c r="CU36" s="17">
        <f>CT36*VLOOKUP('Données projet'!$B$13,Paramètres!$A$1:$I$89,3,0)*VLOOKUP('Données projet'!$B$13,Paramètres!$A$1:$I$89,5,0)</f>
        <v>81.197999999999951</v>
      </c>
      <c r="CV36" s="13">
        <f t="shared" si="41"/>
        <v>22.429847477648512</v>
      </c>
      <c r="CW36" s="20">
        <f t="shared" si="13"/>
        <v>180.48516769023772</v>
      </c>
      <c r="CX36" s="59">
        <f t="shared" si="14"/>
        <v>473.818501023571</v>
      </c>
      <c r="CY36" s="59">
        <f ca="1">AVERAGE(OFFSET($CX$3,0,0,'Données projet'!$E$13+1,1))-AVERAGE(OFFSET($H$3,0,0,'Données projet'!$E$13+1,1))</f>
        <v>226.0452828290525</v>
      </c>
      <c r="CZ36" s="59">
        <f t="shared" si="42"/>
        <v>179.89696397462069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8.5526345186466646</v>
      </c>
      <c r="DG36" s="21">
        <f>EXP(-LN(2)/25)*DG35+(1-EXP(-LN(2)/25))/(LN(2)/25)*Calculateur!DB36*Calculateur!DD36*VLOOKUP('Données projet'!$B$13,Paramètres!$A$1:$I$89,3,0)*0.475*44/12</f>
        <v>10.261307151561583</v>
      </c>
      <c r="DH36" s="21">
        <f>EXP(-LN(2)/2)*DH35+(1-EXP(-LN(2)/2))/(LN(2)/2)*DB36*DE36*VLOOKUP('Données projet'!$B$13,Paramètres!$A$1:$I$89,3,0)*0.475*44/12</f>
        <v>3.9043355747018973</v>
      </c>
      <c r="DI36" s="22">
        <f t="shared" si="15"/>
        <v>22.718277244910144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15.333333333333334</v>
      </c>
      <c r="DO36" s="12">
        <f>IF('Données projet'!$A$166&gt;35,DO35+DN36-DW35,IF(A36&lt;'Données projet'!$A$166,$DL$205^A36,IF(A36='Données projet'!$A$166,'Données projet'!$B$166,DO35+DN36-DW35)))</f>
        <v>268.66666666666669</v>
      </c>
      <c r="DP36" s="17">
        <f>DO36*VLOOKUP('Données projet'!$B$14,Paramètres!$A$1:$I$89,3,0)*VLOOKUP('Données projet'!$B$14,Paramètres!$A$1:$I$89,5,0)</f>
        <v>160.66266666666669</v>
      </c>
      <c r="DQ36" s="13">
        <f t="shared" si="43"/>
        <v>40.99194575038495</v>
      </c>
      <c r="DR36" s="20">
        <f t="shared" si="16"/>
        <v>351.21511662636493</v>
      </c>
      <c r="DS36" s="59">
        <f t="shared" si="17"/>
        <v>644.54844995969825</v>
      </c>
      <c r="DT36" s="59">
        <f ca="1">AVERAGE(OFFSET($DS$3,0,0,'Données projet'!$E$14+1,1))-AVERAGE(OFFSET($H$3,0,0,'Données projet'!$E$14+1,1))</f>
        <v>252.81045065813976</v>
      </c>
      <c r="DU36" s="59">
        <f t="shared" si="44"/>
        <v>254.36590349790589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17.013056516759935</v>
      </c>
      <c r="EB36" s="21">
        <f>EXP(-LN(2)/25)*EB35+(1-EXP(-LN(2)/25))/(LN(2)/25)*Calculateur!DW36*Calculateur!DY36*VLOOKUP('Données projet'!$B$14,Paramètres!$A$1:$I$89,3,0)*0.475*44/12</f>
        <v>14.838961825716748</v>
      </c>
      <c r="EC36" s="21">
        <f>EXP(-LN(2)/2)*EC35+(1-EXP(-LN(2)/2))/(LN(2)/2)*DW36*DZ36*VLOOKUP('Données projet'!$B$14,Paramètres!$A$1:$I$89,3,0)*0.475*44/12</f>
        <v>2.0298856682238959</v>
      </c>
      <c r="ED36" s="22">
        <f t="shared" si="18"/>
        <v>33.88190401070058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15.2</v>
      </c>
      <c r="EJ36" s="12">
        <f>IF('Données projet'!$A$192&gt;35,EJ35+EI36-ER35,IF(A36&lt;'Données projet'!$A$192,$EG$205^A36,IF(A36='Données projet'!$A$192,'Données projet'!$B$192,EJ35+EI36-ER35)))</f>
        <v>208.60000000000002</v>
      </c>
      <c r="EK36" s="17">
        <f>EJ36*VLOOKUP('Données projet'!$B$15,Paramètres!$A$1:$I$89,3,0)*VLOOKUP('Données projet'!$B$15,Paramètres!$A$1:$I$89,5,0)</f>
        <v>152.94552000000002</v>
      </c>
      <c r="EL36" s="13">
        <f t="shared" si="45"/>
        <v>39.247206134585156</v>
      </c>
      <c r="EM36" s="20">
        <f t="shared" si="19"/>
        <v>334.73566468440248</v>
      </c>
      <c r="EN36" s="59">
        <f t="shared" si="20"/>
        <v>628.06899801773579</v>
      </c>
      <c r="EO36" s="59">
        <f ca="1">AVERAGE(OFFSET($EN$3,0,0,'Données projet'!$E$15+1,1))-AVERAGE(OFFSET($H$3,0,0,'Données projet'!$E$15+1,1))</f>
        <v>296.91321813251051</v>
      </c>
      <c r="EP36" s="59">
        <f t="shared" si="46"/>
        <v>291.0718079639509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12.199033438186117</v>
      </c>
      <c r="EW36" s="21">
        <f>EXP(-LN(2)/25)*EW35+(1-EXP(-LN(2)/25))/(LN(2)/25)*Calculateur!ER36*Calculateur!ET36*VLOOKUP('Données projet'!$B$15,Paramètres!$A$1:$I$89,3,0)*0.475*44/12</f>
        <v>14.228027661804212</v>
      </c>
      <c r="EX36" s="21">
        <f>EXP(-LN(2)/2)*EX35+(1-EXP(-LN(2)/2))/(LN(2)/2)*ER36*EU36*VLOOKUP('Données projet'!$B$15,Paramètres!$A$1:$I$89,3,0)*0.475*44/12</f>
        <v>3.8544036298927544</v>
      </c>
      <c r="EY36" s="22">
        <f t="shared" si="21"/>
        <v>30.281464729883083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10.8</v>
      </c>
      <c r="FE36" s="12">
        <f>IF('Données projet'!$A$218&gt;35,FE35+FD36-FM35,IF(A36&lt;'Données projet'!$A$218,$FB$205^A36,IF(A36='Données projet'!$A$218,'Données projet'!$B$218,FE35+FD36-FM35)))</f>
        <v>125.40000000000003</v>
      </c>
      <c r="FF36" s="17">
        <f>FE36*VLOOKUP('Données projet'!$B$16,Paramètres!$A$1:$I$89,3,0)*VLOOKUP('Données projet'!$B$16,Paramètres!$A$1:$I$89,5,0)</f>
        <v>127.15560000000004</v>
      </c>
      <c r="FG36" s="13">
        <f t="shared" si="47"/>
        <v>33.338258149231912</v>
      </c>
      <c r="FH36" s="20">
        <f t="shared" si="22"/>
        <v>279.52680294324563</v>
      </c>
      <c r="FI36" s="59">
        <f t="shared" si="23"/>
        <v>572.86013627657894</v>
      </c>
      <c r="FJ36" s="59">
        <f ca="1">AVERAGE(OFFSET($FI$3,0,0,'Données projet'!$E$16+1,1))-AVERAGE(OFFSET($H$3,0,0,'Données projet'!$E$16+1,1))</f>
        <v>356.65981389369125</v>
      </c>
      <c r="FK36" s="59">
        <f t="shared" si="48"/>
        <v>231.92898690465887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7.7180528514339191</v>
      </c>
      <c r="FR36" s="21">
        <f>EXP(-LN(2)/25)*FR35+(1-EXP(-LN(2)/25))/(LN(2)/25)*Calculateur!FM36*Calculateur!FO36*VLOOKUP('Données projet'!$B$16,Paramètres!$A$1:$I$89,3,0)*0.475*44/12</f>
        <v>9.6573661930865473</v>
      </c>
      <c r="FS36" s="21">
        <f>EXP(-LN(2)/2)*FS35+(1-EXP(-LN(2)/2))/(LN(2)/2)*FM36*FP36*VLOOKUP('Données projet'!$B$16,Paramètres!$A$1:$I$89,3,0)*0.475*44/12</f>
        <v>3.3817023277053537</v>
      </c>
      <c r="FT36" s="22">
        <f t="shared" si="24"/>
        <v>20.757121372225821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10.8</v>
      </c>
      <c r="FZ36" s="12">
        <f>IF('Données projet'!$A$244&gt;35,FZ35+FY36-GH35,IF(A36&lt;'Données projet'!$A$244,$FW$205^A36,IF(A36='Données projet'!$A$244,'Données projet'!$B$244,FZ35+FY36-GH35)))</f>
        <v>125.40000000000003</v>
      </c>
      <c r="GA36" s="17">
        <f>FZ36*VLOOKUP('Données projet'!$B$17,Paramètres!$A$1:$I$89,3,0)*VLOOKUP('Données projet'!$B$17,Paramètres!$A$1:$I$89,5,0)</f>
        <v>121.28688000000004</v>
      </c>
      <c r="GB36" s="13">
        <f t="shared" si="49"/>
        <v>31.974956333849104</v>
      </c>
      <c r="GC36" s="20">
        <f t="shared" si="25"/>
        <v>266.93103161478729</v>
      </c>
      <c r="GD36" s="59">
        <f t="shared" si="26"/>
        <v>560.2643649481206</v>
      </c>
      <c r="GE36" s="59">
        <f ca="1">AVERAGE(OFFSET($GD$3,0,0,'Données projet'!$E$17+1,1))-AVERAGE(OFFSET($H$3,0,0,'Données projet'!$E$17+1,1))</f>
        <v>337.76140497227715</v>
      </c>
      <c r="GF36" s="59">
        <f t="shared" si="50"/>
        <v>219.76562717496353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7.3618350275215851</v>
      </c>
      <c r="GM36" s="21">
        <f>EXP(-LN(2)/25)*GM35+(1-EXP(-LN(2)/25))/(LN(2)/25)*Calculateur!GH36*Calculateur!GJ36*VLOOKUP('Données projet'!$B$17,Paramètres!$A$1:$I$89,3,0)*0.475*44/12</f>
        <v>9.2116415995594778</v>
      </c>
      <c r="GN36" s="21">
        <f>EXP(-LN(2)/2)*GN35+(1-EXP(-LN(2)/2))/(LN(2)/2)*GH36*GK36*VLOOKUP('Données projet'!$B$17,Paramètres!$A$1:$I$89,3,0)*0.475*44/12</f>
        <v>3.2256237587343382</v>
      </c>
      <c r="GO36" s="21">
        <f t="shared" si="27"/>
        <v>19.7991003858154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136.20000000000005</v>
      </c>
      <c r="O37" s="13">
        <f>N37*VLOOKUP('Données projet'!$B$9,Paramètres!$A$1:$I$89,3,0)*VLOOKUP('Données projet'!$B$9,Paramètres!$A$1:$I$89,5,0)</f>
        <v>123.23376000000005</v>
      </c>
      <c r="P37" s="13">
        <f t="shared" si="33"/>
        <v>32.428049504876491</v>
      </c>
      <c r="Q37" s="20">
        <f t="shared" si="53"/>
        <v>271.11098488765998</v>
      </c>
      <c r="R37" s="59">
        <f t="shared" si="0"/>
        <v>564.4443182209933</v>
      </c>
      <c r="S37" s="59">
        <f ca="1">AVERAGE(OFFSET($R$3,0,0,'Données projet'!$E$9+1,1))-AVERAGE(OFFSET($H$3,0,0,'Données projet'!$E$9+1,1))</f>
        <v>312.53389584272878</v>
      </c>
      <c r="T37" s="59">
        <f t="shared" si="34"/>
        <v>203.5274665601915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6.7518304533654296</v>
      </c>
      <c r="AA37" s="21">
        <f>EXP(-LN(2)/25)*AA36+(1-EXP(-LN(2)/25))/(LN(2)/25)*Calculateur!V37*Calculateur!X37*VLOOKUP('Données projet'!$B$9,Paramètres!$A$1:$I$89,3,0)*0.475*44/12</f>
        <v>8.3817004674970974</v>
      </c>
      <c r="AB37" s="21">
        <f>EXP(-LN(2)/2)*AB36+(1-EXP(-LN(2)/2))/(LN(2)/2)*V37*Y37*VLOOKUP('Données projet'!$B$9,Paramètres!$A$1:$I$89,3,0)*0.475*44/12</f>
        <v>2.1337081473344264</v>
      </c>
      <c r="AC37" s="22">
        <f t="shared" si="3"/>
        <v>17.267239068196954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13.6</v>
      </c>
      <c r="AI37" s="13">
        <f>IF('Données projet'!$A$62&gt;35,AI36+AH37-AQ36,IF(A37&lt;'Données projet'!$A$62,$AF$205^A37,IF(A37='Données projet'!$A$62,'Données projet'!$B$62,AI36+AH37-AQ36)))</f>
        <v>208.40000000000009</v>
      </c>
      <c r="AJ37" s="13">
        <f>AI37*VLOOKUP('Données projet'!$B$10,Paramètres!$A$1:$I$89,3,0)*VLOOKUP('Données projet'!$B$10,Paramètres!$A$1:$I$89,5,0)</f>
        <v>182.0582400000001</v>
      </c>
      <c r="AK37" s="13">
        <f t="shared" si="35"/>
        <v>45.779803189729343</v>
      </c>
      <c r="AL37" s="20">
        <f t="shared" si="4"/>
        <v>396.81792522211208</v>
      </c>
      <c r="AM37" s="59">
        <f t="shared" si="5"/>
        <v>690.15125855544534</v>
      </c>
      <c r="AN37" s="59">
        <f ca="1">AVERAGE(OFFSET($AM$3,0,0,'Données projet'!$E$10+1,1))-AVERAGE(OFFSET($H$3,0,0,'Données projet'!$E$10+1,1))</f>
        <v>243.05628303465238</v>
      </c>
      <c r="AO37" s="59">
        <f t="shared" si="36"/>
        <v>352.47096767658394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7.2935635724549677</v>
      </c>
      <c r="AV37" s="21">
        <f>EXP(-LN(2)/25)*AV36+(1-EXP(-LN(2)/25))/(LN(2)/25)*Calculateur!AQ37*Calculateur!AS37*VLOOKUP('Données projet'!$B$10,Paramètres!$A$1:$I$89,3,0)*0.475*44/12</f>
        <v>16.216132971797446</v>
      </c>
      <c r="AW37" s="21">
        <f>EXP(-LN(2)/2)*AW36+(1-EXP(-LN(2)/2))/(LN(2)/2)*AQ37*AT37*VLOOKUP('Données projet'!$B$10,Paramètres!$A$1:$I$89,3,0)*0.475*44/12</f>
        <v>2.8182920492670243</v>
      </c>
      <c r="AX37" s="21">
        <f t="shared" si="6"/>
        <v>26.327988593519439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15.2</v>
      </c>
      <c r="BD37" s="12">
        <f>IF('Données projet'!$A$88&gt;35,BD36+BC37-BL36,IF(A37&lt;'Données projet'!$A$88,$BA$205^A37,IF(A37='Données projet'!$A$88,'Données projet'!$B$88,BD36+BC37-BL36)))</f>
        <v>223.8</v>
      </c>
      <c r="BE37" s="13">
        <f>BD37*VLOOKUP('Données projet'!$B$11,Paramètres!$A$1:$I$89,3,0)*VLOOKUP('Données projet'!$B$11,Paramètres!$A$1:$I$89,5,0)</f>
        <v>178.05528000000001</v>
      </c>
      <c r="BF37" s="13">
        <f t="shared" si="37"/>
        <v>44.889248639558041</v>
      </c>
      <c r="BG37" s="20">
        <f t="shared" si="7"/>
        <v>388.29505404723028</v>
      </c>
      <c r="BH37" s="59">
        <f t="shared" si="8"/>
        <v>681.62838738056359</v>
      </c>
      <c r="BI37" s="59">
        <f ca="1">AVERAGE(OFFSET($BH$3,0,0,'Données projet'!$E$11+1,1))-AVERAGE(OFFSET($H$3,0,0,'Données projet'!$E$11+1,1))</f>
        <v>325.72928944930294</v>
      </c>
      <c r="BJ37" s="59">
        <f t="shared" si="38"/>
        <v>318.38876834819752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15.995738546746493</v>
      </c>
      <c r="BQ37" s="21">
        <f>EXP(-LN(2)/25)*BQ36+(1-EXP(-LN(2)/25))/(LN(2)/25)*Calculateur!BL37*Calculateur!BN37*VLOOKUP('Données projet'!$B$11,Paramètres!$A$1:$I$89,3,0)*0.475*44/12</f>
        <v>18.509011839118195</v>
      </c>
      <c r="BR37" s="21">
        <f>EXP(-LN(2)/2)*BR36+(1-EXP(-LN(2)/2))/(LN(2)/2)*BL37*BO37*VLOOKUP('Données projet'!$B$11,Paramètres!$A$1:$I$89,3,0)*0.475*44/12</f>
        <v>2.9574302585210166</v>
      </c>
      <c r="BS37" s="22">
        <f t="shared" si="9"/>
        <v>37.462180644385704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28.4</v>
      </c>
      <c r="BY37" s="12">
        <f>IF('Données projet'!$A$114&gt;35,BY36+BX37-CG36,IF(A37&lt;'Données projet'!$A$114,$BV$205^A37,IF(A37='Données projet'!$A$114,'Données projet'!$B$114,BY36+BX37-CG36)))</f>
        <v>547.59999999999991</v>
      </c>
      <c r="BZ37" s="13">
        <f>BY37*VLOOKUP('Données projet'!$B$12,Paramètres!$A$1:$I$89,3,0)*VLOOKUP('Données projet'!$B$12,Paramètres!$A$1:$I$89,5,0)</f>
        <v>306.10839999999996</v>
      </c>
      <c r="CA37" s="13">
        <f t="shared" si="39"/>
        <v>72.455512621968097</v>
      </c>
      <c r="CB37" s="20">
        <f t="shared" si="10"/>
        <v>659.33214781659433</v>
      </c>
      <c r="CC37" s="59">
        <f t="shared" si="11"/>
        <v>952.6654811499277</v>
      </c>
      <c r="CD37" s="59">
        <f ca="1">AVERAGE(OFFSET($CC$3,0,0,'Données projet'!$E$12+1,1))-AVERAGE(OFFSET($H$3,0,0,'Données projet'!$E$12+1,1))</f>
        <v>475.54809021014017</v>
      </c>
      <c r="CE37" s="59">
        <f t="shared" si="40"/>
        <v>593.51433014569966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6.7822209000945088</v>
      </c>
      <c r="CL37" s="21">
        <f>EXP(-LN(2)/25)*CL36+(1-EXP(-LN(2)/25))/(LN(2)/25)*Calculateur!CG37*Calculateur!CI37*VLOOKUP('Données projet'!$B$12,Paramètres!$A$1:$I$89,3,0)*0.475*44/12</f>
        <v>38.139008436164758</v>
      </c>
      <c r="CM37" s="21">
        <f>EXP(-LN(2)/2)*CM36+(1-EXP(-LN(2)/2))/(LN(2)/2)*CG37*CJ37*VLOOKUP('Données projet'!$B$12,Paramètres!$A$1:$I$89,3,0)*0.475*44/12</f>
        <v>3.6044894411844099</v>
      </c>
      <c r="CN37" s="22">
        <f t="shared" si="12"/>
        <v>48.525718777443679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</v>
      </c>
      <c r="CT37" s="12">
        <f>IF('Données projet'!$A$140&gt;35,CT36+CS37-DB36,IF(A37&lt;'Données projet'!$A$140,$CQ$205^A37,IF(A37='Données projet'!$A$140,'Données projet'!$B$140,CT36+CS37-DB36)))</f>
        <v>183.49999999999989</v>
      </c>
      <c r="CU37" s="17">
        <f>CT37*VLOOKUP('Données projet'!$B$13,Paramètres!$A$1:$I$89,3,0)*VLOOKUP('Données projet'!$B$13,Paramètres!$A$1:$I$89,5,0)</f>
        <v>85.877999999999957</v>
      </c>
      <c r="CV37" s="13">
        <f t="shared" si="41"/>
        <v>23.56840165498652</v>
      </c>
      <c r="CW37" s="20">
        <f t="shared" si="13"/>
        <v>190.61914954910142</v>
      </c>
      <c r="CX37" s="59">
        <f t="shared" si="14"/>
        <v>483.95248288243477</v>
      </c>
      <c r="CY37" s="59">
        <f ca="1">AVERAGE(OFFSET($CX$3,0,0,'Données projet'!$E$13+1,1))-AVERAGE(OFFSET($H$3,0,0,'Données projet'!$E$13+1,1))</f>
        <v>226.0452828290525</v>
      </c>
      <c r="CZ37" s="59">
        <f t="shared" si="42"/>
        <v>179.89696397462069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8.3849225723279641</v>
      </c>
      <c r="DG37" s="21">
        <f>EXP(-LN(2)/25)*DG36+(1-EXP(-LN(2)/25))/(LN(2)/25)*Calculateur!DB37*Calculateur!DD37*VLOOKUP('Données projet'!$B$13,Paramètres!$A$1:$I$89,3,0)*0.475*44/12</f>
        <v>9.9807111678834417</v>
      </c>
      <c r="DH37" s="21">
        <f>EXP(-LN(2)/2)*DH36+(1-EXP(-LN(2)/2))/(LN(2)/2)*DB37*DE37*VLOOKUP('Données projet'!$B$13,Paramètres!$A$1:$I$89,3,0)*0.475*44/12</f>
        <v>2.7607821608995882</v>
      </c>
      <c r="DI37" s="22">
        <f t="shared" si="15"/>
        <v>21.126415901110995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>
        <f>VLOOKUP(A37,'Données projet'!$A$165:$I$185,2,0)</f>
        <v>284</v>
      </c>
      <c r="DM37" s="12">
        <f>VLOOKUP(A37,'Données projet'!$A$165:$I$185,9,0)</f>
        <v>15.333333333333334</v>
      </c>
      <c r="DN37" s="12">
        <f t="array" ref="DN37">INDEX(DM:DM,MIN(IF(ISNUMBER(DM37:DM233),ROW(DM37:DM233),"")))</f>
        <v>15.333333333333334</v>
      </c>
      <c r="DO37" s="12">
        <f>IF('Données projet'!$A$166&gt;35,DO36+DN37-DW36,IF(A37&lt;'Données projet'!$A$166,$DL$205^A37,IF(A37='Données projet'!$A$166,'Données projet'!$B$166,DO36+DN37-DW36)))</f>
        <v>284</v>
      </c>
      <c r="DP37" s="17">
        <f>DO37*VLOOKUP('Données projet'!$B$14,Paramètres!$A$1:$I$89,3,0)*VLOOKUP('Données projet'!$B$14,Paramètres!$A$1:$I$89,5,0)</f>
        <v>169.83200000000002</v>
      </c>
      <c r="DQ37" s="13">
        <f t="shared" si="43"/>
        <v>43.052395009050464</v>
      </c>
      <c r="DR37" s="20">
        <f t="shared" si="16"/>
        <v>370.77365464076291</v>
      </c>
      <c r="DS37" s="59">
        <f t="shared" si="17"/>
        <v>664.10698797409623</v>
      </c>
      <c r="DT37" s="59">
        <f ca="1">AVERAGE(OFFSET($DS$3,0,0,'Données projet'!$E$14+1,1))-AVERAGE(OFFSET($H$3,0,0,'Données projet'!$E$14+1,1))</f>
        <v>252.81045065813976</v>
      </c>
      <c r="DU37" s="59">
        <f t="shared" si="44"/>
        <v>254.36590349790589</v>
      </c>
      <c r="DV37" s="15">
        <f>IF(ISNA(VLOOKUP(A37,'Données projet'!$A$165:$I$185,3,0)),0,VLOOKUP(A37,'Données projet'!$A$165:$I$185,3,0))</f>
        <v>6</v>
      </c>
      <c r="DW37" s="15">
        <f>IF(ISNA(VLOOKUP(A37,'Données projet'!$A$165:$I$185,4,0)),0,VLOOKUP(A37,'Données projet'!$A$165:$I$185,4,0))</f>
        <v>60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16.67944085540611</v>
      </c>
      <c r="EB37" s="21">
        <f>EXP(-LN(2)/25)*EB36+(1-EXP(-LN(2)/25))/(LN(2)/25)*Calculateur!DW37*Calculateur!DY37*VLOOKUP('Données projet'!$B$14,Paramètres!$A$1:$I$89,3,0)*0.475*44/12</f>
        <v>14.433189634245435</v>
      </c>
      <c r="EC37" s="21">
        <f>EXP(-LN(2)/2)*EC36+(1-EXP(-LN(2)/2))/(LN(2)/2)*DW37*DZ37*VLOOKUP('Données projet'!$B$14,Paramètres!$A$1:$I$89,3,0)*0.475*44/12</f>
        <v>1.4353459210345032</v>
      </c>
      <c r="ED37" s="22">
        <f t="shared" si="18"/>
        <v>32.547976410686047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15.2</v>
      </c>
      <c r="EJ37" s="12">
        <f>IF('Données projet'!$A$192&gt;35,EJ36+EI37-ER36,IF(A37&lt;'Données projet'!$A$192,$EG$205^A37,IF(A37='Données projet'!$A$192,'Données projet'!$B$192,EJ36+EI37-ER36)))</f>
        <v>223.8</v>
      </c>
      <c r="EK37" s="17">
        <f>EJ37*VLOOKUP('Données projet'!$B$15,Paramètres!$A$1:$I$89,3,0)*VLOOKUP('Données projet'!$B$15,Paramètres!$A$1:$I$89,5,0)</f>
        <v>164.09016</v>
      </c>
      <c r="EL37" s="13">
        <f t="shared" si="45"/>
        <v>41.763702733606458</v>
      </c>
      <c r="EM37" s="20">
        <f t="shared" si="19"/>
        <v>358.52881092769786</v>
      </c>
      <c r="EN37" s="59">
        <f t="shared" si="20"/>
        <v>651.86214426103118</v>
      </c>
      <c r="EO37" s="59">
        <f ca="1">AVERAGE(OFFSET($EN$3,0,0,'Données projet'!$E$15+1,1))-AVERAGE(OFFSET($H$3,0,0,'Données projet'!$E$15+1,1))</f>
        <v>296.91321813251051</v>
      </c>
      <c r="EP37" s="59">
        <f t="shared" si="46"/>
        <v>291.0718079639509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11.959817833138979</v>
      </c>
      <c r="EW37" s="21">
        <f>EXP(-LN(2)/25)*EW36+(1-EXP(-LN(2)/25))/(LN(2)/25)*Calculateur!ER37*Calculateur!ET37*VLOOKUP('Données projet'!$B$15,Paramètres!$A$1:$I$89,3,0)*0.475*44/12</f>
        <v>13.83896149717272</v>
      </c>
      <c r="EX37" s="21">
        <f>EXP(-LN(2)/2)*EX36+(1-EXP(-LN(2)/2))/(LN(2)/2)*ER37*EU37*VLOOKUP('Données projet'!$B$15,Paramètres!$A$1:$I$89,3,0)*0.475*44/12</f>
        <v>2.7254749441272108</v>
      </c>
      <c r="EY37" s="22">
        <f t="shared" si="21"/>
        <v>28.52425427443891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10.8</v>
      </c>
      <c r="FE37" s="12">
        <f>IF('Données projet'!$A$218&gt;35,FE36+FD37-FM36,IF(A37&lt;'Données projet'!$A$218,$FB$205^A37,IF(A37='Données projet'!$A$218,'Données projet'!$B$218,FE36+FD37-FM36)))</f>
        <v>136.20000000000005</v>
      </c>
      <c r="FF37" s="17">
        <f>FE37*VLOOKUP('Données projet'!$B$16,Paramètres!$A$1:$I$89,3,0)*VLOOKUP('Données projet'!$B$16,Paramètres!$A$1:$I$89,5,0)</f>
        <v>138.10680000000005</v>
      </c>
      <c r="FG37" s="13">
        <f t="shared" si="47"/>
        <v>35.862956890686135</v>
      </c>
      <c r="FH37" s="20">
        <f t="shared" si="22"/>
        <v>302.99732658461176</v>
      </c>
      <c r="FI37" s="59">
        <f t="shared" si="23"/>
        <v>596.33065991794501</v>
      </c>
      <c r="FJ37" s="59">
        <f ca="1">AVERAGE(OFFSET($FI$3,0,0,'Données projet'!$E$16+1,1))-AVERAGE(OFFSET($H$3,0,0,'Données projet'!$E$16+1,1))</f>
        <v>356.65981389369125</v>
      </c>
      <c r="FK37" s="59">
        <f t="shared" si="48"/>
        <v>231.92898690465887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7.5667065425647078</v>
      </c>
      <c r="FR37" s="21">
        <f>EXP(-LN(2)/25)*FR36+(1-EXP(-LN(2)/25))/(LN(2)/25)*Calculateur!FM37*Calculateur!FO37*VLOOKUP('Données projet'!$B$16,Paramètres!$A$1:$I$89,3,0)*0.475*44/12</f>
        <v>9.3932850066777807</v>
      </c>
      <c r="FS37" s="21">
        <f>EXP(-LN(2)/2)*FS36+(1-EXP(-LN(2)/2))/(LN(2)/2)*FM37*FP37*VLOOKUP('Données projet'!$B$16,Paramètres!$A$1:$I$89,3,0)*0.475*44/12</f>
        <v>2.3912246478747883</v>
      </c>
      <c r="FT37" s="22">
        <f t="shared" si="24"/>
        <v>19.351216197117278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10.8</v>
      </c>
      <c r="FZ37" s="12">
        <f>IF('Données projet'!$A$244&gt;35,FZ36+FY37-GH36,IF(A37&lt;'Données projet'!$A$244,$FW$205^A37,IF(A37='Données projet'!$A$244,'Données projet'!$B$244,FZ36+FY37-GH36)))</f>
        <v>136.20000000000005</v>
      </c>
      <c r="GA37" s="17">
        <f>FZ37*VLOOKUP('Données projet'!$B$17,Paramètres!$A$1:$I$89,3,0)*VLOOKUP('Données projet'!$B$17,Paramètres!$A$1:$I$89,5,0)</f>
        <v>131.73264000000006</v>
      </c>
      <c r="GB37" s="13">
        <f t="shared" si="49"/>
        <v>34.396412537492502</v>
      </c>
      <c r="GC37" s="20">
        <f t="shared" si="25"/>
        <v>289.3414331694662</v>
      </c>
      <c r="GD37" s="59">
        <f t="shared" si="26"/>
        <v>582.67476650279946</v>
      </c>
      <c r="GE37" s="59">
        <f ca="1">AVERAGE(OFFSET($GD$3,0,0,'Données projet'!$E$17+1,1))-AVERAGE(OFFSET($H$3,0,0,'Données projet'!$E$17+1,1))</f>
        <v>337.76140497227715</v>
      </c>
      <c r="GF37" s="59">
        <f t="shared" si="50"/>
        <v>219.76562717496353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7.2174739329078754</v>
      </c>
      <c r="GM37" s="21">
        <f>EXP(-LN(2)/25)*GM36+(1-EXP(-LN(2)/25))/(LN(2)/25)*Calculateur!GH37*Calculateur!GJ37*VLOOKUP('Données projet'!$B$17,Paramètres!$A$1:$I$89,3,0)*0.475*44/12</f>
        <v>8.959748775600346</v>
      </c>
      <c r="GN37" s="21">
        <f>EXP(-LN(2)/2)*GN36+(1-EXP(-LN(2)/2))/(LN(2)/2)*GH37*GK37*VLOOKUP('Données projet'!$B$17,Paramètres!$A$1:$I$89,3,0)*0.475*44/12</f>
        <v>2.2808604333574909</v>
      </c>
      <c r="GO37" s="21">
        <f t="shared" si="27"/>
        <v>18.458083141865714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147.00000000000006</v>
      </c>
      <c r="O38" s="13">
        <f>N38*VLOOKUP('Données projet'!$B$9,Paramètres!$A$1:$I$89,3,0)*VLOOKUP('Données projet'!$B$9,Paramètres!$A$1:$I$89,5,0)</f>
        <v>133.00560000000004</v>
      </c>
      <c r="P38" s="13">
        <f t="shared" si="33"/>
        <v>34.689938673073549</v>
      </c>
      <c r="Q38" s="20">
        <f t="shared" si="53"/>
        <v>292.06972985560316</v>
      </c>
      <c r="R38" s="59">
        <f t="shared" si="0"/>
        <v>585.40306318893647</v>
      </c>
      <c r="S38" s="59">
        <f ca="1">AVERAGE(OFFSET($R$3,0,0,'Données projet'!$E$9+1,1))-AVERAGE(OFFSET($H$3,0,0,'Données projet'!$E$9+1,1))</f>
        <v>312.53389584272878</v>
      </c>
      <c r="T38" s="59">
        <f t="shared" si="34"/>
        <v>203.5274665601915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6.6194311763848708</v>
      </c>
      <c r="AA38" s="21">
        <f>EXP(-LN(2)/25)*AA37+(1-EXP(-LN(2)/25))/(LN(2)/25)*Calculateur!V38*Calculateur!X38*VLOOKUP('Données projet'!$B$9,Paramètres!$A$1:$I$89,3,0)*0.475*44/12</f>
        <v>8.1525024274389182</v>
      </c>
      <c r="AB38" s="21">
        <f>EXP(-LN(2)/2)*AB37+(1-EXP(-LN(2)/2))/(LN(2)/2)*V38*Y38*VLOOKUP('Données projet'!$B$9,Paramètres!$A$1:$I$89,3,0)*0.475*44/12</f>
        <v>1.508759500053158</v>
      </c>
      <c r="AC38" s="22">
        <f t="shared" si="3"/>
        <v>16.280693103876949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222</v>
      </c>
      <c r="AG38" s="12">
        <f>VLOOKUP(A38,'Données projet'!$A$61:$I$81,9,0)</f>
        <v>13.6</v>
      </c>
      <c r="AH38" s="12">
        <f t="array" ref="AH38">INDEX(AG:AG,MIN(IF(ISNUMBER(AG38:AG234),ROW(AG38:AG234),"")))</f>
        <v>13.6</v>
      </c>
      <c r="AI38" s="13">
        <f>IF('Données projet'!$A$62&gt;35,AI37+AH38-AQ37,IF(A38&lt;'Données projet'!$A$62,$AF$205^A38,IF(A38='Données projet'!$A$62,'Données projet'!$B$62,AI37+AH38-AQ37)))</f>
        <v>222.00000000000009</v>
      </c>
      <c r="AJ38" s="13">
        <f>AI38*VLOOKUP('Données projet'!$B$10,Paramètres!$A$1:$I$89,3,0)*VLOOKUP('Données projet'!$B$10,Paramètres!$A$1:$I$89,5,0)</f>
        <v>193.93920000000011</v>
      </c>
      <c r="AK38" s="13">
        <f t="shared" si="35"/>
        <v>48.409811198069384</v>
      </c>
      <c r="AL38" s="20">
        <f t="shared" si="4"/>
        <v>422.09119450330428</v>
      </c>
      <c r="AM38" s="59">
        <f t="shared" si="5"/>
        <v>715.42452783663759</v>
      </c>
      <c r="AN38" s="59">
        <f ca="1">AVERAGE(OFFSET($AM$3,0,0,'Données projet'!$E$10+1,1))-AVERAGE(OFFSET($H$3,0,0,'Données projet'!$E$10+1,1))</f>
        <v>243.05628303465238</v>
      </c>
      <c r="AO38" s="59">
        <f t="shared" si="36"/>
        <v>352.47096767658394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49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7.1505412394336387</v>
      </c>
      <c r="AV38" s="21">
        <f>EXP(-LN(2)/25)*AV37+(1-EXP(-LN(2)/25))/(LN(2)/25)*Calculateur!AQ38*Calculateur!AS38*VLOOKUP('Données projet'!$B$10,Paramètres!$A$1:$I$89,3,0)*0.475*44/12</f>
        <v>15.772701962914274</v>
      </c>
      <c r="AW38" s="21">
        <f>EXP(-LN(2)/2)*AW37+(1-EXP(-LN(2)/2))/(LN(2)/2)*AQ38*AT38*VLOOKUP('Données projet'!$B$10,Paramètres!$A$1:$I$89,3,0)*0.475*44/12</f>
        <v>1.9928334194008446</v>
      </c>
      <c r="AX38" s="21">
        <f t="shared" si="6"/>
        <v>24.916076621748758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239</v>
      </c>
      <c r="BB38" s="12">
        <f>VLOOKUP(A38,'Données projet'!$A$87:$I$107,9,0)</f>
        <v>15.2</v>
      </c>
      <c r="BC38" s="12">
        <f t="array" ref="BC38">INDEX(BB:BB,MIN(IF(ISNUMBER(BB38:BB234),ROW(BB38:BB234),"")))</f>
        <v>15.2</v>
      </c>
      <c r="BD38" s="12">
        <f>IF('Données projet'!$A$88&gt;35,BD37+BC38-BL37,IF(A38&lt;'Données projet'!$A$88,$BA$205^A38,IF(A38='Données projet'!$A$88,'Données projet'!$B$88,BD37+BC38-BL37)))</f>
        <v>239</v>
      </c>
      <c r="BE38" s="13">
        <f>BD38*VLOOKUP('Données projet'!$B$11,Paramètres!$A$1:$I$89,3,0)*VLOOKUP('Données projet'!$B$11,Paramètres!$A$1:$I$89,5,0)</f>
        <v>190.14840000000001</v>
      </c>
      <c r="BF38" s="13">
        <f t="shared" si="37"/>
        <v>47.572760493232991</v>
      </c>
      <c r="BG38" s="20">
        <f t="shared" si="7"/>
        <v>414.03102119238082</v>
      </c>
      <c r="BH38" s="59">
        <f t="shared" si="8"/>
        <v>707.36435452571413</v>
      </c>
      <c r="BI38" s="59">
        <f ca="1">AVERAGE(OFFSET($BH$3,0,0,'Données projet'!$E$11+1,1))-AVERAGE(OFFSET($H$3,0,0,'Données projet'!$E$11+1,1))</f>
        <v>325.72928944930294</v>
      </c>
      <c r="BJ38" s="59">
        <f t="shared" si="38"/>
        <v>318.38876834819752</v>
      </c>
      <c r="BK38" s="15">
        <f>IF(ISNA(VLOOKUP(A38,'Données projet'!$A$87:$I$107,3,0)),0,VLOOKUP(A38,'Données projet'!$A$87:$I$107,3,0))</f>
        <v>6</v>
      </c>
      <c r="BL38" s="15">
        <f>IF(ISNA(VLOOKUP(A38,'Données projet'!$A$87:$I$107,4,0)),0,VLOOKUP(A38,'Données projet'!$A$87:$I$107,4,0))</f>
        <v>42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15.682071870281939</v>
      </c>
      <c r="BQ38" s="21">
        <f>EXP(-LN(2)/25)*BQ37+(1-EXP(-LN(2)/25))/(LN(2)/25)*Calculateur!BL38*Calculateur!BN38*VLOOKUP('Données projet'!$B$11,Paramètres!$A$1:$I$89,3,0)*0.475*44/12</f>
        <v>18.002881937030878</v>
      </c>
      <c r="BR38" s="21">
        <f>EXP(-LN(2)/2)*BR37+(1-EXP(-LN(2)/2))/(LN(2)/2)*BL38*BO38*VLOOKUP('Données projet'!$B$11,Paramètres!$A$1:$I$89,3,0)*0.475*44/12</f>
        <v>2.0912189906864951</v>
      </c>
      <c r="BS38" s="22">
        <f t="shared" si="9"/>
        <v>35.776172797999308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576</v>
      </c>
      <c r="BW38" s="12">
        <f>VLOOKUP(A38,'Données projet'!$A$113:$I$133,9,0)</f>
        <v>28.4</v>
      </c>
      <c r="BX38" s="12">
        <f t="array" ref="BX38">INDEX(BW:BW,MIN(IF(ISNUMBER(BW38:BW234),ROW(BW38:BW234),"")))</f>
        <v>28.4</v>
      </c>
      <c r="BY38" s="12">
        <f>IF('Données projet'!$A$114&gt;35,BY37+BX38-CG37,IF(A38&lt;'Données projet'!$A$114,$BV$205^A38,IF(A38='Données projet'!$A$114,'Données projet'!$B$114,BY37+BX38-CG37)))</f>
        <v>575.99999999999989</v>
      </c>
      <c r="BZ38" s="13">
        <f>BY38*VLOOKUP('Données projet'!$B$12,Paramètres!$A$1:$I$89,3,0)*VLOOKUP('Données projet'!$B$12,Paramètres!$A$1:$I$89,5,0)</f>
        <v>321.98399999999992</v>
      </c>
      <c r="CA38" s="13">
        <f t="shared" si="39"/>
        <v>75.76601483154208</v>
      </c>
      <c r="CB38" s="20">
        <f t="shared" si="10"/>
        <v>692.74794249826891</v>
      </c>
      <c r="CC38" s="59">
        <f t="shared" si="11"/>
        <v>986.08127583160217</v>
      </c>
      <c r="CD38" s="59">
        <f ca="1">AVERAGE(OFFSET($CC$3,0,0,'Données projet'!$E$12+1,1))-AVERAGE(OFFSET($H$3,0,0,'Données projet'!$E$12+1,1))</f>
        <v>475.54809021014017</v>
      </c>
      <c r="CE38" s="59">
        <f t="shared" si="40"/>
        <v>593.51433014569966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72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6.6492256849899345</v>
      </c>
      <c r="CL38" s="21">
        <f>EXP(-LN(2)/25)*CL37+(1-EXP(-LN(2)/25))/(LN(2)/25)*Calculateur!CG38*Calculateur!CI38*VLOOKUP('Données projet'!$B$12,Paramètres!$A$1:$I$89,3,0)*0.475*44/12</f>
        <v>37.096095244834544</v>
      </c>
      <c r="CM38" s="21">
        <f>EXP(-LN(2)/2)*CM37+(1-EXP(-LN(2)/2))/(LN(2)/2)*CG38*CJ38*VLOOKUP('Données projet'!$B$12,Paramètres!$A$1:$I$89,3,0)*0.475*44/12</f>
        <v>2.5487589265768058</v>
      </c>
      <c r="CN38" s="22">
        <f t="shared" si="12"/>
        <v>46.294079856401282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10</v>
      </c>
      <c r="CT38" s="12">
        <f>IF('Données projet'!$A$140&gt;35,CT37+CS38-DB37,IF(A38&lt;'Données projet'!$A$140,$CQ$205^A38,IF(A38='Données projet'!$A$140,'Données projet'!$B$140,CT37+CS38-DB37)))</f>
        <v>193.49999999999989</v>
      </c>
      <c r="CU38" s="17">
        <f>CT38*VLOOKUP('Données projet'!$B$13,Paramètres!$A$1:$I$89,3,0)*VLOOKUP('Données projet'!$B$13,Paramètres!$A$1:$I$89,5,0)</f>
        <v>90.55799999999995</v>
      </c>
      <c r="CV38" s="13">
        <f t="shared" si="41"/>
        <v>24.699752708509138</v>
      </c>
      <c r="CW38" s="20">
        <f t="shared" si="13"/>
        <v>200.74058596732002</v>
      </c>
      <c r="CX38" s="59">
        <f t="shared" si="14"/>
        <v>494.0739193006533</v>
      </c>
      <c r="CY38" s="59">
        <f ca="1">AVERAGE(OFFSET($CX$3,0,0,'Données projet'!$E$13+1,1))-AVERAGE(OFFSET($H$3,0,0,'Données projet'!$E$13+1,1))</f>
        <v>226.0452828290525</v>
      </c>
      <c r="CZ38" s="59">
        <f t="shared" si="42"/>
        <v>179.89696397462069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8.2204993549823868</v>
      </c>
      <c r="DG38" s="21">
        <f>EXP(-LN(2)/25)*DG37+(1-EXP(-LN(2)/25))/(LN(2)/25)*Calculateur!DB38*Calculateur!DD38*VLOOKUP('Données projet'!$B$13,Paramètres!$A$1:$I$89,3,0)*0.475*44/12</f>
        <v>9.7077880961348804</v>
      </c>
      <c r="DH38" s="21">
        <f>EXP(-LN(2)/2)*DH37+(1-EXP(-LN(2)/2))/(LN(2)/2)*DB38*DE38*VLOOKUP('Données projet'!$B$13,Paramètres!$A$1:$I$89,3,0)*0.475*44/12</f>
        <v>1.9521677873509491</v>
      </c>
      <c r="DI38" s="22">
        <f t="shared" si="15"/>
        <v>19.880455238468215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23.166666666666668</v>
      </c>
      <c r="DO38" s="12">
        <f>IF('Données projet'!$A$166&gt;35,DO37+DN38-DW37,IF(A38&lt;'Données projet'!$A$166,$DL$205^A38,IF(A38='Données projet'!$A$166,'Données projet'!$B$166,DO37+DN38-DW37)))</f>
        <v>247.16666666666669</v>
      </c>
      <c r="DP38" s="17">
        <f>DO38*VLOOKUP('Données projet'!$B$14,Paramètres!$A$1:$I$89,3,0)*VLOOKUP('Données projet'!$B$14,Paramètres!$A$1:$I$89,5,0)</f>
        <v>147.8056666666667</v>
      </c>
      <c r="DQ38" s="13">
        <f t="shared" si="43"/>
        <v>38.079488599017232</v>
      </c>
      <c r="DR38" s="20">
        <f t="shared" si="16"/>
        <v>323.74997875439948</v>
      </c>
      <c r="DS38" s="59">
        <f t="shared" si="17"/>
        <v>617.08331208773279</v>
      </c>
      <c r="DT38" s="59">
        <f ca="1">AVERAGE(OFFSET($DS$3,0,0,'Données projet'!$E$14+1,1))-AVERAGE(OFFSET($H$3,0,0,'Données projet'!$E$14+1,1))</f>
        <v>252.81045065813976</v>
      </c>
      <c r="DU38" s="59">
        <f t="shared" si="44"/>
        <v>254.36590349790589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16.352367193685971</v>
      </c>
      <c r="EB38" s="21">
        <f>EXP(-LN(2)/25)*EB37+(1-EXP(-LN(2)/25))/(LN(2)/25)*Calculateur!DW38*Calculateur!DY38*VLOOKUP('Données projet'!$B$14,Paramètres!$A$1:$I$89,3,0)*0.475*44/12</f>
        <v>14.038513304688539</v>
      </c>
      <c r="EC38" s="21">
        <f>EXP(-LN(2)/2)*EC37+(1-EXP(-LN(2)/2))/(LN(2)/2)*DW38*DZ38*VLOOKUP('Données projet'!$B$14,Paramètres!$A$1:$I$89,3,0)*0.475*44/12</f>
        <v>1.014942834111948</v>
      </c>
      <c r="ED38" s="22">
        <f t="shared" si="18"/>
        <v>31.40582333248646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239</v>
      </c>
      <c r="EH38" s="12">
        <f>VLOOKUP(A38,'Données projet'!$A$191:$I$211,9,0)</f>
        <v>15.2</v>
      </c>
      <c r="EI38" s="12">
        <f t="array" ref="EI38">INDEX(EH:EH,MIN(IF(ISNUMBER(EH38:EH234),ROW(EH38:EH234),"")))</f>
        <v>15.2</v>
      </c>
      <c r="EJ38" s="12">
        <f>IF('Données projet'!$A$192&gt;35,EJ37+EI38-ER37,IF(A38&lt;'Données projet'!$A$192,$EG$205^A38,IF(A38='Données projet'!$A$192,'Données projet'!$B$192,EJ37+EI38-ER37)))</f>
        <v>239</v>
      </c>
      <c r="EK38" s="17">
        <f>EJ38*VLOOKUP('Données projet'!$B$15,Paramètres!$A$1:$I$89,3,0)*VLOOKUP('Données projet'!$B$15,Paramètres!$A$1:$I$89,5,0)</f>
        <v>175.23480000000001</v>
      </c>
      <c r="EL38" s="13">
        <f t="shared" si="45"/>
        <v>44.260367185241513</v>
      </c>
      <c r="EM38" s="20">
        <f t="shared" si="19"/>
        <v>382.28741618096228</v>
      </c>
      <c r="EN38" s="59">
        <f t="shared" si="20"/>
        <v>675.62074951429554</v>
      </c>
      <c r="EO38" s="59">
        <f ca="1">AVERAGE(OFFSET($EN$3,0,0,'Données projet'!$E$15+1,1))-AVERAGE(OFFSET($H$3,0,0,'Données projet'!$E$15+1,1))</f>
        <v>296.91321813251051</v>
      </c>
      <c r="EP38" s="59">
        <f t="shared" si="46"/>
        <v>291.0718079639509</v>
      </c>
      <c r="EQ38" s="15">
        <f>IF(ISNA(VLOOKUP(A38,'Données projet'!$A$191:$I$211,3,0)),0,VLOOKUP(A38,'Données projet'!$A$191:$I$211,3,0))</f>
        <v>6</v>
      </c>
      <c r="ER38" s="15">
        <f>IF(ISNA(VLOOKUP(A38,'Données projet'!$A$191:$I$211,4,0)),0,VLOOKUP(A38,'Données projet'!$A$191:$I$211,4,0))</f>
        <v>42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11.725293100199703</v>
      </c>
      <c r="EW38" s="21">
        <f>EXP(-LN(2)/25)*EW37+(1-EXP(-LN(2)/25))/(LN(2)/25)*Calculateur!ER38*Calculateur!ET38*VLOOKUP('Données projet'!$B$15,Paramètres!$A$1:$I$89,3,0)*0.475*44/12</f>
        <v>13.460534367273176</v>
      </c>
      <c r="EX38" s="21">
        <f>EXP(-LN(2)/2)*EX37+(1-EXP(-LN(2)/2))/(LN(2)/2)*ER38*EU38*VLOOKUP('Données projet'!$B$15,Paramètres!$A$1:$I$89,3,0)*0.475*44/12</f>
        <v>1.9272018149463777</v>
      </c>
      <c r="EY38" s="22">
        <f t="shared" si="21"/>
        <v>27.113029282419259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147</v>
      </c>
      <c r="FC38" s="12">
        <f>VLOOKUP(A38,'Données projet'!$A$217:$I$237,9,0)</f>
        <v>10.8</v>
      </c>
      <c r="FD38" s="12">
        <f t="array" ref="FD38">INDEX(FC:FC,MIN(IF(ISNUMBER(FC38:FC234),ROW(FC38:FC234),"")))</f>
        <v>10.8</v>
      </c>
      <c r="FE38" s="12">
        <f>IF('Données projet'!$A$218&gt;35,FE37+FD38-FM37,IF(A38&lt;'Données projet'!$A$218,$FB$205^A38,IF(A38='Données projet'!$A$218,'Données projet'!$B$218,FE37+FD38-FM37)))</f>
        <v>147.00000000000006</v>
      </c>
      <c r="FF38" s="17">
        <f>FE38*VLOOKUP('Données projet'!$B$16,Paramètres!$A$1:$I$89,3,0)*VLOOKUP('Données projet'!$B$16,Paramètres!$A$1:$I$89,5,0)</f>
        <v>149.05800000000008</v>
      </c>
      <c r="FG38" s="13">
        <f t="shared" si="47"/>
        <v>38.364434314370335</v>
      </c>
      <c r="FH38" s="20">
        <f t="shared" si="22"/>
        <v>326.42740643086182</v>
      </c>
      <c r="FI38" s="59">
        <f t="shared" si="23"/>
        <v>619.76073976419514</v>
      </c>
      <c r="FJ38" s="59">
        <f ca="1">AVERAGE(OFFSET($FI$3,0,0,'Données projet'!$E$16+1,1))-AVERAGE(OFFSET($H$3,0,0,'Données projet'!$E$16+1,1))</f>
        <v>356.65981389369125</v>
      </c>
      <c r="FK38" s="59">
        <f t="shared" si="48"/>
        <v>231.92898690465887</v>
      </c>
      <c r="FL38" s="15">
        <f>IF(ISNA(VLOOKUP(A38,'Données projet'!$A$217:$I$237,3,0)),0,VLOOKUP(A38,'Données projet'!$A$217:$I$237,3,0))</f>
        <v>4</v>
      </c>
      <c r="FM38" s="15">
        <f>IF(ISNA(VLOOKUP(A38,'Données projet'!$A$217:$I$237,4,0)),0,VLOOKUP(A38,'Données projet'!$A$217:$I$237,4,0))</f>
        <v>28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7.4183280425002884</v>
      </c>
      <c r="FR38" s="21">
        <f>EXP(-LN(2)/25)*FR37+(1-EXP(-LN(2)/25))/(LN(2)/25)*Calculateur!FM38*Calculateur!FO38*VLOOKUP('Données projet'!$B$16,Paramètres!$A$1:$I$89,3,0)*0.475*44/12</f>
        <v>9.1364251341987863</v>
      </c>
      <c r="FS38" s="21">
        <f>EXP(-LN(2)/2)*FS37+(1-EXP(-LN(2)/2))/(LN(2)/2)*FM38*FP38*VLOOKUP('Données projet'!$B$16,Paramètres!$A$1:$I$89,3,0)*0.475*44/12</f>
        <v>1.6908511638526771</v>
      </c>
      <c r="FT38" s="22">
        <f t="shared" si="24"/>
        <v>18.245604340551751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147</v>
      </c>
      <c r="FX38" s="12">
        <f>VLOOKUP(A38,'Données projet'!$A$243:$I$263,9,0)</f>
        <v>10.8</v>
      </c>
      <c r="FY38" s="12">
        <f t="array" ref="FY38">INDEX(FX:FX,MIN(IF(ISNUMBER(FX38:FX234),ROW(FX38:FX234),"")))</f>
        <v>10.8</v>
      </c>
      <c r="FZ38" s="12">
        <f>IF('Données projet'!$A$244&gt;35,FZ37+FY38-GH37,IF(A38&lt;'Données projet'!$A$244,$FW$205^A38,IF(A38='Données projet'!$A$244,'Données projet'!$B$244,FZ37+FY38-GH37)))</f>
        <v>147.00000000000006</v>
      </c>
      <c r="GA38" s="17">
        <f>FZ38*VLOOKUP('Données projet'!$B$17,Paramètres!$A$1:$I$89,3,0)*VLOOKUP('Données projet'!$B$17,Paramètres!$A$1:$I$89,5,0)</f>
        <v>142.17840000000004</v>
      </c>
      <c r="GB38" s="13">
        <f t="shared" si="49"/>
        <v>36.795597013009356</v>
      </c>
      <c r="GC38" s="20">
        <f t="shared" si="25"/>
        <v>311.71304479765803</v>
      </c>
      <c r="GD38" s="59">
        <f t="shared" si="26"/>
        <v>605.04637813099134</v>
      </c>
      <c r="GE38" s="59">
        <f ca="1">AVERAGE(OFFSET($GD$3,0,0,'Données projet'!$E$17+1,1))-AVERAGE(OFFSET($H$3,0,0,'Données projet'!$E$17+1,1))</f>
        <v>337.76140497227715</v>
      </c>
      <c r="GF38" s="59">
        <f t="shared" si="50"/>
        <v>219.76562717496353</v>
      </c>
      <c r="GG38" s="15">
        <f>IF(ISNA(VLOOKUP(A38,'Données projet'!$A$243:$I$263,3,0)),0,VLOOKUP(A38,'Données projet'!$A$243:$I$263,3,0))</f>
        <v>4</v>
      </c>
      <c r="GH38" s="15">
        <f>IF(ISNA(VLOOKUP(A38,'Données projet'!$A$243:$I$263,4,0)),0,VLOOKUP(A38,'Données projet'!$A$243:$I$263,4,0))</f>
        <v>28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7.0759436713079671</v>
      </c>
      <c r="GM38" s="21">
        <f>EXP(-LN(2)/25)*GM37+(1-EXP(-LN(2)/25))/(LN(2)/25)*Calculateur!GH38*Calculateur!GJ38*VLOOKUP('Données projet'!$B$17,Paramètres!$A$1:$I$89,3,0)*0.475*44/12</f>
        <v>8.7147439741588446</v>
      </c>
      <c r="GN38" s="21">
        <f>EXP(-LN(2)/2)*GN37+(1-EXP(-LN(2)/2))/(LN(2)/2)*GH38*GK38*VLOOKUP('Données projet'!$B$17,Paramètres!$A$1:$I$89,3,0)*0.475*44/12</f>
        <v>1.6128118793671693</v>
      </c>
      <c r="GO38" s="21">
        <f t="shared" si="27"/>
        <v>17.403499524833979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130.20000000000005</v>
      </c>
      <c r="O39" s="13">
        <f>N39*VLOOKUP('Données projet'!$B$9,Paramètres!$A$1:$I$89,3,0)*VLOOKUP('Données projet'!$B$9,Paramètres!$A$1:$I$89,5,0)</f>
        <v>117.80496000000004</v>
      </c>
      <c r="P39" s="13">
        <f t="shared" si="33"/>
        <v>31.162493487829593</v>
      </c>
      <c r="Q39" s="20">
        <f t="shared" si="53"/>
        <v>259.45164815796994</v>
      </c>
      <c r="R39" s="59">
        <f t="shared" si="0"/>
        <v>552.78498149130326</v>
      </c>
      <c r="S39" s="59">
        <f ca="1">AVERAGE(OFFSET($R$3,0,0,'Données projet'!$E$9+1,1))-AVERAGE(OFFSET($H$3,0,0,'Données projet'!$E$9+1,1))</f>
        <v>312.53389584272878</v>
      </c>
      <c r="T39" s="59">
        <f t="shared" si="34"/>
        <v>203.5274665601915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6.4896281684703157</v>
      </c>
      <c r="AA39" s="21">
        <f>EXP(-LN(2)/25)*AA38+(1-EXP(-LN(2)/25))/(LN(2)/25)*Calculateur!V39*Calculateur!X39*VLOOKUP('Données projet'!$B$9,Paramètres!$A$1:$I$89,3,0)*0.475*44/12</f>
        <v>7.929571819839131</v>
      </c>
      <c r="AB39" s="21">
        <f>EXP(-LN(2)/2)*AB38+(1-EXP(-LN(2)/2))/(LN(2)/2)*V39*Y39*VLOOKUP('Données projet'!$B$9,Paramètres!$A$1:$I$89,3,0)*0.475*44/12</f>
        <v>1.0668540736672132</v>
      </c>
      <c r="AC39" s="22">
        <f t="shared" si="3"/>
        <v>15.486054061976661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12.4</v>
      </c>
      <c r="AI39" s="13">
        <f>IF('Données projet'!$A$62&gt;35,AI38+AH39-AQ38,IF(A39&lt;'Données projet'!$A$62,$AF$205^A39,IF(A39='Données projet'!$A$62,'Données projet'!$B$62,AI38+AH39-AQ38)))</f>
        <v>185.40000000000009</v>
      </c>
      <c r="AJ39" s="13">
        <f>AI39*VLOOKUP('Données projet'!$B$10,Paramètres!$A$1:$I$89,3,0)*VLOOKUP('Données projet'!$B$10,Paramètres!$A$1:$I$89,5,0)</f>
        <v>161.96544000000009</v>
      </c>
      <c r="AK39" s="13">
        <f t="shared" si="35"/>
        <v>41.285510388923619</v>
      </c>
      <c r="AL39" s="20">
        <f t="shared" si="4"/>
        <v>353.99540526070876</v>
      </c>
      <c r="AM39" s="59">
        <f t="shared" si="5"/>
        <v>647.32873859404208</v>
      </c>
      <c r="AN39" s="59">
        <f ca="1">AVERAGE(OFFSET($AM$3,0,0,'Données projet'!$E$10+1,1))-AVERAGE(OFFSET($H$3,0,0,'Données projet'!$E$10+1,1))</f>
        <v>243.05628303465238</v>
      </c>
      <c r="AO39" s="59">
        <f t="shared" si="36"/>
        <v>352.47096767658394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7.0103234871278488</v>
      </c>
      <c r="AV39" s="21">
        <f>EXP(-LN(2)/25)*AV38+(1-EXP(-LN(2)/25))/(LN(2)/25)*Calculateur!AQ39*Calculateur!AS39*VLOOKUP('Données projet'!$B$10,Paramètres!$A$1:$I$89,3,0)*0.475*44/12</f>
        <v>15.341396598288036</v>
      </c>
      <c r="AW39" s="21">
        <f>EXP(-LN(2)/2)*AW38+(1-EXP(-LN(2)/2))/(LN(2)/2)*AQ39*AT39*VLOOKUP('Données projet'!$B$10,Paramètres!$A$1:$I$89,3,0)*0.475*44/12</f>
        <v>1.4091460246335124</v>
      </c>
      <c r="AX39" s="21">
        <f t="shared" si="6"/>
        <v>23.760866110049395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13.2</v>
      </c>
      <c r="BD39" s="12">
        <f>IF('Données projet'!$A$88&gt;35,BD38+BC39-BL38,IF(A39&lt;'Données projet'!$A$88,$BA$205^A39,IF(A39='Données projet'!$A$88,'Données projet'!$B$88,BD38+BC39-BL38)))</f>
        <v>210.2</v>
      </c>
      <c r="BE39" s="13">
        <f>BD39*VLOOKUP('Données projet'!$B$11,Paramètres!$A$1:$I$89,3,0)*VLOOKUP('Données projet'!$B$11,Paramètres!$A$1:$I$89,5,0)</f>
        <v>167.23511999999999</v>
      </c>
      <c r="BF39" s="13">
        <f t="shared" si="37"/>
        <v>42.470192710511604</v>
      </c>
      <c r="BG39" s="20">
        <f t="shared" si="7"/>
        <v>365.23675297080769</v>
      </c>
      <c r="BH39" s="59">
        <f t="shared" si="8"/>
        <v>658.570086304141</v>
      </c>
      <c r="BI39" s="59">
        <f ca="1">AVERAGE(OFFSET($BH$3,0,0,'Données projet'!$E$11+1,1))-AVERAGE(OFFSET($H$3,0,0,'Données projet'!$E$11+1,1))</f>
        <v>325.72928944930294</v>
      </c>
      <c r="BJ39" s="59">
        <f t="shared" si="38"/>
        <v>318.38876834819752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15.374556006025074</v>
      </c>
      <c r="BQ39" s="21">
        <f>EXP(-LN(2)/25)*BQ38+(1-EXP(-LN(2)/25))/(LN(2)/25)*Calculateur!BL39*Calculateur!BN39*VLOOKUP('Données projet'!$B$11,Paramètres!$A$1:$I$89,3,0)*0.475*44/12</f>
        <v>17.510592183732353</v>
      </c>
      <c r="BR39" s="21">
        <f>EXP(-LN(2)/2)*BR38+(1-EXP(-LN(2)/2))/(LN(2)/2)*BL39*BO39*VLOOKUP('Données projet'!$B$11,Paramètres!$A$1:$I$89,3,0)*0.475*44/12</f>
        <v>1.4787151292605083</v>
      </c>
      <c r="BS39" s="22">
        <f t="shared" si="9"/>
        <v>34.363863319017938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27</v>
      </c>
      <c r="BY39" s="12">
        <f>IF('Données projet'!$A$114&gt;35,BY38+BX39-CG38,IF(A39&lt;'Données projet'!$A$114,$BV$205^A39,IF(A39='Données projet'!$A$114,'Données projet'!$B$114,BY38+BX39-CG38)))</f>
        <v>530.99999999999989</v>
      </c>
      <c r="BZ39" s="13">
        <f>BY39*VLOOKUP('Données projet'!$B$12,Paramètres!$A$1:$I$89,3,0)*VLOOKUP('Données projet'!$B$12,Paramètres!$A$1:$I$89,5,0)</f>
        <v>296.82899999999995</v>
      </c>
      <c r="CA39" s="13">
        <f t="shared" si="39"/>
        <v>70.511289513454344</v>
      </c>
      <c r="CB39" s="20">
        <f t="shared" si="10"/>
        <v>639.78433756926631</v>
      </c>
      <c r="CC39" s="59">
        <f t="shared" si="11"/>
        <v>933.11767090259968</v>
      </c>
      <c r="CD39" s="59">
        <f ca="1">AVERAGE(OFFSET($CC$3,0,0,'Données projet'!$E$12+1,1))-AVERAGE(OFFSET($H$3,0,0,'Données projet'!$E$12+1,1))</f>
        <v>475.54809021014017</v>
      </c>
      <c r="CE39" s="59">
        <f t="shared" si="40"/>
        <v>593.51433014569966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6.51883842493449</v>
      </c>
      <c r="CL39" s="21">
        <f>EXP(-LN(2)/25)*CL38+(1-EXP(-LN(2)/25))/(LN(2)/25)*Calculateur!CG39*Calculateur!CI39*VLOOKUP('Données projet'!$B$12,Paramètres!$A$1:$I$89,3,0)*0.475*44/12</f>
        <v>36.081700569565676</v>
      </c>
      <c r="CM39" s="21">
        <f>EXP(-LN(2)/2)*CM38+(1-EXP(-LN(2)/2))/(LN(2)/2)*CG39*CJ39*VLOOKUP('Données projet'!$B$12,Paramètres!$A$1:$I$89,3,0)*0.475*44/12</f>
        <v>1.8022447205922052</v>
      </c>
      <c r="CN39" s="22">
        <f t="shared" si="12"/>
        <v>44.402783715092376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10</v>
      </c>
      <c r="CT39" s="12">
        <f>IF('Données projet'!$A$140&gt;35,CT38+CS39-DB38,IF(A39&lt;'Données projet'!$A$140,$CQ$205^A39,IF(A39='Données projet'!$A$140,'Données projet'!$B$140,CT38+CS39-DB38)))</f>
        <v>203.49999999999989</v>
      </c>
      <c r="CU39" s="17">
        <f>CT39*VLOOKUP('Données projet'!$B$13,Paramètres!$A$1:$I$89,3,0)*VLOOKUP('Données projet'!$B$13,Paramètres!$A$1:$I$89,5,0)</f>
        <v>95.237999999999957</v>
      </c>
      <c r="CV39" s="13">
        <f t="shared" si="41"/>
        <v>25.824315354051119</v>
      </c>
      <c r="CW39" s="20">
        <f t="shared" si="13"/>
        <v>210.85019924163896</v>
      </c>
      <c r="CX39" s="59">
        <f t="shared" si="14"/>
        <v>504.18353257497228</v>
      </c>
      <c r="CY39" s="59">
        <f ca="1">AVERAGE(OFFSET($CX$3,0,0,'Données projet'!$E$13+1,1))-AVERAGE(OFFSET($H$3,0,0,'Données projet'!$E$13+1,1))</f>
        <v>226.0452828290525</v>
      </c>
      <c r="CZ39" s="59">
        <f t="shared" si="42"/>
        <v>179.89696397462069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8.0593003766406959</v>
      </c>
      <c r="DG39" s="21">
        <f>EXP(-LN(2)/25)*DG38+(1-EXP(-LN(2)/25))/(LN(2)/25)*Calculateur!DB39*Calculateur!DD39*VLOOKUP('Données projet'!$B$13,Paramètres!$A$1:$I$89,3,0)*0.475*44/12</f>
        <v>9.4423281201356843</v>
      </c>
      <c r="DH39" s="21">
        <f>EXP(-LN(2)/2)*DH38+(1-EXP(-LN(2)/2))/(LN(2)/2)*DB39*DE39*VLOOKUP('Données projet'!$B$13,Paramètres!$A$1:$I$89,3,0)*0.475*44/12</f>
        <v>1.3803910804497943</v>
      </c>
      <c r="DI39" s="22">
        <f t="shared" si="15"/>
        <v>18.882019577226174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23.166666666666668</v>
      </c>
      <c r="DO39" s="12">
        <f>IF('Données projet'!$A$166&gt;35,DO38+DN39-DW38,IF(A39&lt;'Données projet'!$A$166,$DL$205^A39,IF(A39='Données projet'!$A$166,'Données projet'!$B$166,DO38+DN39-DW38)))</f>
        <v>270.33333333333337</v>
      </c>
      <c r="DP39" s="17">
        <f>DO39*VLOOKUP('Données projet'!$B$14,Paramètres!$A$1:$I$89,3,0)*VLOOKUP('Données projet'!$B$14,Paramètres!$A$1:$I$89,5,0)</f>
        <v>161.65933333333336</v>
      </c>
      <c r="DQ39" s="13">
        <f t="shared" si="43"/>
        <v>41.2165576376849</v>
      </c>
      <c r="DR39" s="20">
        <f t="shared" si="16"/>
        <v>353.34217677452347</v>
      </c>
      <c r="DS39" s="59">
        <f t="shared" si="17"/>
        <v>646.67551010785678</v>
      </c>
      <c r="DT39" s="59">
        <f ca="1">AVERAGE(OFFSET($DS$3,0,0,'Données projet'!$E$14+1,1))-AVERAGE(OFFSET($H$3,0,0,'Données projet'!$E$14+1,1))</f>
        <v>252.81045065813976</v>
      </c>
      <c r="DU39" s="59">
        <f t="shared" si="44"/>
        <v>254.36590349790589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16.031707246976932</v>
      </c>
      <c r="EB39" s="21">
        <f>EXP(-LN(2)/25)*EB38+(1-EXP(-LN(2)/25))/(LN(2)/25)*Calculateur!DW39*Calculateur!DY39*VLOOKUP('Données projet'!$B$14,Paramètres!$A$1:$I$89,3,0)*0.475*44/12</f>
        <v>13.654629420118502</v>
      </c>
      <c r="EC39" s="21">
        <f>EXP(-LN(2)/2)*EC38+(1-EXP(-LN(2)/2))/(LN(2)/2)*DW39*DZ39*VLOOKUP('Données projet'!$B$14,Paramètres!$A$1:$I$89,3,0)*0.475*44/12</f>
        <v>0.7176729605172516</v>
      </c>
      <c r="ED39" s="22">
        <f t="shared" si="18"/>
        <v>30.404009627612684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13.2</v>
      </c>
      <c r="EJ39" s="12">
        <f>IF('Données projet'!$A$192&gt;35,EJ38+EI39-ER38,IF(A39&lt;'Données projet'!$A$192,$EG$205^A39,IF(A39='Données projet'!$A$192,'Données projet'!$B$192,EJ38+EI39-ER38)))</f>
        <v>210.2</v>
      </c>
      <c r="EK39" s="17">
        <f>EJ39*VLOOKUP('Données projet'!$B$15,Paramètres!$A$1:$I$89,3,0)*VLOOKUP('Données projet'!$B$15,Paramètres!$A$1:$I$89,5,0)</f>
        <v>154.11863999999997</v>
      </c>
      <c r="EL39" s="13">
        <f t="shared" si="45"/>
        <v>39.513080685376593</v>
      </c>
      <c r="EM39" s="20">
        <f t="shared" si="19"/>
        <v>337.24191352703082</v>
      </c>
      <c r="EN39" s="59">
        <f t="shared" si="20"/>
        <v>630.57524686036413</v>
      </c>
      <c r="EO39" s="59">
        <f ca="1">AVERAGE(OFFSET($EN$3,0,0,'Données projet'!$E$15+1,1))-AVERAGE(OFFSET($H$3,0,0,'Données projet'!$E$15+1,1))</f>
        <v>296.91321813251051</v>
      </c>
      <c r="EP39" s="59">
        <f t="shared" si="46"/>
        <v>291.0718079639509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11.495367254227405</v>
      </c>
      <c r="EW39" s="21">
        <f>EXP(-LN(2)/25)*EW38+(1-EXP(-LN(2)/25))/(LN(2)/25)*Calculateur!ER39*Calculateur!ET39*VLOOKUP('Données projet'!$B$15,Paramètres!$A$1:$I$89,3,0)*0.475*44/12</f>
        <v>13.092455347141353</v>
      </c>
      <c r="EX39" s="21">
        <f>EXP(-LN(2)/2)*EX38+(1-EXP(-LN(2)/2))/(LN(2)/2)*ER39*EU39*VLOOKUP('Données projet'!$B$15,Paramètres!$A$1:$I$89,3,0)*0.475*44/12</f>
        <v>1.3627374720636056</v>
      </c>
      <c r="EY39" s="22">
        <f t="shared" si="21"/>
        <v>25.950560073432364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11.2</v>
      </c>
      <c r="FE39" s="12">
        <f>IF('Données projet'!$A$218&gt;35,FE38+FD39-FM38,IF(A39&lt;'Données projet'!$A$218,$FB$205^A39,IF(A39='Données projet'!$A$218,'Données projet'!$B$218,FE38+FD39-FM38)))</f>
        <v>130.20000000000005</v>
      </c>
      <c r="FF39" s="17">
        <f>FE39*VLOOKUP('Données projet'!$B$16,Paramètres!$A$1:$I$89,3,0)*VLOOKUP('Données projet'!$B$16,Paramètres!$A$1:$I$89,5,0)</f>
        <v>132.02280000000007</v>
      </c>
      <c r="FG39" s="13">
        <f t="shared" si="47"/>
        <v>34.463348169992798</v>
      </c>
      <c r="FH39" s="20">
        <f t="shared" si="22"/>
        <v>289.96337472940422</v>
      </c>
      <c r="FI39" s="59">
        <f t="shared" si="23"/>
        <v>583.29670806273748</v>
      </c>
      <c r="FJ39" s="59">
        <f ca="1">AVERAGE(OFFSET($FI$3,0,0,'Données projet'!$E$16+1,1))-AVERAGE(OFFSET($H$3,0,0,'Données projet'!$E$16+1,1))</f>
        <v>356.65981389369125</v>
      </c>
      <c r="FK39" s="59">
        <f t="shared" si="48"/>
        <v>231.92898690465887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7.2728591543201837</v>
      </c>
      <c r="FR39" s="21">
        <f>EXP(-LN(2)/25)*FR38+(1-EXP(-LN(2)/25))/(LN(2)/25)*Calculateur!FM39*Calculateur!FO39*VLOOKUP('Données projet'!$B$16,Paramètres!$A$1:$I$89,3,0)*0.475*44/12</f>
        <v>8.8865891084404041</v>
      </c>
      <c r="FS39" s="21">
        <f>EXP(-LN(2)/2)*FS38+(1-EXP(-LN(2)/2))/(LN(2)/2)*FM39*FP39*VLOOKUP('Données projet'!$B$16,Paramètres!$A$1:$I$89,3,0)*0.475*44/12</f>
        <v>1.1956123239373941</v>
      </c>
      <c r="FT39" s="22">
        <f t="shared" si="24"/>
        <v>17.355060586697981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11.2</v>
      </c>
      <c r="FZ39" s="12">
        <f>IF('Données projet'!$A$244&gt;35,FZ38+FY39-GH38,IF(A39&lt;'Données projet'!$A$244,$FW$205^A39,IF(A39='Données projet'!$A$244,'Données projet'!$B$244,FZ38+FY39-GH38)))</f>
        <v>130.20000000000005</v>
      </c>
      <c r="GA39" s="17">
        <f>FZ39*VLOOKUP('Données projet'!$B$17,Paramètres!$A$1:$I$89,3,0)*VLOOKUP('Données projet'!$B$17,Paramètres!$A$1:$I$89,5,0)</f>
        <v>125.92944000000006</v>
      </c>
      <c r="GB39" s="13">
        <f t="shared" si="49"/>
        <v>33.054038034052077</v>
      </c>
      <c r="GC39" s="20">
        <f t="shared" si="25"/>
        <v>276.89622424264081</v>
      </c>
      <c r="GD39" s="59">
        <f t="shared" si="26"/>
        <v>570.22955757597413</v>
      </c>
      <c r="GE39" s="59">
        <f ca="1">AVERAGE(OFFSET($GD$3,0,0,'Données projet'!$E$17+1,1))-AVERAGE(OFFSET($H$3,0,0,'Données projet'!$E$17+1,1))</f>
        <v>337.76140497227715</v>
      </c>
      <c r="GF39" s="59">
        <f t="shared" si="50"/>
        <v>219.76562717496353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6.937188731813098</v>
      </c>
      <c r="GM39" s="21">
        <f>EXP(-LN(2)/25)*GM38+(1-EXP(-LN(2)/25))/(LN(2)/25)*Calculateur!GH39*Calculateur!GJ39*VLOOKUP('Données projet'!$B$17,Paramètres!$A$1:$I$89,3,0)*0.475*44/12</f>
        <v>8.4764388418970036</v>
      </c>
      <c r="GN39" s="21">
        <f>EXP(-LN(2)/2)*GN38+(1-EXP(-LN(2)/2))/(LN(2)/2)*GH39*GK39*VLOOKUP('Données projet'!$B$17,Paramètres!$A$1:$I$89,3,0)*0.475*44/12</f>
        <v>1.1404302166787454</v>
      </c>
      <c r="GO39" s="21">
        <f t="shared" si="27"/>
        <v>16.554057790388846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141.40000000000003</v>
      </c>
      <c r="O40" s="13">
        <f>N40*VLOOKUP('Données projet'!$B$9,Paramètres!$A$1:$I$89,3,0)*VLOOKUP('Données projet'!$B$9,Paramètres!$A$1:$I$89,5,0)</f>
        <v>127.93872000000003</v>
      </c>
      <c r="P40" s="13">
        <f t="shared" si="33"/>
        <v>33.519615889545641</v>
      </c>
      <c r="Q40" s="20">
        <f t="shared" si="53"/>
        <v>281.20660167429202</v>
      </c>
      <c r="R40" s="59">
        <f t="shared" si="0"/>
        <v>574.53993500762533</v>
      </c>
      <c r="S40" s="59">
        <f ca="1">AVERAGE(OFFSET($R$3,0,0,'Données projet'!$E$9+1,1))-AVERAGE(OFFSET($H$3,0,0,'Données projet'!$E$9+1,1))</f>
        <v>312.53389584272878</v>
      </c>
      <c r="T40" s="59">
        <f t="shared" si="34"/>
        <v>203.5274665601915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6.3623705183689472</v>
      </c>
      <c r="AA40" s="21">
        <f>EXP(-LN(2)/25)*AA39+(1-EXP(-LN(2)/25))/(LN(2)/25)*Calculateur!V40*Calculateur!X40*VLOOKUP('Données projet'!$B$9,Paramètres!$A$1:$I$89,3,0)*0.475*44/12</f>
        <v>7.7127372614275709</v>
      </c>
      <c r="AB40" s="21">
        <f>EXP(-LN(2)/2)*AB39+(1-EXP(-LN(2)/2))/(LN(2)/2)*V40*Y40*VLOOKUP('Données projet'!$B$9,Paramètres!$A$1:$I$89,3,0)*0.475*44/12</f>
        <v>0.75437975002657898</v>
      </c>
      <c r="AC40" s="22">
        <f t="shared" si="3"/>
        <v>14.829487529823098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12.4</v>
      </c>
      <c r="AI40" s="13">
        <f>IF('Données projet'!$A$62&gt;35,AI39+AH40-AQ39,IF(A40&lt;'Données projet'!$A$62,$AF$205^A40,IF(A40='Données projet'!$A$62,'Données projet'!$B$62,AI39+AH40-AQ39)))</f>
        <v>197.8000000000001</v>
      </c>
      <c r="AJ40" s="13">
        <f>AI40*VLOOKUP('Données projet'!$B$10,Paramètres!$A$1:$I$89,3,0)*VLOOKUP('Données projet'!$B$10,Paramètres!$A$1:$I$89,5,0)</f>
        <v>172.79808000000011</v>
      </c>
      <c r="AK40" s="13">
        <f t="shared" si="35"/>
        <v>43.716103757502459</v>
      </c>
      <c r="AL40" s="20">
        <f t="shared" si="4"/>
        <v>377.09553671098365</v>
      </c>
      <c r="AM40" s="59">
        <f t="shared" si="5"/>
        <v>670.42887004431691</v>
      </c>
      <c r="AN40" s="59">
        <f ca="1">AVERAGE(OFFSET($AM$3,0,0,'Données projet'!$E$10+1,1))-AVERAGE(OFFSET($H$3,0,0,'Données projet'!$E$10+1,1))</f>
        <v>243.05628303465238</v>
      </c>
      <c r="AO40" s="59">
        <f t="shared" si="36"/>
        <v>352.47096767658394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6.872855319420391</v>
      </c>
      <c r="AV40" s="21">
        <f>EXP(-LN(2)/25)*AV39+(1-EXP(-LN(2)/25))/(LN(2)/25)*Calculateur!AQ40*Calculateur!AS40*VLOOKUP('Données projet'!$B$10,Paramètres!$A$1:$I$89,3,0)*0.475*44/12</f>
        <v>14.921885301538865</v>
      </c>
      <c r="AW40" s="21">
        <f>EXP(-LN(2)/2)*AW39+(1-EXP(-LN(2)/2))/(LN(2)/2)*AQ40*AT40*VLOOKUP('Données projet'!$B$10,Paramètres!$A$1:$I$89,3,0)*0.475*44/12</f>
        <v>0.9964167097004224</v>
      </c>
      <c r="AX40" s="21">
        <f t="shared" si="6"/>
        <v>22.791157330659679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13.2</v>
      </c>
      <c r="BD40" s="12">
        <f>IF('Données projet'!$A$88&gt;35,BD39+BC40-BL39,IF(A40&lt;'Données projet'!$A$88,$BA$205^A40,IF(A40='Données projet'!$A$88,'Données projet'!$B$88,BD39+BC40-BL39)))</f>
        <v>223.39999999999998</v>
      </c>
      <c r="BE40" s="13">
        <f>BD40*VLOOKUP('Données projet'!$B$11,Paramètres!$A$1:$I$89,3,0)*VLOOKUP('Données projet'!$B$11,Paramètres!$A$1:$I$89,5,0)</f>
        <v>177.73703999999998</v>
      </c>
      <c r="BF40" s="13">
        <f t="shared" si="37"/>
        <v>44.818349142210366</v>
      </c>
      <c r="BG40" s="20">
        <f t="shared" si="7"/>
        <v>387.61730275601627</v>
      </c>
      <c r="BH40" s="59">
        <f t="shared" si="8"/>
        <v>680.95063608934959</v>
      </c>
      <c r="BI40" s="59">
        <f ca="1">AVERAGE(OFFSET($BH$3,0,0,'Données projet'!$E$11+1,1))-AVERAGE(OFFSET($H$3,0,0,'Données projet'!$E$11+1,1))</f>
        <v>325.72928944930294</v>
      </c>
      <c r="BJ40" s="59">
        <f t="shared" si="38"/>
        <v>318.38876834819752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15.073070340300129</v>
      </c>
      <c r="BQ40" s="21">
        <f>EXP(-LN(2)/25)*BQ39+(1-EXP(-LN(2)/25))/(LN(2)/25)*Calculateur!BL40*Calculateur!BN40*VLOOKUP('Données projet'!$B$11,Paramètres!$A$1:$I$89,3,0)*0.475*44/12</f>
        <v>17.031764119626171</v>
      </c>
      <c r="BR40" s="21">
        <f>EXP(-LN(2)/2)*BR39+(1-EXP(-LN(2)/2))/(LN(2)/2)*BL40*BO40*VLOOKUP('Données projet'!$B$11,Paramètres!$A$1:$I$89,3,0)*0.475*44/12</f>
        <v>1.0456094953432475</v>
      </c>
      <c r="BS40" s="22">
        <f t="shared" si="9"/>
        <v>33.150443955269552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27</v>
      </c>
      <c r="BY40" s="12">
        <f>IF('Données projet'!$A$114&gt;35,BY39+BX40-CG39,IF(A40&lt;'Données projet'!$A$114,$BV$205^A40,IF(A40='Données projet'!$A$114,'Données projet'!$B$114,BY39+BX40-CG39)))</f>
        <v>557.99999999999989</v>
      </c>
      <c r="BZ40" s="13">
        <f>BY40*VLOOKUP('Données projet'!$B$12,Paramètres!$A$1:$I$89,3,0)*VLOOKUP('Données projet'!$B$12,Paramètres!$A$1:$I$89,5,0)</f>
        <v>311.92199999999991</v>
      </c>
      <c r="CA40" s="13">
        <f t="shared" si="39"/>
        <v>73.670075764965745</v>
      </c>
      <c r="CB40" s="20">
        <f t="shared" si="10"/>
        <v>671.57286529064845</v>
      </c>
      <c r="CC40" s="59">
        <f t="shared" si="11"/>
        <v>964.90619862398171</v>
      </c>
      <c r="CD40" s="59">
        <f ca="1">AVERAGE(OFFSET($CC$3,0,0,'Données projet'!$E$12+1,1))-AVERAGE(OFFSET($H$3,0,0,'Données projet'!$E$12+1,1))</f>
        <v>475.54809021014017</v>
      </c>
      <c r="CE40" s="59">
        <f t="shared" si="40"/>
        <v>593.51433014569966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6.3910079795203565</v>
      </c>
      <c r="CL40" s="21">
        <f>EXP(-LN(2)/25)*CL39+(1-EXP(-LN(2)/25))/(LN(2)/25)*Calculateur!CG40*Calculateur!CI40*VLOOKUP('Données projet'!$B$12,Paramètres!$A$1:$I$89,3,0)*0.475*44/12</f>
        <v>35.095044570036734</v>
      </c>
      <c r="CM40" s="21">
        <f>EXP(-LN(2)/2)*CM39+(1-EXP(-LN(2)/2))/(LN(2)/2)*CG40*CJ40*VLOOKUP('Données projet'!$B$12,Paramètres!$A$1:$I$89,3,0)*0.475*44/12</f>
        <v>1.2743794632884029</v>
      </c>
      <c r="CN40" s="22">
        <f t="shared" si="12"/>
        <v>42.760432012845492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10</v>
      </c>
      <c r="CT40" s="12">
        <f>IF('Données projet'!$A$140&gt;35,CT39+CS40-DB39,IF(A40&lt;'Données projet'!$A$140,$CQ$205^A40,IF(A40='Données projet'!$A$140,'Données projet'!$B$140,CT39+CS40-DB39)))</f>
        <v>213.49999999999989</v>
      </c>
      <c r="CU40" s="17">
        <f>CT40*VLOOKUP('Données projet'!$B$13,Paramètres!$A$1:$I$89,3,0)*VLOOKUP('Données projet'!$B$13,Paramètres!$A$1:$I$89,5,0)</f>
        <v>99.91799999999995</v>
      </c>
      <c r="CV40" s="13">
        <f t="shared" si="41"/>
        <v>26.942461246512746</v>
      </c>
      <c r="CW40" s="20">
        <f t="shared" si="13"/>
        <v>220.94863667100961</v>
      </c>
      <c r="CX40" s="59">
        <f t="shared" si="14"/>
        <v>514.28197000434295</v>
      </c>
      <c r="CY40" s="59">
        <f ca="1">AVERAGE(OFFSET($CX$3,0,0,'Données projet'!$E$13+1,1))-AVERAGE(OFFSET($H$3,0,0,'Données projet'!$E$13+1,1))</f>
        <v>226.0452828290525</v>
      </c>
      <c r="CZ40" s="59">
        <f t="shared" si="42"/>
        <v>179.89696397462069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7.9012624119426178</v>
      </c>
      <c r="DG40" s="21">
        <f>EXP(-LN(2)/25)*DG39+(1-EXP(-LN(2)/25))/(LN(2)/25)*Calculateur!DB40*Calculateur!DD40*VLOOKUP('Données projet'!$B$13,Paramètres!$A$1:$I$89,3,0)*0.475*44/12</f>
        <v>9.1841271611401183</v>
      </c>
      <c r="DH40" s="21">
        <f>EXP(-LN(2)/2)*DH39+(1-EXP(-LN(2)/2))/(LN(2)/2)*DB40*DE40*VLOOKUP('Données projet'!$B$13,Paramètres!$A$1:$I$89,3,0)*0.475*44/12</f>
        <v>0.97608389367547466</v>
      </c>
      <c r="DI40" s="22">
        <f t="shared" si="15"/>
        <v>18.061473466758212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23.166666666666668</v>
      </c>
      <c r="DO40" s="12">
        <f>IF('Données projet'!$A$166&gt;35,DO39+DN40-DW39,IF(A40&lt;'Données projet'!$A$166,$DL$205^A40,IF(A40='Données projet'!$A$166,'Données projet'!$B$166,DO39+DN40-DW39)))</f>
        <v>293.50000000000006</v>
      </c>
      <c r="DP40" s="17">
        <f>DO40*VLOOKUP('Données projet'!$B$14,Paramètres!$A$1:$I$89,3,0)*VLOOKUP('Données projet'!$B$14,Paramètres!$A$1:$I$89,5,0)</f>
        <v>175.51300000000003</v>
      </c>
      <c r="DQ40" s="13">
        <f t="shared" si="43"/>
        <v>44.322449425800414</v>
      </c>
      <c r="DR40" s="20">
        <f t="shared" si="16"/>
        <v>382.88007441660244</v>
      </c>
      <c r="DS40" s="59">
        <f t="shared" si="17"/>
        <v>676.21340774993575</v>
      </c>
      <c r="DT40" s="59">
        <f ca="1">AVERAGE(OFFSET($DS$3,0,0,'Données projet'!$E$14+1,1))-AVERAGE(OFFSET($H$3,0,0,'Données projet'!$E$14+1,1))</f>
        <v>252.81045065813976</v>
      </c>
      <c r="DU40" s="59">
        <f t="shared" si="44"/>
        <v>254.36590349790589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15.717335246239601</v>
      </c>
      <c r="EB40" s="21">
        <f>EXP(-LN(2)/25)*EB39+(1-EXP(-LN(2)/25))/(LN(2)/25)*Calculateur!DW40*Calculateur!DY40*VLOOKUP('Données projet'!$B$14,Paramètres!$A$1:$I$89,3,0)*0.475*44/12</f>
        <v>13.281242860559608</v>
      </c>
      <c r="EC40" s="21">
        <f>EXP(-LN(2)/2)*EC39+(1-EXP(-LN(2)/2))/(LN(2)/2)*DW40*DZ40*VLOOKUP('Données projet'!$B$14,Paramètres!$A$1:$I$89,3,0)*0.475*44/12</f>
        <v>0.50747141705597398</v>
      </c>
      <c r="ED40" s="22">
        <f t="shared" si="18"/>
        <v>29.506049523855182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13.2</v>
      </c>
      <c r="EJ40" s="12">
        <f>IF('Données projet'!$A$192&gt;35,EJ39+EI40-ER39,IF(A40&lt;'Données projet'!$A$192,$EG$205^A40,IF(A40='Données projet'!$A$192,'Données projet'!$B$192,EJ39+EI40-ER39)))</f>
        <v>223.39999999999998</v>
      </c>
      <c r="EK40" s="17">
        <f>EJ40*VLOOKUP('Données projet'!$B$15,Paramètres!$A$1:$I$89,3,0)*VLOOKUP('Données projet'!$B$15,Paramètres!$A$1:$I$89,5,0)</f>
        <v>163.79687999999999</v>
      </c>
      <c r="EL40" s="13">
        <f t="shared" si="45"/>
        <v>41.697739822198329</v>
      </c>
      <c r="EM40" s="20">
        <f t="shared" si="19"/>
        <v>357.90312952366207</v>
      </c>
      <c r="EN40" s="59">
        <f t="shared" si="20"/>
        <v>651.23646285699533</v>
      </c>
      <c r="EO40" s="59">
        <f ca="1">AVERAGE(OFFSET($EN$3,0,0,'Données projet'!$E$15+1,1))-AVERAGE(OFFSET($H$3,0,0,'Données projet'!$E$15+1,1))</f>
        <v>296.91321813251051</v>
      </c>
      <c r="EP40" s="59">
        <f t="shared" si="46"/>
        <v>291.0718079639509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11.269950113853705</v>
      </c>
      <c r="EW40" s="21">
        <f>EXP(-LN(2)/25)*EW39+(1-EXP(-LN(2)/25))/(LN(2)/25)*Calculateur!ER40*Calculateur!ET40*VLOOKUP('Données projet'!$B$15,Paramètres!$A$1:$I$89,3,0)*0.475*44/12</f>
        <v>12.73444146717147</v>
      </c>
      <c r="EX40" s="21">
        <f>EXP(-LN(2)/2)*EX39+(1-EXP(-LN(2)/2))/(LN(2)/2)*ER40*EU40*VLOOKUP('Données projet'!$B$15,Paramètres!$A$1:$I$89,3,0)*0.475*44/12</f>
        <v>0.96360090747318894</v>
      </c>
      <c r="EY40" s="22">
        <f t="shared" si="21"/>
        <v>24.967992488498364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11.2</v>
      </c>
      <c r="FE40" s="12">
        <f>IF('Données projet'!$A$218&gt;35,FE39+FD40-FM39,IF(A40&lt;'Données projet'!$A$218,$FB$205^A40,IF(A40='Données projet'!$A$218,'Données projet'!$B$218,FE39+FD40-FM39)))</f>
        <v>141.40000000000003</v>
      </c>
      <c r="FF40" s="17">
        <f>FE40*VLOOKUP('Données projet'!$B$16,Paramètres!$A$1:$I$89,3,0)*VLOOKUP('Données projet'!$B$16,Paramètres!$A$1:$I$89,5,0)</f>
        <v>143.37960000000004</v>
      </c>
      <c r="FG40" s="13">
        <f t="shared" si="47"/>
        <v>37.070146308317469</v>
      </c>
      <c r="FH40" s="20">
        <f t="shared" si="22"/>
        <v>314.28330815365302</v>
      </c>
      <c r="FI40" s="59">
        <f t="shared" si="23"/>
        <v>607.61664148698628</v>
      </c>
      <c r="FJ40" s="59">
        <f ca="1">AVERAGE(OFFSET($FI$3,0,0,'Données projet'!$E$16+1,1))-AVERAGE(OFFSET($H$3,0,0,'Données projet'!$E$16+1,1))</f>
        <v>356.65981389369125</v>
      </c>
      <c r="FK40" s="59">
        <f t="shared" si="48"/>
        <v>231.92898690465887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7.1302428223100298</v>
      </c>
      <c r="FR40" s="21">
        <f>EXP(-LN(2)/25)*FR39+(1-EXP(-LN(2)/25))/(LN(2)/25)*Calculateur!FM40*Calculateur!FO40*VLOOKUP('Données projet'!$B$16,Paramètres!$A$1:$I$89,3,0)*0.475*44/12</f>
        <v>8.6435848619446904</v>
      </c>
      <c r="FS40" s="21">
        <f>EXP(-LN(2)/2)*FS39+(1-EXP(-LN(2)/2))/(LN(2)/2)*FM40*FP40*VLOOKUP('Données projet'!$B$16,Paramètres!$A$1:$I$89,3,0)*0.475*44/12</f>
        <v>0.84542558192633854</v>
      </c>
      <c r="FT40" s="22">
        <f t="shared" si="24"/>
        <v>16.619253266181058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11.2</v>
      </c>
      <c r="FZ40" s="12">
        <f>IF('Données projet'!$A$244&gt;35,FZ39+FY40-GH39,IF(A40&lt;'Données projet'!$A$244,$FW$205^A40,IF(A40='Données projet'!$A$244,'Données projet'!$B$244,FZ39+FY40-GH39)))</f>
        <v>141.40000000000003</v>
      </c>
      <c r="GA40" s="17">
        <f>FZ40*VLOOKUP('Données projet'!$B$17,Paramètres!$A$1:$I$89,3,0)*VLOOKUP('Données projet'!$B$17,Paramètres!$A$1:$I$89,5,0)</f>
        <v>136.76208000000003</v>
      </c>
      <c r="GB40" s="13">
        <f t="shared" si="49"/>
        <v>35.554236342883392</v>
      </c>
      <c r="GC40" s="20">
        <f t="shared" si="25"/>
        <v>300.11758429718861</v>
      </c>
      <c r="GD40" s="59">
        <f t="shared" si="26"/>
        <v>593.45091763052187</v>
      </c>
      <c r="GE40" s="59">
        <f ca="1">AVERAGE(OFFSET($GD$3,0,0,'Données projet'!$E$17+1,1))-AVERAGE(OFFSET($H$3,0,0,'Données projet'!$E$17+1,1))</f>
        <v>337.76140497227715</v>
      </c>
      <c r="GF40" s="59">
        <f t="shared" si="50"/>
        <v>219.76562717496353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6.8011546920495665</v>
      </c>
      <c r="GM40" s="21">
        <f>EXP(-LN(2)/25)*GM39+(1-EXP(-LN(2)/25))/(LN(2)/25)*Calculateur!GH40*Calculateur!GJ40*VLOOKUP('Données projet'!$B$17,Paramètres!$A$1:$I$89,3,0)*0.475*44/12</f>
        <v>8.2446501760087845</v>
      </c>
      <c r="GN40" s="21">
        <f>EXP(-LN(2)/2)*GN39+(1-EXP(-LN(2)/2))/(LN(2)/2)*GH40*GK40*VLOOKUP('Données projet'!$B$17,Paramètres!$A$1:$I$89,3,0)*0.475*44/12</f>
        <v>0.80640593968358465</v>
      </c>
      <c r="GO40" s="21">
        <f t="shared" si="27"/>
        <v>15.852210807741935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152.60000000000002</v>
      </c>
      <c r="O41" s="13">
        <f>N41*VLOOKUP('Données projet'!$B$9,Paramètres!$A$1:$I$89,3,0)*VLOOKUP('Données projet'!$B$9,Paramètres!$A$1:$I$89,5,0)</f>
        <v>138.07248000000001</v>
      </c>
      <c r="P41" s="13">
        <f t="shared" si="33"/>
        <v>35.85508207677799</v>
      </c>
      <c r="Q41" s="20">
        <f t="shared" si="53"/>
        <v>302.9238372837217</v>
      </c>
      <c r="R41" s="59">
        <f t="shared" si="0"/>
        <v>596.25717061705495</v>
      </c>
      <c r="S41" s="59">
        <f ca="1">AVERAGE(OFFSET($R$3,0,0,'Données projet'!$E$9+1,1))-AVERAGE(OFFSET($H$3,0,0,'Données projet'!$E$9+1,1))</f>
        <v>312.53389584272878</v>
      </c>
      <c r="T41" s="59">
        <f t="shared" si="34"/>
        <v>203.5274665601915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6.2376083131665645</v>
      </c>
      <c r="AA41" s="21">
        <f>EXP(-LN(2)/25)*AA40+(1-EXP(-LN(2)/25))/(LN(2)/25)*Calculateur!V41*Calculateur!X41*VLOOKUP('Données projet'!$B$9,Paramètres!$A$1:$I$89,3,0)*0.475*44/12</f>
        <v>7.5018320554186086</v>
      </c>
      <c r="AB41" s="21">
        <f>EXP(-LN(2)/2)*AB40+(1-EXP(-LN(2)/2))/(LN(2)/2)*V41*Y41*VLOOKUP('Données projet'!$B$9,Paramètres!$A$1:$I$89,3,0)*0.475*44/12</f>
        <v>0.53342703683360659</v>
      </c>
      <c r="AC41" s="22">
        <f t="shared" si="3"/>
        <v>14.272867405418779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12.4</v>
      </c>
      <c r="AI41" s="13">
        <f>IF('Données projet'!$A$62&gt;35,AI40+AH41-AQ40,IF(A41&lt;'Données projet'!$A$62,$AF$205^A41,IF(A41='Données projet'!$A$62,'Données projet'!$B$62,AI40+AH41-AQ40)))</f>
        <v>210.2000000000001</v>
      </c>
      <c r="AJ41" s="13">
        <f>AI41*VLOOKUP('Données projet'!$B$10,Paramètres!$A$1:$I$89,3,0)*VLOOKUP('Données projet'!$B$10,Paramètres!$A$1:$I$89,5,0)</f>
        <v>183.63072000000011</v>
      </c>
      <c r="AK41" s="13">
        <f t="shared" si="35"/>
        <v>46.129013251634483</v>
      </c>
      <c r="AL41" s="20">
        <f t="shared" si="4"/>
        <v>400.16486874659694</v>
      </c>
      <c r="AM41" s="59">
        <f t="shared" si="5"/>
        <v>693.49820207993025</v>
      </c>
      <c r="AN41" s="59">
        <f ca="1">AVERAGE(OFFSET($AM$3,0,0,'Données projet'!$E$10+1,1))-AVERAGE(OFFSET($H$3,0,0,'Données projet'!$E$10+1,1))</f>
        <v>243.05628303465238</v>
      </c>
      <c r="AO41" s="59">
        <f t="shared" si="36"/>
        <v>352.47096767658394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6.738082818634374</v>
      </c>
      <c r="AV41" s="21">
        <f>EXP(-LN(2)/25)*AV40+(1-EXP(-LN(2)/25))/(LN(2)/25)*Calculateur!AQ41*Calculateur!AS41*VLOOKUP('Données projet'!$B$10,Paramètres!$A$1:$I$89,3,0)*0.475*44/12</f>
        <v>14.513845563260441</v>
      </c>
      <c r="AW41" s="21">
        <f>EXP(-LN(2)/2)*AW40+(1-EXP(-LN(2)/2))/(LN(2)/2)*AQ41*AT41*VLOOKUP('Données projet'!$B$10,Paramètres!$A$1:$I$89,3,0)*0.475*44/12</f>
        <v>0.70457301231675629</v>
      </c>
      <c r="AX41" s="21">
        <f t="shared" si="6"/>
        <v>21.956501394211571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13.2</v>
      </c>
      <c r="BD41" s="12">
        <f>IF('Données projet'!$A$88&gt;35,BD40+BC41-BL40,IF(A41&lt;'Données projet'!$A$88,$BA$205^A41,IF(A41='Données projet'!$A$88,'Données projet'!$B$88,BD40+BC41-BL40)))</f>
        <v>236.59999999999997</v>
      </c>
      <c r="BE41" s="13">
        <f>BD41*VLOOKUP('Données projet'!$B$11,Paramètres!$A$1:$I$89,3,0)*VLOOKUP('Données projet'!$B$11,Paramètres!$A$1:$I$89,5,0)</f>
        <v>188.23895999999999</v>
      </c>
      <c r="BF41" s="13">
        <f t="shared" si="37"/>
        <v>47.150401158990007</v>
      </c>
      <c r="BG41" s="20">
        <f t="shared" si="7"/>
        <v>409.96980401857422</v>
      </c>
      <c r="BH41" s="59">
        <f t="shared" si="8"/>
        <v>703.30313735190748</v>
      </c>
      <c r="BI41" s="59">
        <f ca="1">AVERAGE(OFFSET($BH$3,0,0,'Données projet'!$E$11+1,1))-AVERAGE(OFFSET($H$3,0,0,'Données projet'!$E$11+1,1))</f>
        <v>325.72928944930294</v>
      </c>
      <c r="BJ41" s="59">
        <f t="shared" si="38"/>
        <v>318.38876834819752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14.777496624591953</v>
      </c>
      <c r="BQ41" s="21">
        <f>EXP(-LN(2)/25)*BQ40+(1-EXP(-LN(2)/25))/(LN(2)/25)*Calculateur!BL41*Calculateur!BN41*VLOOKUP('Données projet'!$B$11,Paramètres!$A$1:$I$89,3,0)*0.475*44/12</f>
        <v>16.566029634113445</v>
      </c>
      <c r="BR41" s="21">
        <f>EXP(-LN(2)/2)*BR40+(1-EXP(-LN(2)/2))/(LN(2)/2)*BL41*BO41*VLOOKUP('Données projet'!$B$11,Paramètres!$A$1:$I$89,3,0)*0.475*44/12</f>
        <v>0.73935756463025415</v>
      </c>
      <c r="BS41" s="22">
        <f t="shared" si="9"/>
        <v>32.082883823335649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27</v>
      </c>
      <c r="BY41" s="12">
        <f>IF('Données projet'!$A$114&gt;35,BY40+BX41-CG40,IF(A41&lt;'Données projet'!$A$114,$BV$205^A41,IF(A41='Données projet'!$A$114,'Données projet'!$B$114,BY40+BX41-CG40)))</f>
        <v>584.99999999999989</v>
      </c>
      <c r="BZ41" s="13">
        <f>BY41*VLOOKUP('Données projet'!$B$12,Paramètres!$A$1:$I$89,3,0)*VLOOKUP('Données projet'!$B$12,Paramètres!$A$1:$I$89,5,0)</f>
        <v>327.01499999999993</v>
      </c>
      <c r="CA41" s="13">
        <f t="shared" si="39"/>
        <v>76.811113612871907</v>
      </c>
      <c r="CB41" s="20">
        <f t="shared" si="10"/>
        <v>703.33048120908506</v>
      </c>
      <c r="CC41" s="59">
        <f t="shared" si="11"/>
        <v>996.66381454241832</v>
      </c>
      <c r="CD41" s="59">
        <f ca="1">AVERAGE(OFFSET($CC$3,0,0,'Données projet'!$E$12+1,1))-AVERAGE(OFFSET($H$3,0,0,'Données projet'!$E$12+1,1))</f>
        <v>475.54809021014017</v>
      </c>
      <c r="CE41" s="59">
        <f t="shared" si="40"/>
        <v>593.51433014569966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6.2656842111719211</v>
      </c>
      <c r="CL41" s="21">
        <f>EXP(-LN(2)/25)*CL40+(1-EXP(-LN(2)/25))/(LN(2)/25)*Calculateur!CG41*Calculateur!CI41*VLOOKUP('Données projet'!$B$12,Paramètres!$A$1:$I$89,3,0)*0.475*44/12</f>
        <v>34.135368730700897</v>
      </c>
      <c r="CM41" s="21">
        <f>EXP(-LN(2)/2)*CM40+(1-EXP(-LN(2)/2))/(LN(2)/2)*CG41*CJ41*VLOOKUP('Données projet'!$B$12,Paramètres!$A$1:$I$89,3,0)*0.475*44/12</f>
        <v>0.9011223602961026</v>
      </c>
      <c r="CN41" s="22">
        <f t="shared" si="12"/>
        <v>41.302175302168919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10</v>
      </c>
      <c r="CT41" s="12">
        <f>IF('Données projet'!$A$140&gt;35,CT40+CS41-DB40,IF(A41&lt;'Données projet'!$A$140,$CQ$205^A41,IF(A41='Données projet'!$A$140,'Données projet'!$B$140,CT40+CS41-DB40)))</f>
        <v>223.49999999999989</v>
      </c>
      <c r="CU41" s="17">
        <f>CT41*VLOOKUP('Données projet'!$B$13,Paramètres!$A$1:$I$89,3,0)*VLOOKUP('Données projet'!$B$13,Paramètres!$A$1:$I$89,5,0)</f>
        <v>104.59799999999994</v>
      </c>
      <c r="CV41" s="13">
        <f t="shared" si="41"/>
        <v>28.054525257841597</v>
      </c>
      <c r="CW41" s="20">
        <f t="shared" si="13"/>
        <v>231.03648149074067</v>
      </c>
      <c r="CX41" s="59">
        <f t="shared" si="14"/>
        <v>524.36981482407396</v>
      </c>
      <c r="CY41" s="59">
        <f ca="1">AVERAGE(OFFSET($CX$3,0,0,'Données projet'!$E$13+1,1))-AVERAGE(OFFSET($H$3,0,0,'Données projet'!$E$13+1,1))</f>
        <v>226.0452828290525</v>
      </c>
      <c r="CZ41" s="59">
        <f t="shared" si="42"/>
        <v>179.89696397462069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7.7463234753386283</v>
      </c>
      <c r="DG41" s="21">
        <f>EXP(-LN(2)/25)*DG40+(1-EXP(-LN(2)/25))/(LN(2)/25)*Calculateur!DB41*Calculateur!DD41*VLOOKUP('Données projet'!$B$13,Paramètres!$A$1:$I$89,3,0)*0.475*44/12</f>
        <v>8.9329867209464844</v>
      </c>
      <c r="DH41" s="21">
        <f>EXP(-LN(2)/2)*DH40+(1-EXP(-LN(2)/2))/(LN(2)/2)*DB41*DE41*VLOOKUP('Données projet'!$B$13,Paramètres!$A$1:$I$89,3,0)*0.475*44/12</f>
        <v>0.69019554022489726</v>
      </c>
      <c r="DI41" s="22">
        <f t="shared" si="15"/>
        <v>17.369505736510011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23.166666666666668</v>
      </c>
      <c r="DO41" s="12">
        <f>IF('Données projet'!$A$166&gt;35,DO40+DN41-DW40,IF(A41&lt;'Données projet'!$A$166,$DL$205^A41,IF(A41='Données projet'!$A$166,'Données projet'!$B$166,DO40+DN41-DW40)))</f>
        <v>316.66666666666674</v>
      </c>
      <c r="DP41" s="17">
        <f>DO41*VLOOKUP('Données projet'!$B$14,Paramètres!$A$1:$I$89,3,0)*VLOOKUP('Données projet'!$B$14,Paramètres!$A$1:$I$89,5,0)</f>
        <v>189.36666666666673</v>
      </c>
      <c r="DQ41" s="13">
        <f t="shared" si="43"/>
        <v>47.399904645599641</v>
      </c>
      <c r="DR41" s="20">
        <f t="shared" si="16"/>
        <v>412.36844503553056</v>
      </c>
      <c r="DS41" s="59">
        <f t="shared" si="17"/>
        <v>705.70177836886387</v>
      </c>
      <c r="DT41" s="59">
        <f ca="1">AVERAGE(OFFSET($DS$3,0,0,'Données projet'!$E$14+1,1))-AVERAGE(OFFSET($H$3,0,0,'Données projet'!$E$14+1,1))</f>
        <v>252.81045065813976</v>
      </c>
      <c r="DU41" s="59">
        <f t="shared" si="44"/>
        <v>254.36590349790589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15.409127888688742</v>
      </c>
      <c r="EB41" s="21">
        <f>EXP(-LN(2)/25)*EB40+(1-EXP(-LN(2)/25))/(LN(2)/25)*Calculateur!DW41*Calculateur!DY41*VLOOKUP('Données projet'!$B$14,Paramètres!$A$1:$I$89,3,0)*0.475*44/12</f>
        <v>12.918066576107398</v>
      </c>
      <c r="EC41" s="21">
        <f>EXP(-LN(2)/2)*EC40+(1-EXP(-LN(2)/2))/(LN(2)/2)*DW41*DZ41*VLOOKUP('Données projet'!$B$14,Paramètres!$A$1:$I$89,3,0)*0.475*44/12</f>
        <v>0.3588364802586258</v>
      </c>
      <c r="ED41" s="22">
        <f t="shared" si="18"/>
        <v>28.686030945054764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13.2</v>
      </c>
      <c r="EJ41" s="12">
        <f>IF('Données projet'!$A$192&gt;35,EJ40+EI41-ER40,IF(A41&lt;'Données projet'!$A$192,$EG$205^A41,IF(A41='Données projet'!$A$192,'Données projet'!$B$192,EJ40+EI41-ER40)))</f>
        <v>236.59999999999997</v>
      </c>
      <c r="EK41" s="17">
        <f>EJ41*VLOOKUP('Données projet'!$B$15,Paramètres!$A$1:$I$89,3,0)*VLOOKUP('Données projet'!$B$15,Paramètres!$A$1:$I$89,5,0)</f>
        <v>173.47511999999998</v>
      </c>
      <c r="EL41" s="13">
        <f t="shared" si="45"/>
        <v>43.867415861334891</v>
      </c>
      <c r="EM41" s="20">
        <f t="shared" si="19"/>
        <v>378.53824995849158</v>
      </c>
      <c r="EN41" s="59">
        <f t="shared" si="20"/>
        <v>671.87158329182489</v>
      </c>
      <c r="EO41" s="59">
        <f ca="1">AVERAGE(OFFSET($EN$3,0,0,'Données projet'!$E$15+1,1))-AVERAGE(OFFSET($H$3,0,0,'Données projet'!$E$15+1,1))</f>
        <v>296.91321813251051</v>
      </c>
      <c r="EP41" s="59">
        <f t="shared" si="46"/>
        <v>291.0718079639509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11.048953266111853</v>
      </c>
      <c r="EW41" s="21">
        <f>EXP(-LN(2)/25)*EW40+(1-EXP(-LN(2)/25))/(LN(2)/25)*Calculateur!ER41*Calculateur!ET41*VLOOKUP('Données projet'!$B$15,Paramètres!$A$1:$I$89,3,0)*0.475*44/12</f>
        <v>12.386217495576494</v>
      </c>
      <c r="EX41" s="21">
        <f>EXP(-LN(2)/2)*EX40+(1-EXP(-LN(2)/2))/(LN(2)/2)*ER41*EU41*VLOOKUP('Données projet'!$B$15,Paramètres!$A$1:$I$89,3,0)*0.475*44/12</f>
        <v>0.68136873603180292</v>
      </c>
      <c r="EY41" s="22">
        <f t="shared" si="21"/>
        <v>24.116539497720151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11.2</v>
      </c>
      <c r="FE41" s="12">
        <f>IF('Données projet'!$A$218&gt;35,FE40+FD41-FM40,IF(A41&lt;'Données projet'!$A$218,$FB$205^A41,IF(A41='Données projet'!$A$218,'Données projet'!$B$218,FE40+FD41-FM40)))</f>
        <v>152.60000000000002</v>
      </c>
      <c r="FF41" s="17">
        <f>FE41*VLOOKUP('Données projet'!$B$16,Paramètres!$A$1:$I$89,3,0)*VLOOKUP('Données projet'!$B$16,Paramètres!$A$1:$I$89,5,0)</f>
        <v>154.73640000000003</v>
      </c>
      <c r="FG41" s="13">
        <f t="shared" si="47"/>
        <v>39.652994320183701</v>
      </c>
      <c r="FH41" s="20">
        <f t="shared" si="22"/>
        <v>338.56152844098665</v>
      </c>
      <c r="FI41" s="59">
        <f t="shared" si="23"/>
        <v>631.89486177431991</v>
      </c>
      <c r="FJ41" s="59">
        <f ca="1">AVERAGE(OFFSET($FI$3,0,0,'Données projet'!$E$16+1,1))-AVERAGE(OFFSET($H$3,0,0,'Données projet'!$E$16+1,1))</f>
        <v>356.65981389369125</v>
      </c>
      <c r="FK41" s="59">
        <f t="shared" si="48"/>
        <v>231.92898690465887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6.9904231095832214</v>
      </c>
      <c r="FR41" s="21">
        <f>EXP(-LN(2)/25)*FR40+(1-EXP(-LN(2)/25))/(LN(2)/25)*Calculateur!FM41*Calculateur!FO41*VLOOKUP('Données projet'!$B$16,Paramètres!$A$1:$I$89,3,0)*0.475*44/12</f>
        <v>8.4072255793484398</v>
      </c>
      <c r="FS41" s="21">
        <f>EXP(-LN(2)/2)*FS40+(1-EXP(-LN(2)/2))/(LN(2)/2)*FM41*FP41*VLOOKUP('Données projet'!$B$16,Paramètres!$A$1:$I$89,3,0)*0.475*44/12</f>
        <v>0.59780616196869707</v>
      </c>
      <c r="FT41" s="22">
        <f t="shared" si="24"/>
        <v>15.995454850900357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11.2</v>
      </c>
      <c r="FZ41" s="12">
        <f>IF('Données projet'!$A$244&gt;35,FZ40+FY41-GH40,IF(A41&lt;'Données projet'!$A$244,$FW$205^A41,IF(A41='Données projet'!$A$244,'Données projet'!$B$244,FZ40+FY41-GH40)))</f>
        <v>152.60000000000002</v>
      </c>
      <c r="GA41" s="17">
        <f>FZ41*VLOOKUP('Données projet'!$B$17,Paramètres!$A$1:$I$89,3,0)*VLOOKUP('Données projet'!$B$17,Paramètres!$A$1:$I$89,5,0)</f>
        <v>147.59472000000002</v>
      </c>
      <c r="GB41" s="13">
        <f t="shared" si="49"/>
        <v>38.031463918082679</v>
      </c>
      <c r="GC41" s="20">
        <f t="shared" si="25"/>
        <v>323.29893699066071</v>
      </c>
      <c r="GD41" s="59">
        <f t="shared" si="26"/>
        <v>616.63227032399402</v>
      </c>
      <c r="GE41" s="59">
        <f ca="1">AVERAGE(OFFSET($GD$3,0,0,'Données projet'!$E$17+1,1))-AVERAGE(OFFSET($H$3,0,0,'Données projet'!$E$17+1,1))</f>
        <v>337.76140497227715</v>
      </c>
      <c r="GF41" s="59">
        <f t="shared" si="50"/>
        <v>219.76562717496353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6.6677881968332269</v>
      </c>
      <c r="GM41" s="21">
        <f>EXP(-LN(2)/25)*GM40+(1-EXP(-LN(2)/25))/(LN(2)/25)*Calculateur!GH41*Calculateur!GJ41*VLOOKUP('Données projet'!$B$17,Paramètres!$A$1:$I$89,3,0)*0.475*44/12</f>
        <v>8.0191997833785145</v>
      </c>
      <c r="GN41" s="21">
        <f>EXP(-LN(2)/2)*GN40+(1-EXP(-LN(2)/2))/(LN(2)/2)*GH41*GK41*VLOOKUP('Données projet'!$B$17,Paramètres!$A$1:$I$89,3,0)*0.475*44/12</f>
        <v>0.57021510833937272</v>
      </c>
      <c r="GO41" s="21">
        <f t="shared" si="27"/>
        <v>15.257203088551114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163.80000000000001</v>
      </c>
      <c r="O42" s="13">
        <f>N42*VLOOKUP('Données projet'!$B$9,Paramètres!$A$1:$I$89,3,0)*VLOOKUP('Données projet'!$B$9,Paramètres!$A$1:$I$89,5,0)</f>
        <v>148.20624000000001</v>
      </c>
      <c r="P42" s="13">
        <f t="shared" si="33"/>
        <v>38.170662245893794</v>
      </c>
      <c r="Q42" s="20">
        <f t="shared" si="53"/>
        <v>324.60643807826506</v>
      </c>
      <c r="R42" s="59">
        <f t="shared" si="0"/>
        <v>617.93977141159837</v>
      </c>
      <c r="S42" s="59">
        <f ca="1">AVERAGE(OFFSET($R$3,0,0,'Données projet'!$E$9+1,1))-AVERAGE(OFFSET($H$3,0,0,'Données projet'!$E$9+1,1))</f>
        <v>312.53389584272878</v>
      </c>
      <c r="T42" s="59">
        <f t="shared" si="34"/>
        <v>203.5274665601915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6.1152926187107699</v>
      </c>
      <c r="AA42" s="21">
        <f>EXP(-LN(2)/25)*AA41+(1-EXP(-LN(2)/25))/(LN(2)/25)*Calculateur!V42*Calculateur!X42*VLOOKUP('Données projet'!$B$9,Paramètres!$A$1:$I$89,3,0)*0.475*44/12</f>
        <v>7.2966940633589843</v>
      </c>
      <c r="AB42" s="21">
        <f>EXP(-LN(2)/2)*AB41+(1-EXP(-LN(2)/2))/(LN(2)/2)*V42*Y42*VLOOKUP('Données projet'!$B$9,Paramètres!$A$1:$I$89,3,0)*0.475*44/12</f>
        <v>0.37718987501328949</v>
      </c>
      <c r="AC42" s="22">
        <f t="shared" si="3"/>
        <v>13.789176557083044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12.4</v>
      </c>
      <c r="AI42" s="13">
        <f>IF('Données projet'!$A$62&gt;35,AI41+AH42-AQ41,IF(A42&lt;'Données projet'!$A$62,$AF$205^A42,IF(A42='Données projet'!$A$62,'Données projet'!$B$62,AI41+AH42-AQ41)))</f>
        <v>222.60000000000011</v>
      </c>
      <c r="AJ42" s="13">
        <f>AI42*VLOOKUP('Données projet'!$B$10,Paramètres!$A$1:$I$89,3,0)*VLOOKUP('Données projet'!$B$10,Paramètres!$A$1:$I$89,5,0)</f>
        <v>194.46336000000014</v>
      </c>
      <c r="AK42" s="13">
        <f t="shared" si="35"/>
        <v>48.525400894162686</v>
      </c>
      <c r="AL42" s="20">
        <f t="shared" si="4"/>
        <v>423.20542522400024</v>
      </c>
      <c r="AM42" s="59">
        <f t="shared" si="5"/>
        <v>716.53875855733349</v>
      </c>
      <c r="AN42" s="59">
        <f ca="1">AVERAGE(OFFSET($AM$3,0,0,'Données projet'!$E$10+1,1))-AVERAGE(OFFSET($H$3,0,0,'Données projet'!$E$10+1,1))</f>
        <v>243.05628303465238</v>
      </c>
      <c r="AO42" s="59">
        <f t="shared" si="36"/>
        <v>352.47096767658394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6.6059531243856622</v>
      </c>
      <c r="AV42" s="21">
        <f>EXP(-LN(2)/25)*AV41+(1-EXP(-LN(2)/25))/(LN(2)/25)*Calculateur!AQ42*Calculateur!AS42*VLOOKUP('Données projet'!$B$10,Paramètres!$A$1:$I$89,3,0)*0.475*44/12</f>
        <v>14.116963693083118</v>
      </c>
      <c r="AW42" s="21">
        <f>EXP(-LN(2)/2)*AW41+(1-EXP(-LN(2)/2))/(LN(2)/2)*AQ42*AT42*VLOOKUP('Données projet'!$B$10,Paramètres!$A$1:$I$89,3,0)*0.475*44/12</f>
        <v>0.49820835485021125</v>
      </c>
      <c r="AX42" s="21">
        <f t="shared" si="6"/>
        <v>21.221125172318988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13.2</v>
      </c>
      <c r="BD42" s="12">
        <f>IF('Données projet'!$A$88&gt;35,BD41+BC42-BL41,IF(A42&lt;'Données projet'!$A$88,$BA$205^A42,IF(A42='Données projet'!$A$88,'Données projet'!$B$88,BD41+BC42-BL41)))</f>
        <v>249.79999999999995</v>
      </c>
      <c r="BE42" s="13">
        <f>BD42*VLOOKUP('Données projet'!$B$11,Paramètres!$A$1:$I$89,3,0)*VLOOKUP('Données projet'!$B$11,Paramètres!$A$1:$I$89,5,0)</f>
        <v>198.74087999999998</v>
      </c>
      <c r="BF42" s="13">
        <f t="shared" si="37"/>
        <v>49.467349630825638</v>
      </c>
      <c r="BG42" s="20">
        <f t="shared" si="7"/>
        <v>432.29599994035453</v>
      </c>
      <c r="BH42" s="59">
        <f t="shared" si="8"/>
        <v>725.62933327368785</v>
      </c>
      <c r="BI42" s="59">
        <f ca="1">AVERAGE(OFFSET($BH$3,0,0,'Données projet'!$E$11+1,1))-AVERAGE(OFFSET($H$3,0,0,'Données projet'!$E$11+1,1))</f>
        <v>325.72928944930294</v>
      </c>
      <c r="BJ42" s="59">
        <f t="shared" si="38"/>
        <v>318.38876834819752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14.487718929166649</v>
      </c>
      <c r="BQ42" s="21">
        <f>EXP(-LN(2)/25)*BQ41+(1-EXP(-LN(2)/25))/(LN(2)/25)*Calculateur!BL42*Calculateur!BN42*VLOOKUP('Données projet'!$B$11,Paramètres!$A$1:$I$89,3,0)*0.475*44/12</f>
        <v>16.113030682598975</v>
      </c>
      <c r="BR42" s="21">
        <f>EXP(-LN(2)/2)*BR41+(1-EXP(-LN(2)/2))/(LN(2)/2)*BL42*BO42*VLOOKUP('Données projet'!$B$11,Paramètres!$A$1:$I$89,3,0)*0.475*44/12</f>
        <v>0.52280474767162377</v>
      </c>
      <c r="BS42" s="22">
        <f t="shared" si="9"/>
        <v>31.123554359437247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27</v>
      </c>
      <c r="BY42" s="12">
        <f>IF('Données projet'!$A$114&gt;35,BY41+BX42-CG41,IF(A42&lt;'Données projet'!$A$114,$BV$205^A42,IF(A42='Données projet'!$A$114,'Données projet'!$B$114,BY41+BX42-CG41)))</f>
        <v>611.99999999999989</v>
      </c>
      <c r="BZ42" s="13">
        <f>BY42*VLOOKUP('Données projet'!$B$12,Paramètres!$A$1:$I$89,3,0)*VLOOKUP('Données projet'!$B$12,Paramètres!$A$1:$I$89,5,0)</f>
        <v>342.10799999999995</v>
      </c>
      <c r="CA42" s="13">
        <f t="shared" si="39"/>
        <v>79.935315774430151</v>
      </c>
      <c r="CB42" s="20">
        <f t="shared" si="10"/>
        <v>735.0587749737989</v>
      </c>
      <c r="CC42" s="59">
        <f t="shared" si="11"/>
        <v>1028.3921083071323</v>
      </c>
      <c r="CD42" s="59">
        <f ca="1">AVERAGE(OFFSET($CC$3,0,0,'Données projet'!$E$12+1,1))-AVERAGE(OFFSET($H$3,0,0,'Données projet'!$E$12+1,1))</f>
        <v>475.54809021014017</v>
      </c>
      <c r="CE42" s="59">
        <f t="shared" si="40"/>
        <v>593.51433014569966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6.1428179654808481</v>
      </c>
      <c r="CL42" s="21">
        <f>EXP(-LN(2)/25)*CL41+(1-EXP(-LN(2)/25))/(LN(2)/25)*Calculateur!CG42*Calculateur!CI42*VLOOKUP('Données projet'!$B$12,Paramètres!$A$1:$I$89,3,0)*0.475*44/12</f>
        <v>33.201935277658855</v>
      </c>
      <c r="CM42" s="21">
        <f>EXP(-LN(2)/2)*CM41+(1-EXP(-LN(2)/2))/(LN(2)/2)*CG42*CJ42*VLOOKUP('Données projet'!$B$12,Paramètres!$A$1:$I$89,3,0)*0.475*44/12</f>
        <v>0.63718973164420145</v>
      </c>
      <c r="CN42" s="22">
        <f t="shared" si="12"/>
        <v>39.981942974783905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10</v>
      </c>
      <c r="CT42" s="12">
        <f>IF('Données projet'!$A$140&gt;35,CT41+CS42-DB41,IF(A42&lt;'Données projet'!$A$140,$CQ$205^A42,IF(A42='Données projet'!$A$140,'Données projet'!$B$140,CT41+CS42-DB41)))</f>
        <v>233.49999999999989</v>
      </c>
      <c r="CU42" s="17">
        <f>CT42*VLOOKUP('Données projet'!$B$13,Paramètres!$A$1:$I$89,3,0)*VLOOKUP('Données projet'!$B$13,Paramètres!$A$1:$I$89,5,0)</f>
        <v>109.27799999999995</v>
      </c>
      <c r="CV42" s="13">
        <f t="shared" si="41"/>
        <v>29.160810599699261</v>
      </c>
      <c r="CW42" s="20">
        <f t="shared" si="13"/>
        <v>241.11426179447608</v>
      </c>
      <c r="CX42" s="59">
        <f t="shared" si="14"/>
        <v>534.44759512780934</v>
      </c>
      <c r="CY42" s="59">
        <f ca="1">AVERAGE(OFFSET($CX$3,0,0,'Données projet'!$E$13+1,1))-AVERAGE(OFFSET($H$3,0,0,'Données projet'!$E$13+1,1))</f>
        <v>226.0452828290525</v>
      </c>
      <c r="CZ42" s="59">
        <f t="shared" si="42"/>
        <v>179.89696397462069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7.5944227967780238</v>
      </c>
      <c r="DG42" s="21">
        <f>EXP(-LN(2)/25)*DG41+(1-EXP(-LN(2)/25))/(LN(2)/25)*Calculateur!DB42*Calculateur!DD42*VLOOKUP('Données projet'!$B$13,Paramètres!$A$1:$I$89,3,0)*0.475*44/12</f>
        <v>8.6887137292968486</v>
      </c>
      <c r="DH42" s="21">
        <f>EXP(-LN(2)/2)*DH41+(1-EXP(-LN(2)/2))/(LN(2)/2)*DB42*DE42*VLOOKUP('Données projet'!$B$13,Paramètres!$A$1:$I$89,3,0)*0.475*44/12</f>
        <v>0.48804194683773744</v>
      </c>
      <c r="DI42" s="22">
        <f t="shared" si="15"/>
        <v>16.771178472912609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23.166666666666668</v>
      </c>
      <c r="DO42" s="12">
        <f>IF('Données projet'!$A$166&gt;35,DO41+DN42-DW41,IF(A42&lt;'Données projet'!$A$166,$DL$205^A42,IF(A42='Données projet'!$A$166,'Données projet'!$B$166,DO41+DN42-DW41)))</f>
        <v>339.83333333333343</v>
      </c>
      <c r="DP42" s="17">
        <f>DO42*VLOOKUP('Données projet'!$B$14,Paramètres!$A$1:$I$89,3,0)*VLOOKUP('Données projet'!$B$14,Paramètres!$A$1:$I$89,5,0)</f>
        <v>203.2203333333334</v>
      </c>
      <c r="DQ42" s="13">
        <f t="shared" si="43"/>
        <v>50.451240235274049</v>
      </c>
      <c r="DR42" s="20">
        <f t="shared" si="16"/>
        <v>441.81132396532462</v>
      </c>
      <c r="DS42" s="59">
        <f t="shared" si="17"/>
        <v>735.14465729865788</v>
      </c>
      <c r="DT42" s="59">
        <f ca="1">AVERAGE(OFFSET($DS$3,0,0,'Données projet'!$E$14+1,1))-AVERAGE(OFFSET($H$3,0,0,'Données projet'!$E$14+1,1))</f>
        <v>252.81045065813976</v>
      </c>
      <c r="DU42" s="59">
        <f t="shared" si="44"/>
        <v>254.36590349790589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15.106964289431529</v>
      </c>
      <c r="EB42" s="21">
        <f>EXP(-LN(2)/25)*EB41+(1-EXP(-LN(2)/25))/(LN(2)/25)*Calculateur!DW42*Calculateur!DY42*VLOOKUP('Données projet'!$B$14,Paramètres!$A$1:$I$89,3,0)*0.475*44/12</f>
        <v>12.564821366252145</v>
      </c>
      <c r="EC42" s="21">
        <f>EXP(-LN(2)/2)*EC41+(1-EXP(-LN(2)/2))/(LN(2)/2)*DW42*DZ42*VLOOKUP('Données projet'!$B$14,Paramètres!$A$1:$I$89,3,0)*0.475*44/12</f>
        <v>0.25373570852798699</v>
      </c>
      <c r="ED42" s="22">
        <f t="shared" si="18"/>
        <v>27.925521364211662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13.2</v>
      </c>
      <c r="EJ42" s="12">
        <f>IF('Données projet'!$A$192&gt;35,EJ41+EI42-ER41,IF(A42&lt;'Données projet'!$A$192,$EG$205^A42,IF(A42='Données projet'!$A$192,'Données projet'!$B$192,EJ41+EI42-ER41)))</f>
        <v>249.79999999999995</v>
      </c>
      <c r="EK42" s="17">
        <f>EJ42*VLOOKUP('Données projet'!$B$15,Paramètres!$A$1:$I$89,3,0)*VLOOKUP('Données projet'!$B$15,Paramètres!$A$1:$I$89,5,0)</f>
        <v>183.15335999999996</v>
      </c>
      <c r="EL42" s="13">
        <f t="shared" si="45"/>
        <v>46.023039984246878</v>
      </c>
      <c r="EM42" s="20">
        <f t="shared" si="19"/>
        <v>399.14889663922986</v>
      </c>
      <c r="EN42" s="59">
        <f t="shared" si="20"/>
        <v>692.48222997256312</v>
      </c>
      <c r="EO42" s="59">
        <f ca="1">AVERAGE(OFFSET($EN$3,0,0,'Données projet'!$E$15+1,1))-AVERAGE(OFFSET($H$3,0,0,'Données projet'!$E$15+1,1))</f>
        <v>296.91321813251051</v>
      </c>
      <c r="EP42" s="59">
        <f t="shared" si="46"/>
        <v>291.0718079639509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10.832290031759452</v>
      </c>
      <c r="EW42" s="21">
        <f>EXP(-LN(2)/25)*EW41+(1-EXP(-LN(2)/25))/(LN(2)/25)*Calculateur!ER42*Calculateur!ET42*VLOOKUP('Données projet'!$B$15,Paramètres!$A$1:$I$89,3,0)*0.475*44/12</f>
        <v>12.047515726797085</v>
      </c>
      <c r="EX42" s="21">
        <f>EXP(-LN(2)/2)*EX41+(1-EXP(-LN(2)/2))/(LN(2)/2)*ER42*EU42*VLOOKUP('Données projet'!$B$15,Paramètres!$A$1:$I$89,3,0)*0.475*44/12</f>
        <v>0.48180045373659458</v>
      </c>
      <c r="EY42" s="22">
        <f t="shared" si="21"/>
        <v>23.361606212293129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11.2</v>
      </c>
      <c r="FE42" s="12">
        <f>IF('Données projet'!$A$218&gt;35,FE41+FD42-FM41,IF(A42&lt;'Données projet'!$A$218,$FB$205^A42,IF(A42='Données projet'!$A$218,'Données projet'!$B$218,FE41+FD42-FM41)))</f>
        <v>163.80000000000001</v>
      </c>
      <c r="FF42" s="17">
        <f>FE42*VLOOKUP('Données projet'!$B$16,Paramètres!$A$1:$I$89,3,0)*VLOOKUP('Données projet'!$B$16,Paramètres!$A$1:$I$89,5,0)</f>
        <v>166.09320000000002</v>
      </c>
      <c r="FG42" s="13">
        <f t="shared" si="47"/>
        <v>42.213849908165905</v>
      </c>
      <c r="FH42" s="20">
        <f t="shared" si="22"/>
        <v>362.80144525672227</v>
      </c>
      <c r="FI42" s="59">
        <f t="shared" si="23"/>
        <v>656.13477859005559</v>
      </c>
      <c r="FJ42" s="59">
        <f ca="1">AVERAGE(OFFSET($FI$3,0,0,'Données projet'!$E$16+1,1))-AVERAGE(OFFSET($H$3,0,0,'Données projet'!$E$16+1,1))</f>
        <v>356.65981389369125</v>
      </c>
      <c r="FK42" s="59">
        <f t="shared" si="48"/>
        <v>231.92898690465887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6.8533451761413824</v>
      </c>
      <c r="FR42" s="21">
        <f>EXP(-LN(2)/25)*FR41+(1-EXP(-LN(2)/25))/(LN(2)/25)*Calculateur!FM42*Calculateur!FO42*VLOOKUP('Données projet'!$B$16,Paramètres!$A$1:$I$89,3,0)*0.475*44/12</f>
        <v>8.1773295537643786</v>
      </c>
      <c r="FS42" s="21">
        <f>EXP(-LN(2)/2)*FS41+(1-EXP(-LN(2)/2))/(LN(2)/2)*FM42*FP42*VLOOKUP('Données projet'!$B$16,Paramètres!$A$1:$I$89,3,0)*0.475*44/12</f>
        <v>0.42271279096316927</v>
      </c>
      <c r="FT42" s="22">
        <f t="shared" si="24"/>
        <v>15.453387520868931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11.2</v>
      </c>
      <c r="FZ42" s="12">
        <f>IF('Données projet'!$A$244&gt;35,FZ41+FY42-GH41,IF(A42&lt;'Données projet'!$A$244,$FW$205^A42,IF(A42='Données projet'!$A$244,'Données projet'!$B$244,FZ41+FY42-GH41)))</f>
        <v>163.80000000000001</v>
      </c>
      <c r="GA42" s="17">
        <f>FZ42*VLOOKUP('Données projet'!$B$17,Paramètres!$A$1:$I$89,3,0)*VLOOKUP('Données projet'!$B$17,Paramètres!$A$1:$I$89,5,0)</f>
        <v>158.42736000000002</v>
      </c>
      <c r="GB42" s="13">
        <f t="shared" si="49"/>
        <v>40.487598405868248</v>
      </c>
      <c r="GC42" s="20">
        <f t="shared" si="25"/>
        <v>346.4435525568872</v>
      </c>
      <c r="GD42" s="59">
        <f t="shared" si="26"/>
        <v>639.77688589022046</v>
      </c>
      <c r="GE42" s="59">
        <f ca="1">AVERAGE(OFFSET($GD$3,0,0,'Données projet'!$E$17+1,1))-AVERAGE(OFFSET($H$3,0,0,'Données projet'!$E$17+1,1))</f>
        <v>337.76140497227715</v>
      </c>
      <c r="GF42" s="59">
        <f t="shared" si="50"/>
        <v>219.76562717496353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6.5370369372425499</v>
      </c>
      <c r="GM42" s="21">
        <f>EXP(-LN(2)/25)*GM41+(1-EXP(-LN(2)/25))/(LN(2)/25)*Calculateur!GH42*Calculateur!GJ42*VLOOKUP('Données projet'!$B$17,Paramètres!$A$1:$I$89,3,0)*0.475*44/12</f>
        <v>7.7999143435906406</v>
      </c>
      <c r="GN42" s="21">
        <f>EXP(-LN(2)/2)*GN41+(1-EXP(-LN(2)/2))/(LN(2)/2)*GH42*GK42*VLOOKUP('Données projet'!$B$17,Paramètres!$A$1:$I$89,3,0)*0.475*44/12</f>
        <v>0.40320296984179232</v>
      </c>
      <c r="GO42" s="21">
        <f t="shared" si="27"/>
        <v>14.740154250674983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175</v>
      </c>
      <c r="O43" s="13">
        <f>N43*VLOOKUP('Données projet'!$B$9,Paramètres!$A$1:$I$89,3,0)*VLOOKUP('Données projet'!$B$9,Paramètres!$A$1:$I$89,5,0)</f>
        <v>158.34</v>
      </c>
      <c r="P43" s="13">
        <f t="shared" si="33"/>
        <v>40.467870812652819</v>
      </c>
      <c r="Q43" s="20">
        <f t="shared" si="53"/>
        <v>346.25704166537031</v>
      </c>
      <c r="R43" s="59">
        <f t="shared" si="0"/>
        <v>639.59037499870362</v>
      </c>
      <c r="S43" s="59">
        <f ca="1">AVERAGE(OFFSET($R$3,0,0,'Données projet'!$E$9+1,1))-AVERAGE(OFFSET($H$3,0,0,'Données projet'!$E$9+1,1))</f>
        <v>312.53389584272878</v>
      </c>
      <c r="T43" s="59">
        <f t="shared" si="34"/>
        <v>203.5274665601915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5.995375460418046</v>
      </c>
      <c r="AA43" s="21">
        <f>EXP(-LN(2)/25)*AA42+(1-EXP(-LN(2)/25))/(LN(2)/25)*Calculateur!V43*Calculateur!X43*VLOOKUP('Données projet'!$B$9,Paramètres!$A$1:$I$89,3,0)*0.475*44/12</f>
        <v>7.0971655804799685</v>
      </c>
      <c r="AB43" s="21">
        <f>EXP(-LN(2)/2)*AB42+(1-EXP(-LN(2)/2))/(LN(2)/2)*V43*Y43*VLOOKUP('Données projet'!$B$9,Paramètres!$A$1:$I$89,3,0)*0.475*44/12</f>
        <v>0.2667135184168033</v>
      </c>
      <c r="AC43" s="22">
        <f t="shared" si="3"/>
        <v>13.359254559314818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235</v>
      </c>
      <c r="AG43" s="12">
        <f>VLOOKUP(A43,'Données projet'!$A$61:$I$81,9,0)</f>
        <v>12.4</v>
      </c>
      <c r="AH43" s="12">
        <f t="array" ref="AH43">INDEX(AG:AG,MIN(IF(ISNUMBER(AG43:AG239),ROW(AG43:AG239),"")))</f>
        <v>12.4</v>
      </c>
      <c r="AI43" s="13">
        <f>IF('Données projet'!$A$62&gt;35,AI42+AH43-AQ42,IF(A43&lt;'Données projet'!$A$62,$AF$205^A43,IF(A43='Données projet'!$A$62,'Données projet'!$B$62,AI42+AH43-AQ42)))</f>
        <v>235.00000000000011</v>
      </c>
      <c r="AJ43" s="13">
        <f>AI43*VLOOKUP('Données projet'!$B$10,Paramètres!$A$1:$I$89,3,0)*VLOOKUP('Données projet'!$B$10,Paramètres!$A$1:$I$89,5,0)</f>
        <v>205.29600000000013</v>
      </c>
      <c r="AK43" s="13">
        <f t="shared" si="35"/>
        <v>50.906291934375396</v>
      </c>
      <c r="AL43" s="20">
        <f t="shared" si="4"/>
        <v>446.21899178570402</v>
      </c>
      <c r="AM43" s="59">
        <f t="shared" si="5"/>
        <v>739.55232511903728</v>
      </c>
      <c r="AN43" s="59">
        <f ca="1">AVERAGE(OFFSET($AM$3,0,0,'Données projet'!$E$10+1,1))-AVERAGE(OFFSET($H$3,0,0,'Données projet'!$E$10+1,1))</f>
        <v>243.05628303465238</v>
      </c>
      <c r="AO43" s="59">
        <f t="shared" si="36"/>
        <v>352.47096767658394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45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6.4764144128500112</v>
      </c>
      <c r="AV43" s="21">
        <f>EXP(-LN(2)/25)*AV42+(1-EXP(-LN(2)/25))/(LN(2)/25)*Calculateur!AQ43*Calculateur!AS43*VLOOKUP('Données projet'!$B$10,Paramètres!$A$1:$I$89,3,0)*0.475*44/12</f>
        <v>13.730934578516905</v>
      </c>
      <c r="AW43" s="21">
        <f>EXP(-LN(2)/2)*AW42+(1-EXP(-LN(2)/2))/(LN(2)/2)*AQ43*AT43*VLOOKUP('Données projet'!$B$10,Paramètres!$A$1:$I$89,3,0)*0.475*44/12</f>
        <v>0.3522865061583782</v>
      </c>
      <c r="AX43" s="21">
        <f t="shared" si="6"/>
        <v>20.559635497525296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263</v>
      </c>
      <c r="BB43" s="12">
        <f>VLOOKUP(A43,'Données projet'!$A$87:$I$107,9,0)</f>
        <v>13.2</v>
      </c>
      <c r="BC43" s="12">
        <f t="array" ref="BC43">INDEX(BB:BB,MIN(IF(ISNUMBER(BB43:BB239),ROW(BB43:BB239),"")))</f>
        <v>13.2</v>
      </c>
      <c r="BD43" s="12">
        <f>IF('Données projet'!$A$88&gt;35,BD42+BC43-BL42,IF(A43&lt;'Données projet'!$A$88,$BA$205^A43,IF(A43='Données projet'!$A$88,'Données projet'!$B$88,BD42+BC43-BL42)))</f>
        <v>262.99999999999994</v>
      </c>
      <c r="BE43" s="13">
        <f>BD43*VLOOKUP('Données projet'!$B$11,Paramètres!$A$1:$I$89,3,0)*VLOOKUP('Données projet'!$B$11,Paramètres!$A$1:$I$89,5,0)</f>
        <v>209.24279999999996</v>
      </c>
      <c r="BF43" s="13">
        <f t="shared" si="37"/>
        <v>51.770083677016814</v>
      </c>
      <c r="BG43" s="20">
        <f t="shared" si="7"/>
        <v>454.59743907080411</v>
      </c>
      <c r="BH43" s="59">
        <f t="shared" si="8"/>
        <v>747.93077240413743</v>
      </c>
      <c r="BI43" s="59">
        <f ca="1">AVERAGE(OFFSET($BH$3,0,0,'Données projet'!$E$11+1,1))-AVERAGE(OFFSET($H$3,0,0,'Données projet'!$E$11+1,1))</f>
        <v>325.72928944930294</v>
      </c>
      <c r="BJ43" s="59">
        <f t="shared" si="38"/>
        <v>318.38876834819752</v>
      </c>
      <c r="BK43" s="15">
        <f>IF(ISNA(VLOOKUP(A43,'Données projet'!$A$87:$I$107,3,0)),0,VLOOKUP(A43,'Données projet'!$A$87:$I$107,3,0))</f>
        <v>7</v>
      </c>
      <c r="BL43" s="15">
        <f>IF(ISNA(VLOOKUP(A43,'Données projet'!$A$87:$I$107,4,0)),0,VLOOKUP(A43,'Données projet'!$A$87:$I$107,4,0))</f>
        <v>40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14.203623597601693</v>
      </c>
      <c r="BQ43" s="21">
        <f>EXP(-LN(2)/25)*BQ42+(1-EXP(-LN(2)/25))/(LN(2)/25)*Calculateur!BL43*Calculateur!BN43*VLOOKUP('Données projet'!$B$11,Paramètres!$A$1:$I$89,3,0)*0.475*44/12</f>
        <v>15.672419011235849</v>
      </c>
      <c r="BR43" s="21">
        <f>EXP(-LN(2)/2)*BR42+(1-EXP(-LN(2)/2))/(LN(2)/2)*BL43*BO43*VLOOKUP('Données projet'!$B$11,Paramètres!$A$1:$I$89,3,0)*0.475*44/12</f>
        <v>0.36967878231512707</v>
      </c>
      <c r="BS43" s="22">
        <f t="shared" si="9"/>
        <v>30.245721391152671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639</v>
      </c>
      <c r="BW43" s="12">
        <f>VLOOKUP(A43,'Données projet'!$A$113:$I$133,9,0)</f>
        <v>27</v>
      </c>
      <c r="BX43" s="12">
        <f t="array" ref="BX43">INDEX(BW:BW,MIN(IF(ISNUMBER(BW43:BW239),ROW(BW43:BW239),"")))</f>
        <v>27</v>
      </c>
      <c r="BY43" s="12">
        <f>IF('Données projet'!$A$114&gt;35,BY42+BX43-CG42,IF(A43&lt;'Données projet'!$A$114,$BV$205^A43,IF(A43='Données projet'!$A$114,'Données projet'!$B$114,BY42+BX43-CG42)))</f>
        <v>638.99999999999989</v>
      </c>
      <c r="BZ43" s="13">
        <f>BY43*VLOOKUP('Données projet'!$B$12,Paramètres!$A$1:$I$89,3,0)*VLOOKUP('Données projet'!$B$12,Paramètres!$A$1:$I$89,5,0)</f>
        <v>357.20099999999991</v>
      </c>
      <c r="CA43" s="13">
        <f t="shared" si="39"/>
        <v>83.043509879488369</v>
      </c>
      <c r="CB43" s="20">
        <f t="shared" si="10"/>
        <v>766.75918804010871</v>
      </c>
      <c r="CC43" s="59">
        <f t="shared" si="11"/>
        <v>1060.092521373442</v>
      </c>
      <c r="CD43" s="59">
        <f ca="1">AVERAGE(OFFSET($CC$3,0,0,'Données projet'!$E$12+1,1))-AVERAGE(OFFSET($H$3,0,0,'Données projet'!$E$12+1,1))</f>
        <v>475.54809021014017</v>
      </c>
      <c r="CE43" s="59">
        <f t="shared" si="40"/>
        <v>593.51433014569966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77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6.022361051926767</v>
      </c>
      <c r="CL43" s="21">
        <f>EXP(-LN(2)/25)*CL42+(1-EXP(-LN(2)/25))/(LN(2)/25)*Calculateur!CG43*Calculateur!CI43*VLOOKUP('Données projet'!$B$12,Paramètres!$A$1:$I$89,3,0)*0.475*44/12</f>
        <v>32.294026611477378</v>
      </c>
      <c r="CM43" s="21">
        <f>EXP(-LN(2)/2)*CM42+(1-EXP(-LN(2)/2))/(LN(2)/2)*CG43*CJ43*VLOOKUP('Données projet'!$B$12,Paramètres!$A$1:$I$89,3,0)*0.475*44/12</f>
        <v>0.4505611801480513</v>
      </c>
      <c r="CN43" s="22">
        <f t="shared" si="12"/>
        <v>38.766948843552193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243.5</v>
      </c>
      <c r="CR43" s="12">
        <f>VLOOKUP(A43,'Données projet'!$A$139:$I$159,9,0)</f>
        <v>10</v>
      </c>
      <c r="CS43" s="12">
        <f t="array" ref="CS43">INDEX(CR:CR,MIN(IF(ISNUMBER(CR43:CR239),ROW(CR43:CR239),"")))</f>
        <v>10</v>
      </c>
      <c r="CT43" s="12">
        <f>IF('Données projet'!$A$140&gt;35,CT42+CS43-DB42,IF(A43&lt;'Données projet'!$A$140,$CQ$205^A43,IF(A43='Données projet'!$A$140,'Données projet'!$B$140,CT42+CS43-DB42)))</f>
        <v>243.49999999999989</v>
      </c>
      <c r="CU43" s="17">
        <f>CT43*VLOOKUP('Données projet'!$B$13,Paramètres!$A$1:$I$89,3,0)*VLOOKUP('Données projet'!$B$13,Paramètres!$A$1:$I$89,5,0)</f>
        <v>113.95799999999994</v>
      </c>
      <c r="CV43" s="13">
        <f t="shared" si="41"/>
        <v>30.261593043834445</v>
      </c>
      <c r="CW43" s="20">
        <f t="shared" si="13"/>
        <v>251.1824578846782</v>
      </c>
      <c r="CX43" s="59">
        <f t="shared" si="14"/>
        <v>544.51579121801149</v>
      </c>
      <c r="CY43" s="59">
        <f ca="1">AVERAGE(OFFSET($CX$3,0,0,'Données projet'!$E$13+1,1))-AVERAGE(OFFSET($H$3,0,0,'Données projet'!$E$13+1,1))</f>
        <v>226.0452828290525</v>
      </c>
      <c r="CZ43" s="59">
        <f t="shared" si="42"/>
        <v>179.89696397462069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70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7.4455007978737271</v>
      </c>
      <c r="DG43" s="21">
        <f>EXP(-LN(2)/25)*DG42+(1-EXP(-LN(2)/25))/(LN(2)/25)*Calculateur!DB43*Calculateur!DD43*VLOOKUP('Données projet'!$B$13,Paramètres!$A$1:$I$89,3,0)*0.475*44/12</f>
        <v>8.4511203954496299</v>
      </c>
      <c r="DH43" s="21">
        <f>EXP(-LN(2)/2)*DH42+(1-EXP(-LN(2)/2))/(LN(2)/2)*DB43*DE43*VLOOKUP('Données projet'!$B$13,Paramètres!$A$1:$I$89,3,0)*0.475*44/12</f>
        <v>0.34509777011244869</v>
      </c>
      <c r="DI43" s="22">
        <f t="shared" si="15"/>
        <v>16.241718963435805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363</v>
      </c>
      <c r="DM43" s="12">
        <f>VLOOKUP(A43,'Données projet'!$A$165:$I$185,9,0)</f>
        <v>23.166666666666668</v>
      </c>
      <c r="DN43" s="12">
        <f t="array" ref="DN43">INDEX(DM:DM,MIN(IF(ISNUMBER(DM43:DM239),ROW(DM43:DM239),"")))</f>
        <v>23.166666666666668</v>
      </c>
      <c r="DO43" s="12">
        <f>IF('Données projet'!$A$166&gt;35,DO42+DN43-DW42,IF(A43&lt;'Données projet'!$A$166,$DL$205^A43,IF(A43='Données projet'!$A$166,'Données projet'!$B$166,DO42+DN43-DW42)))</f>
        <v>363.00000000000011</v>
      </c>
      <c r="DP43" s="17">
        <f>DO43*VLOOKUP('Données projet'!$B$14,Paramètres!$A$1:$I$89,3,0)*VLOOKUP('Données projet'!$B$14,Paramètres!$A$1:$I$89,5,0)</f>
        <v>217.07400000000007</v>
      </c>
      <c r="DQ43" s="13">
        <f t="shared" si="43"/>
        <v>53.478439358974512</v>
      </c>
      <c r="DR43" s="20">
        <f t="shared" si="16"/>
        <v>471.21216521688075</v>
      </c>
      <c r="DS43" s="59">
        <f t="shared" si="17"/>
        <v>764.54549855021401</v>
      </c>
      <c r="DT43" s="59">
        <f ca="1">AVERAGE(OFFSET($DS$3,0,0,'Données projet'!$E$14+1,1))-AVERAGE(OFFSET($H$3,0,0,'Données projet'!$E$14+1,1))</f>
        <v>252.81045065813976</v>
      </c>
      <c r="DU43" s="59">
        <f t="shared" si="44"/>
        <v>254.36590349790589</v>
      </c>
      <c r="DV43" s="15">
        <f>IF(ISNA(VLOOKUP(A43,'Données projet'!$A$165:$I$185,3,0)),0,VLOOKUP(A43,'Données projet'!$A$165:$I$185,3,0))</f>
        <v>7</v>
      </c>
      <c r="DW43" s="15">
        <f>IF(ISNA(VLOOKUP(A43,'Données projet'!$A$165:$I$185,4,0)),0,VLOOKUP(A43,'Données projet'!$A$165:$I$185,4,0))</f>
        <v>64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14.810725934054153</v>
      </c>
      <c r="EB43" s="21">
        <f>EXP(-LN(2)/25)*EB42+(1-EXP(-LN(2)/25))/(LN(2)/25)*Calculateur!DW43*Calculateur!DY43*VLOOKUP('Données projet'!$B$14,Paramètres!$A$1:$I$89,3,0)*0.475*44/12</f>
        <v>12.221235665236742</v>
      </c>
      <c r="EC43" s="21">
        <f>EXP(-LN(2)/2)*EC42+(1-EXP(-LN(2)/2))/(LN(2)/2)*DW43*DZ43*VLOOKUP('Données projet'!$B$14,Paramètres!$A$1:$I$89,3,0)*0.475*44/12</f>
        <v>0.1794182401293129</v>
      </c>
      <c r="ED43" s="22">
        <f t="shared" si="18"/>
        <v>27.211379839420207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263</v>
      </c>
      <c r="EH43" s="12">
        <f>VLOOKUP(A43,'Données projet'!$A$191:$I$211,9,0)</f>
        <v>13.2</v>
      </c>
      <c r="EI43" s="12">
        <f t="array" ref="EI43">INDEX(EH:EH,MIN(IF(ISNUMBER(EH43:EH239),ROW(EH43:EH239),"")))</f>
        <v>13.2</v>
      </c>
      <c r="EJ43" s="12">
        <f>IF('Données projet'!$A$192&gt;35,EJ42+EI43-ER42,IF(A43&lt;'Données projet'!$A$192,$EG$205^A43,IF(A43='Données projet'!$A$192,'Données projet'!$B$192,EJ42+EI43-ER42)))</f>
        <v>262.99999999999994</v>
      </c>
      <c r="EK43" s="17">
        <f>EJ43*VLOOKUP('Données projet'!$B$15,Paramètres!$A$1:$I$89,3,0)*VLOOKUP('Données projet'!$B$15,Paramètres!$A$1:$I$89,5,0)</f>
        <v>192.83159999999995</v>
      </c>
      <c r="EL43" s="13">
        <f t="shared" si="45"/>
        <v>48.165439402688818</v>
      </c>
      <c r="EM43" s="20">
        <f t="shared" si="19"/>
        <v>419.73651029301618</v>
      </c>
      <c r="EN43" s="59">
        <f t="shared" si="20"/>
        <v>713.06984362634944</v>
      </c>
      <c r="EO43" s="59">
        <f ca="1">AVERAGE(OFFSET($EN$3,0,0,'Données projet'!$E$15+1,1))-AVERAGE(OFFSET($H$3,0,0,'Données projet'!$E$15+1,1))</f>
        <v>296.91321813251051</v>
      </c>
      <c r="EP43" s="59">
        <f t="shared" si="46"/>
        <v>291.0718079639509</v>
      </c>
      <c r="EQ43" s="15">
        <f>IF(ISNA(VLOOKUP(A43,'Données projet'!$A$191:$I$211,3,0)),0,VLOOKUP(A43,'Données projet'!$A$191:$I$211,3,0))</f>
        <v>7</v>
      </c>
      <c r="ER43" s="15">
        <f>IF(ISNA(VLOOKUP(A43,'Données projet'!$A$191:$I$211,4,0)),0,VLOOKUP(A43,'Données projet'!$A$191:$I$211,4,0))</f>
        <v>40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10.619875431281178</v>
      </c>
      <c r="EW43" s="21">
        <f>EXP(-LN(2)/25)*EW42+(1-EXP(-LN(2)/25))/(LN(2)/25)*Calculateur!ER43*Calculateur!ET43*VLOOKUP('Données projet'!$B$15,Paramètres!$A$1:$I$89,3,0)*0.475*44/12</f>
        <v>11.718075775696501</v>
      </c>
      <c r="EX43" s="21">
        <f>EXP(-LN(2)/2)*EX42+(1-EXP(-LN(2)/2))/(LN(2)/2)*ER43*EU43*VLOOKUP('Données projet'!$B$15,Paramètres!$A$1:$I$89,3,0)*0.475*44/12</f>
        <v>0.34068436801590152</v>
      </c>
      <c r="EY43" s="22">
        <f t="shared" si="21"/>
        <v>22.678635574993578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175</v>
      </c>
      <c r="FC43" s="12">
        <f>VLOOKUP(A43,'Données projet'!$A$217:$I$237,9,0)</f>
        <v>11.2</v>
      </c>
      <c r="FD43" s="12">
        <f t="array" ref="FD43">INDEX(FC:FC,MIN(IF(ISNUMBER(FC43:FC239),ROW(FC43:FC239),"")))</f>
        <v>11.2</v>
      </c>
      <c r="FE43" s="12">
        <f>IF('Données projet'!$A$218&gt;35,FE42+FD43-FM42,IF(A43&lt;'Données projet'!$A$218,$FB$205^A43,IF(A43='Données projet'!$A$218,'Données projet'!$B$218,FE42+FD43-FM42)))</f>
        <v>175</v>
      </c>
      <c r="FF43" s="17">
        <f>FE43*VLOOKUP('Données projet'!$B$16,Paramètres!$A$1:$I$89,3,0)*VLOOKUP('Données projet'!$B$16,Paramètres!$A$1:$I$89,5,0)</f>
        <v>177.45000000000002</v>
      </c>
      <c r="FG43" s="13">
        <f t="shared" si="47"/>
        <v>44.754387900936791</v>
      </c>
      <c r="FH43" s="20">
        <f t="shared" si="22"/>
        <v>387.0059755941316</v>
      </c>
      <c r="FI43" s="59">
        <f t="shared" si="23"/>
        <v>680.33930892746491</v>
      </c>
      <c r="FJ43" s="59">
        <f ca="1">AVERAGE(OFFSET($FI$3,0,0,'Données projet'!$E$16+1,1))-AVERAGE(OFFSET($H$3,0,0,'Données projet'!$E$16+1,1))</f>
        <v>356.65981389369125</v>
      </c>
      <c r="FK43" s="59">
        <f t="shared" si="48"/>
        <v>231.92898690465887</v>
      </c>
      <c r="FL43" s="15">
        <f>IF(ISNA(VLOOKUP(A43,'Données projet'!$A$217:$I$237,3,0)),0,VLOOKUP(A43,'Données projet'!$A$217:$I$237,3,0))</f>
        <v>5</v>
      </c>
      <c r="FM43" s="15">
        <f>IF(ISNA(VLOOKUP(A43,'Données projet'!$A$217:$I$237,4,0)),0,VLOOKUP(A43,'Données projet'!$A$217:$I$237,4,0))</f>
        <v>28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6.7189552573650539</v>
      </c>
      <c r="FR43" s="21">
        <f>EXP(-LN(2)/25)*FR42+(1-EXP(-LN(2)/25))/(LN(2)/25)*Calculateur!FM43*Calculateur!FO43*VLOOKUP('Données projet'!$B$16,Paramètres!$A$1:$I$89,3,0)*0.475*44/12</f>
        <v>7.9537200470896199</v>
      </c>
      <c r="FS43" s="21">
        <f>EXP(-LN(2)/2)*FS42+(1-EXP(-LN(2)/2))/(LN(2)/2)*FM43*FP43*VLOOKUP('Données projet'!$B$16,Paramètres!$A$1:$I$89,3,0)*0.475*44/12</f>
        <v>0.29890308098434853</v>
      </c>
      <c r="FT43" s="22">
        <f t="shared" si="24"/>
        <v>14.971578385439024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175</v>
      </c>
      <c r="FX43" s="12">
        <f>VLOOKUP(A43,'Données projet'!$A$243:$I$263,9,0)</f>
        <v>11.2</v>
      </c>
      <c r="FY43" s="12">
        <f t="array" ref="FY43">INDEX(FX:FX,MIN(IF(ISNUMBER(FX43:FX239),ROW(FX43:FX239),"")))</f>
        <v>11.2</v>
      </c>
      <c r="FZ43" s="12">
        <f>IF('Données projet'!$A$244&gt;35,FZ42+FY43-GH42,IF(A43&lt;'Données projet'!$A$244,$FW$205^A43,IF(A43='Données projet'!$A$244,'Données projet'!$B$244,FZ42+FY43-GH42)))</f>
        <v>175</v>
      </c>
      <c r="GA43" s="17">
        <f>FZ43*VLOOKUP('Données projet'!$B$17,Paramètres!$A$1:$I$89,3,0)*VLOOKUP('Données projet'!$B$17,Paramètres!$A$1:$I$89,5,0)</f>
        <v>169.26000000000002</v>
      </c>
      <c r="GB43" s="13">
        <f t="shared" si="49"/>
        <v>42.924246146122272</v>
      </c>
      <c r="GC43" s="20">
        <f t="shared" si="25"/>
        <v>369.55422870449632</v>
      </c>
      <c r="GD43" s="59">
        <f t="shared" si="26"/>
        <v>662.88756203782964</v>
      </c>
      <c r="GE43" s="59">
        <f ca="1">AVERAGE(OFFSET($GD$3,0,0,'Données projet'!$E$17+1,1))-AVERAGE(OFFSET($H$3,0,0,'Données projet'!$E$17+1,1))</f>
        <v>337.76140497227715</v>
      </c>
      <c r="GF43" s="59">
        <f t="shared" si="50"/>
        <v>219.76562717496353</v>
      </c>
      <c r="GG43" s="15">
        <f>IF(ISNA(VLOOKUP(A43,'Données projet'!$A$243:$I$263,3,0)),0,VLOOKUP(A43,'Données projet'!$A$243:$I$263,3,0))</f>
        <v>5</v>
      </c>
      <c r="GH43" s="15">
        <f>IF(ISNA(VLOOKUP(A43,'Données projet'!$A$243:$I$263,4,0)),0,VLOOKUP(A43,'Données projet'!$A$243:$I$263,4,0))</f>
        <v>28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6.4088496301020523</v>
      </c>
      <c r="GM43" s="21">
        <f>EXP(-LN(2)/25)*GM42+(1-EXP(-LN(2)/25))/(LN(2)/25)*Calculateur!GH43*Calculateur!GJ43*VLOOKUP('Données projet'!$B$17,Paramètres!$A$1:$I$89,3,0)*0.475*44/12</f>
        <v>7.5866252756854857</v>
      </c>
      <c r="GN43" s="21">
        <f>EXP(-LN(2)/2)*GN42+(1-EXP(-LN(2)/2))/(LN(2)/2)*GH43*GK43*VLOOKUP('Données projet'!$B$17,Paramètres!$A$1:$I$89,3,0)*0.475*44/12</f>
        <v>0.28510755416968636</v>
      </c>
      <c r="GO43" s="21">
        <f t="shared" si="27"/>
        <v>14.280582459957225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158.4</v>
      </c>
      <c r="O44" s="13">
        <f>N44*VLOOKUP('Données projet'!$B$9,Paramètres!$A$1:$I$89,3,0)*VLOOKUP('Données projet'!$B$9,Paramètres!$A$1:$I$89,5,0)</f>
        <v>143.32032000000001</v>
      </c>
      <c r="P44" s="13">
        <f t="shared" si="33"/>
        <v>37.056603420232349</v>
      </c>
      <c r="Q44" s="20">
        <f t="shared" si="53"/>
        <v>314.15647495690467</v>
      </c>
      <c r="R44" s="59">
        <f t="shared" si="0"/>
        <v>607.48980829023799</v>
      </c>
      <c r="S44" s="59">
        <f ca="1">AVERAGE(OFFSET($R$3,0,0,'Données projet'!$E$9+1,1))-AVERAGE(OFFSET($H$3,0,0,'Données projet'!$E$9+1,1))</f>
        <v>312.53389584272878</v>
      </c>
      <c r="T44" s="59">
        <f t="shared" si="34"/>
        <v>203.5274665601915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5.8778098044571978</v>
      </c>
      <c r="AA44" s="21">
        <f>EXP(-LN(2)/25)*AA43+(1-EXP(-LN(2)/25))/(LN(2)/25)*Calculateur!V44*Calculateur!X44*VLOOKUP('Données projet'!$B$9,Paramètres!$A$1:$I$89,3,0)*0.475*44/12</f>
        <v>6.9030932144580266</v>
      </c>
      <c r="AB44" s="21">
        <f>EXP(-LN(2)/2)*AB43+(1-EXP(-LN(2)/2))/(LN(2)/2)*V44*Y44*VLOOKUP('Données projet'!$B$9,Paramètres!$A$1:$I$89,3,0)*0.475*44/12</f>
        <v>0.18859493750664474</v>
      </c>
      <c r="AC44" s="22">
        <f t="shared" si="3"/>
        <v>12.96949795642187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</v>
      </c>
      <c r="AI44" s="13">
        <f>IF('Données projet'!$A$62&gt;35,AI43+AH44-AQ43,IF(A44&lt;'Données projet'!$A$62,$AF$205^A44,IF(A44='Données projet'!$A$62,'Données projet'!$B$62,AI43+AH44-AQ43)))</f>
        <v>201.00000000000011</v>
      </c>
      <c r="AJ44" s="13">
        <f>AI44*VLOOKUP('Données projet'!$B$10,Paramètres!$A$1:$I$89,3,0)*VLOOKUP('Données projet'!$B$10,Paramètres!$A$1:$I$89,5,0)</f>
        <v>175.59360000000012</v>
      </c>
      <c r="AK44" s="13">
        <f t="shared" si="35"/>
        <v>44.340433728638573</v>
      </c>
      <c r="AL44" s="20">
        <f t="shared" si="4"/>
        <v>383.05177541071242</v>
      </c>
      <c r="AM44" s="59">
        <f t="shared" si="5"/>
        <v>676.38510874404574</v>
      </c>
      <c r="AN44" s="59">
        <f ca="1">AVERAGE(OFFSET($AM$3,0,0,'Données projet'!$E$10+1,1))-AVERAGE(OFFSET($H$3,0,0,'Données projet'!$E$10+1,1))</f>
        <v>243.05628303465238</v>
      </c>
      <c r="AO44" s="59">
        <f t="shared" si="36"/>
        <v>352.47096767658394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6.3494158764367619</v>
      </c>
      <c r="AV44" s="21">
        <f>EXP(-LN(2)/25)*AV43+(1-EXP(-LN(2)/25))/(LN(2)/25)*Calculateur!AQ44*Calculateur!AS44*VLOOKUP('Données projet'!$B$10,Paramètres!$A$1:$I$89,3,0)*0.475*44/12</f>
        <v>13.355461450388892</v>
      </c>
      <c r="AW44" s="21">
        <f>EXP(-LN(2)/2)*AW43+(1-EXP(-LN(2)/2))/(LN(2)/2)*AQ44*AT44*VLOOKUP('Données projet'!$B$10,Paramètres!$A$1:$I$89,3,0)*0.475*44/12</f>
        <v>0.24910417742510568</v>
      </c>
      <c r="AX44" s="21">
        <f t="shared" si="6"/>
        <v>19.953981504250759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</v>
      </c>
      <c r="BD44" s="12">
        <f>IF('Données projet'!$A$88&gt;35,BD43+BC44-BL43,IF(A44&lt;'Données projet'!$A$88,$BA$205^A44,IF(A44='Données projet'!$A$88,'Données projet'!$B$88,BD43+BC44-BL43)))</f>
        <v>234.39999999999992</v>
      </c>
      <c r="BE44" s="13">
        <f>BD44*VLOOKUP('Données projet'!$B$11,Paramètres!$A$1:$I$89,3,0)*VLOOKUP('Données projet'!$B$11,Paramètres!$A$1:$I$89,5,0)</f>
        <v>186.48863999999995</v>
      </c>
      <c r="BF44" s="13">
        <f t="shared" si="37"/>
        <v>46.762800221578807</v>
      </c>
      <c r="BG44" s="20">
        <f t="shared" si="7"/>
        <v>406.24625838591629</v>
      </c>
      <c r="BH44" s="59">
        <f t="shared" si="8"/>
        <v>699.57959171924961</v>
      </c>
      <c r="BI44" s="59">
        <f ca="1">AVERAGE(OFFSET($BH$3,0,0,'Données projet'!$E$11+1,1))-AVERAGE(OFFSET($H$3,0,0,'Données projet'!$E$11+1,1))</f>
        <v>325.72928944930294</v>
      </c>
      <c r="BJ44" s="59">
        <f t="shared" si="38"/>
        <v>318.38876834819752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13.925099202207683</v>
      </c>
      <c r="BQ44" s="21">
        <f>EXP(-LN(2)/25)*BQ43+(1-EXP(-LN(2)/25))/(LN(2)/25)*Calculateur!BL44*Calculateur!BN44*VLOOKUP('Données projet'!$B$11,Paramètres!$A$1:$I$89,3,0)*0.475*44/12</f>
        <v>15.24385588919691</v>
      </c>
      <c r="BR44" s="21">
        <f>EXP(-LN(2)/2)*BR43+(1-EXP(-LN(2)/2))/(LN(2)/2)*BL44*BO44*VLOOKUP('Données projet'!$B$11,Paramètres!$A$1:$I$89,3,0)*0.475*44/12</f>
        <v>0.26140237383581189</v>
      </c>
      <c r="BS44" s="22">
        <f t="shared" si="9"/>
        <v>29.430357465240402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24.8</v>
      </c>
      <c r="BY44" s="12">
        <f>IF('Données projet'!$A$114&gt;35,BY43+BX44-CG43,IF(A44&lt;'Données projet'!$A$114,$BV$205^A44,IF(A44='Données projet'!$A$114,'Données projet'!$B$114,BY43+BX44-CG43)))</f>
        <v>586.79999999999984</v>
      </c>
      <c r="BZ44" s="13">
        <f>BY44*VLOOKUP('Données projet'!$B$12,Paramètres!$A$1:$I$89,3,0)*VLOOKUP('Données projet'!$B$12,Paramètres!$A$1:$I$89,5,0)</f>
        <v>328.02119999999991</v>
      </c>
      <c r="CA44" s="13">
        <f t="shared" si="39"/>
        <v>77.019907950957702</v>
      </c>
      <c r="CB44" s="20">
        <f t="shared" si="10"/>
        <v>705.44659634791776</v>
      </c>
      <c r="CC44" s="59">
        <f t="shared" si="11"/>
        <v>998.77992968125113</v>
      </c>
      <c r="CD44" s="59">
        <f ca="1">AVERAGE(OFFSET($CC$3,0,0,'Données projet'!$E$12+1,1))-AVERAGE(OFFSET($H$3,0,0,'Données projet'!$E$12+1,1))</f>
        <v>475.54809021014017</v>
      </c>
      <c r="CE44" s="59">
        <f t="shared" si="40"/>
        <v>593.51433014569966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5.9042662249760189</v>
      </c>
      <c r="CL44" s="21">
        <f>EXP(-LN(2)/25)*CL43+(1-EXP(-LN(2)/25))/(LN(2)/25)*Calculateur!CG44*Calculateur!CI44*VLOOKUP('Données projet'!$B$12,Paramètres!$A$1:$I$89,3,0)*0.475*44/12</f>
        <v>31.410944755517477</v>
      </c>
      <c r="CM44" s="21">
        <f>EXP(-LN(2)/2)*CM43+(1-EXP(-LN(2)/2))/(LN(2)/2)*CG44*CJ44*VLOOKUP('Données projet'!$B$12,Paramètres!$A$1:$I$89,3,0)*0.475*44/12</f>
        <v>0.31859486582210073</v>
      </c>
      <c r="CN44" s="22">
        <f t="shared" si="12"/>
        <v>37.633805846315596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11.5</v>
      </c>
      <c r="CT44" s="12">
        <f>IF('Données projet'!$A$140&gt;35,CT43+CS44-DB43,IF(A44&lt;'Données projet'!$A$140,$CQ$205^A44,IF(A44='Données projet'!$A$140,'Données projet'!$B$140,CT43+CS44-DB43)))</f>
        <v>184.99999999999989</v>
      </c>
      <c r="CU44" s="17">
        <f>CT44*VLOOKUP('Données projet'!$B$13,Paramètres!$A$1:$I$89,3,0)*VLOOKUP('Données projet'!$B$13,Paramètres!$A$1:$I$89,5,0)</f>
        <v>86.579999999999941</v>
      </c>
      <c r="CV44" s="13">
        <f t="shared" si="41"/>
        <v>23.738552844733956</v>
      </c>
      <c r="CW44" s="20">
        <f t="shared" si="13"/>
        <v>192.13814620457819</v>
      </c>
      <c r="CX44" s="59">
        <f t="shared" si="14"/>
        <v>485.47147953791148</v>
      </c>
      <c r="CY44" s="59">
        <f ca="1">AVERAGE(OFFSET($CX$3,0,0,'Données projet'!$E$13+1,1))-AVERAGE(OFFSET($H$3,0,0,'Données projet'!$E$13+1,1))</f>
        <v>226.0452828290525</v>
      </c>
      <c r="CZ44" s="59">
        <f t="shared" si="42"/>
        <v>179.89696397462069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7.2994990685344936</v>
      </c>
      <c r="DG44" s="21">
        <f>EXP(-LN(2)/25)*DG43+(1-EXP(-LN(2)/25))/(LN(2)/25)*Calculateur!DB44*Calculateur!DD44*VLOOKUP('Données projet'!$B$13,Paramètres!$A$1:$I$89,3,0)*0.475*44/12</f>
        <v>8.2200240638109534</v>
      </c>
      <c r="DH44" s="21">
        <f>EXP(-LN(2)/2)*DH43+(1-EXP(-LN(2)/2))/(LN(2)/2)*DB44*DE44*VLOOKUP('Données projet'!$B$13,Paramètres!$A$1:$I$89,3,0)*0.475*44/12</f>
        <v>0.24402097341886875</v>
      </c>
      <c r="DI44" s="22">
        <f t="shared" si="15"/>
        <v>15.763544105764316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</v>
      </c>
      <c r="DO44" s="12">
        <f>IF('Données projet'!$A$166&gt;35,DO43+DN44-DW43,IF(A44&lt;'Données projet'!$A$166,$DL$205^A44,IF(A44='Données projet'!$A$166,'Données projet'!$B$166,DO43+DN44-DW43)))</f>
        <v>310.00000000000011</v>
      </c>
      <c r="DP44" s="17">
        <f>DO44*VLOOKUP('Données projet'!$B$14,Paramètres!$A$1:$I$89,3,0)*VLOOKUP('Données projet'!$B$14,Paramètres!$A$1:$I$89,5,0)</f>
        <v>185.38000000000008</v>
      </c>
      <c r="DQ44" s="13">
        <f t="shared" si="43"/>
        <v>46.517077709312211</v>
      </c>
      <c r="DR44" s="20">
        <f t="shared" si="16"/>
        <v>403.88741034371895</v>
      </c>
      <c r="DS44" s="59">
        <f t="shared" si="17"/>
        <v>697.22074367705227</v>
      </c>
      <c r="DT44" s="59">
        <f ca="1">AVERAGE(OFFSET($DS$3,0,0,'Données projet'!$E$14+1,1))-AVERAGE(OFFSET($H$3,0,0,'Données projet'!$E$14+1,1))</f>
        <v>252.81045065813976</v>
      </c>
      <c r="DU44" s="59">
        <f t="shared" si="44"/>
        <v>254.36590349790589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14.520296632138171</v>
      </c>
      <c r="EB44" s="21">
        <f>EXP(-LN(2)/25)*EB43+(1-EXP(-LN(2)/25))/(LN(2)/25)*Calculateur!DW44*Calculateur!DY44*VLOOKUP('Données projet'!$B$14,Paramètres!$A$1:$I$89,3,0)*0.475*44/12</f>
        <v>11.887045333283991</v>
      </c>
      <c r="EC44" s="21">
        <f>EXP(-LN(2)/2)*EC43+(1-EXP(-LN(2)/2))/(LN(2)/2)*DW44*DZ44*VLOOKUP('Données projet'!$B$14,Paramètres!$A$1:$I$89,3,0)*0.475*44/12</f>
        <v>0.1268678542639935</v>
      </c>
      <c r="ED44" s="22">
        <f t="shared" si="18"/>
        <v>26.534209819686154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11.4</v>
      </c>
      <c r="EJ44" s="12">
        <f>IF('Données projet'!$A$192&gt;35,EJ43+EI44-ER43,IF(A44&lt;'Données projet'!$A$192,$EG$205^A44,IF(A44='Données projet'!$A$192,'Données projet'!$B$192,EJ43+EI44-ER43)))</f>
        <v>234.39999999999992</v>
      </c>
      <c r="EK44" s="17">
        <f>EJ44*VLOOKUP('Données projet'!$B$15,Paramètres!$A$1:$I$89,3,0)*VLOOKUP('Données projet'!$B$15,Paramètres!$A$1:$I$89,5,0)</f>
        <v>171.86207999999993</v>
      </c>
      <c r="EL44" s="13">
        <f t="shared" si="45"/>
        <v>43.506802778694762</v>
      </c>
      <c r="EM44" s="20">
        <f t="shared" si="19"/>
        <v>375.10080417289322</v>
      </c>
      <c r="EN44" s="59">
        <f t="shared" si="20"/>
        <v>668.43413750622653</v>
      </c>
      <c r="EO44" s="59">
        <f ca="1">AVERAGE(OFFSET($EN$3,0,0,'Données projet'!$E$15+1,1))-AVERAGE(OFFSET($H$3,0,0,'Données projet'!$E$15+1,1))</f>
        <v>296.91321813251051</v>
      </c>
      <c r="EP44" s="59">
        <f t="shared" si="46"/>
        <v>291.0718079639509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10.411626151558169</v>
      </c>
      <c r="EW44" s="21">
        <f>EXP(-LN(2)/25)*EW43+(1-EXP(-LN(2)/25))/(LN(2)/25)*Calculateur!ER44*Calculateur!ET44*VLOOKUP('Données projet'!$B$15,Paramètres!$A$1:$I$89,3,0)*0.475*44/12</f>
        <v>11.397644377383259</v>
      </c>
      <c r="EX44" s="21">
        <f>EXP(-LN(2)/2)*EX43+(1-EXP(-LN(2)/2))/(LN(2)/2)*ER44*EU44*VLOOKUP('Données projet'!$B$15,Paramètres!$A$1:$I$89,3,0)*0.475*44/12</f>
        <v>0.24090022686829732</v>
      </c>
      <c r="EY44" s="22">
        <f t="shared" si="21"/>
        <v>22.050170755809724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11.4</v>
      </c>
      <c r="FE44" s="12">
        <f>IF('Données projet'!$A$218&gt;35,FE43+FD44-FM43,IF(A44&lt;'Données projet'!$A$218,$FB$205^A44,IF(A44='Données projet'!$A$218,'Données projet'!$B$218,FE43+FD44-FM43)))</f>
        <v>158.4</v>
      </c>
      <c r="FF44" s="17">
        <f>FE44*VLOOKUP('Données projet'!$B$16,Paramètres!$A$1:$I$89,3,0)*VLOOKUP('Données projet'!$B$16,Paramètres!$A$1:$I$89,5,0)</f>
        <v>160.61760000000001</v>
      </c>
      <c r="FG44" s="13">
        <f t="shared" si="47"/>
        <v>40.981785561145074</v>
      </c>
      <c r="FH44" s="20">
        <f t="shared" si="22"/>
        <v>351.11892985232771</v>
      </c>
      <c r="FI44" s="59">
        <f t="shared" si="23"/>
        <v>644.45226318566097</v>
      </c>
      <c r="FJ44" s="59">
        <f ca="1">AVERAGE(OFFSET($FI$3,0,0,'Données projet'!$E$16+1,1))-AVERAGE(OFFSET($H$3,0,0,'Données projet'!$E$16+1,1))</f>
        <v>356.65981389369125</v>
      </c>
      <c r="FK44" s="59">
        <f t="shared" si="48"/>
        <v>231.92898690465887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6.5872006429261729</v>
      </c>
      <c r="FR44" s="21">
        <f>EXP(-LN(2)/25)*FR43+(1-EXP(-LN(2)/25))/(LN(2)/25)*Calculateur!FM44*Calculateur!FO44*VLOOKUP('Données projet'!$B$16,Paramètres!$A$1:$I$89,3,0)*0.475*44/12</f>
        <v>7.7362251541339955</v>
      </c>
      <c r="FS44" s="21">
        <f>EXP(-LN(2)/2)*FS43+(1-EXP(-LN(2)/2))/(LN(2)/2)*FM44*FP44*VLOOKUP('Données projet'!$B$16,Paramètres!$A$1:$I$89,3,0)*0.475*44/12</f>
        <v>0.21135639548158464</v>
      </c>
      <c r="FT44" s="22">
        <f t="shared" si="24"/>
        <v>14.534782192541751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11.4</v>
      </c>
      <c r="FZ44" s="12">
        <f>IF('Données projet'!$A$244&gt;35,FZ43+FY44-GH43,IF(A44&lt;'Données projet'!$A$244,$FW$205^A44,IF(A44='Données projet'!$A$244,'Données projet'!$B$244,FZ43+FY44-GH43)))</f>
        <v>158.4</v>
      </c>
      <c r="GA44" s="17">
        <f>FZ44*VLOOKUP('Données projet'!$B$17,Paramètres!$A$1:$I$89,3,0)*VLOOKUP('Données projet'!$B$17,Paramètres!$A$1:$I$89,5,0)</f>
        <v>153.20447999999999</v>
      </c>
      <c r="GB44" s="13">
        <f t="shared" si="49"/>
        <v>39.305916881892401</v>
      </c>
      <c r="GC44" s="20">
        <f t="shared" si="25"/>
        <v>335.28894123596257</v>
      </c>
      <c r="GD44" s="59">
        <f t="shared" si="26"/>
        <v>628.62227456929588</v>
      </c>
      <c r="GE44" s="59">
        <f ca="1">AVERAGE(OFFSET($GD$3,0,0,'Données projet'!$E$17+1,1))-AVERAGE(OFFSET($H$3,0,0,'Données projet'!$E$17+1,1))</f>
        <v>337.76140497227715</v>
      </c>
      <c r="GF44" s="59">
        <f t="shared" si="50"/>
        <v>219.76562717496353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6.2831759978680424</v>
      </c>
      <c r="GM44" s="21">
        <f>EXP(-LN(2)/25)*GM43+(1-EXP(-LN(2)/25))/(LN(2)/25)*Calculateur!GH44*Calculateur!GJ44*VLOOKUP('Données projet'!$B$17,Paramètres!$A$1:$I$89,3,0)*0.475*44/12</f>
        <v>7.3791686085585821</v>
      </c>
      <c r="GN44" s="21">
        <f>EXP(-LN(2)/2)*GN43+(1-EXP(-LN(2)/2))/(LN(2)/2)*GH44*GK44*VLOOKUP('Données projet'!$B$17,Paramètres!$A$1:$I$89,3,0)*0.475*44/12</f>
        <v>0.20160148492089616</v>
      </c>
      <c r="GO44" s="21">
        <f t="shared" si="27"/>
        <v>13.863946091347522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169.8</v>
      </c>
      <c r="O45" s="13">
        <f>N45*VLOOKUP('Données projet'!$B$9,Paramètres!$A$1:$I$89,3,0)*VLOOKUP('Données projet'!$B$9,Paramètres!$A$1:$I$89,5,0)</f>
        <v>153.63504</v>
      </c>
      <c r="P45" s="13">
        <f t="shared" si="33"/>
        <v>39.403506785222667</v>
      </c>
      <c r="Q45" s="20">
        <f t="shared" si="53"/>
        <v>336.20880231759617</v>
      </c>
      <c r="R45" s="59">
        <f t="shared" si="0"/>
        <v>629.54213565092948</v>
      </c>
      <c r="S45" s="59">
        <f ca="1">AVERAGE(OFFSET($R$3,0,0,'Données projet'!$E$9+1,1))-AVERAGE(OFFSET($H$3,0,0,'Données projet'!$E$9+1,1))</f>
        <v>312.53389584272878</v>
      </c>
      <c r="T45" s="59">
        <f t="shared" si="34"/>
        <v>203.5274665601915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5.7625495393017729</v>
      </c>
      <c r="AA45" s="21">
        <f>EXP(-LN(2)/25)*AA44+(1-EXP(-LN(2)/25))/(LN(2)/25)*Calculateur!V45*Calculateur!X45*VLOOKUP('Données projet'!$B$9,Paramètres!$A$1:$I$89,3,0)*0.475*44/12</f>
        <v>6.7143277674907766</v>
      </c>
      <c r="AB45" s="21">
        <f>EXP(-LN(2)/2)*AB44+(1-EXP(-LN(2)/2))/(LN(2)/2)*V45*Y45*VLOOKUP('Données projet'!$B$9,Paramètres!$A$1:$I$89,3,0)*0.475*44/12</f>
        <v>0.13335675920840165</v>
      </c>
      <c r="AC45" s="22">
        <f t="shared" si="3"/>
        <v>12.610234066000951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</v>
      </c>
      <c r="AI45" s="13">
        <f>IF('Données projet'!$A$62&gt;35,AI44+AH45-AQ44,IF(A45&lt;'Données projet'!$A$62,$AF$205^A45,IF(A45='Données projet'!$A$62,'Données projet'!$B$62,AI44+AH45-AQ44)))</f>
        <v>212.00000000000011</v>
      </c>
      <c r="AJ45" s="13">
        <f>AI45*VLOOKUP('Données projet'!$B$10,Paramètres!$A$1:$I$89,3,0)*VLOOKUP('Données projet'!$B$10,Paramètres!$A$1:$I$89,5,0)</f>
        <v>185.20320000000012</v>
      </c>
      <c r="AK45" s="13">
        <f t="shared" si="35"/>
        <v>46.477875402099386</v>
      </c>
      <c r="AL45" s="20">
        <f t="shared" si="4"/>
        <v>403.51120632532326</v>
      </c>
      <c r="AM45" s="59">
        <f t="shared" si="5"/>
        <v>696.84453965865657</v>
      </c>
      <c r="AN45" s="59">
        <f ca="1">AVERAGE(OFFSET($AM$3,0,0,'Données projet'!$E$10+1,1))-AVERAGE(OFFSET($H$3,0,0,'Données projet'!$E$10+1,1))</f>
        <v>243.05628303465238</v>
      </c>
      <c r="AO45" s="59">
        <f t="shared" si="36"/>
        <v>352.47096767658394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6.2249077038611178</v>
      </c>
      <c r="AV45" s="21">
        <f>EXP(-LN(2)/25)*AV44+(1-EXP(-LN(2)/25))/(LN(2)/25)*Calculateur!AQ45*Calculateur!AS45*VLOOKUP('Données projet'!$B$10,Paramètres!$A$1:$I$89,3,0)*0.475*44/12</f>
        <v>12.990255654694815</v>
      </c>
      <c r="AW45" s="21">
        <f>EXP(-LN(2)/2)*AW44+(1-EXP(-LN(2)/2))/(LN(2)/2)*AQ45*AT45*VLOOKUP('Données projet'!$B$10,Paramètres!$A$1:$I$89,3,0)*0.475*44/12</f>
        <v>0.17614325307918913</v>
      </c>
      <c r="AX45" s="21">
        <f t="shared" si="6"/>
        <v>19.391306611635123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</v>
      </c>
      <c r="BD45" s="12">
        <f>IF('Données projet'!$A$88&gt;35,BD44+BC45-BL44,IF(A45&lt;'Données projet'!$A$88,$BA$205^A45,IF(A45='Données projet'!$A$88,'Données projet'!$B$88,BD44+BC45-BL44)))</f>
        <v>245.79999999999993</v>
      </c>
      <c r="BE45" s="13">
        <f>BD45*VLOOKUP('Données projet'!$B$11,Paramètres!$A$1:$I$89,3,0)*VLOOKUP('Données projet'!$B$11,Paramètres!$A$1:$I$89,5,0)</f>
        <v>195.55847999999995</v>
      </c>
      <c r="BF45" s="13">
        <f t="shared" si="37"/>
        <v>48.766783903364477</v>
      </c>
      <c r="BG45" s="20">
        <f t="shared" si="7"/>
        <v>425.53316796502639</v>
      </c>
      <c r="BH45" s="59">
        <f t="shared" si="8"/>
        <v>718.86650129835971</v>
      </c>
      <c r="BI45" s="59">
        <f ca="1">AVERAGE(OFFSET($BH$3,0,0,'Données projet'!$E$11+1,1))-AVERAGE(OFFSET($H$3,0,0,'Données projet'!$E$11+1,1))</f>
        <v>325.72928944930294</v>
      </c>
      <c r="BJ45" s="59">
        <f t="shared" si="38"/>
        <v>318.38876834819752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13.652036500324243</v>
      </c>
      <c r="BQ45" s="21">
        <f>EXP(-LN(2)/25)*BQ44+(1-EXP(-LN(2)/25))/(LN(2)/25)*Calculateur!BL45*Calculateur!BN45*VLOOKUP('Données projet'!$B$11,Paramètres!$A$1:$I$89,3,0)*0.475*44/12</f>
        <v>14.827011848267279</v>
      </c>
      <c r="BR45" s="21">
        <f>EXP(-LN(2)/2)*BR44+(1-EXP(-LN(2)/2))/(LN(2)/2)*BL45*BO45*VLOOKUP('Données projet'!$B$11,Paramètres!$A$1:$I$89,3,0)*0.475*44/12</f>
        <v>0.18483939115756354</v>
      </c>
      <c r="BS45" s="22">
        <f t="shared" si="9"/>
        <v>28.663887739749086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24.8</v>
      </c>
      <c r="BY45" s="12">
        <f>IF('Données projet'!$A$114&gt;35,BY44+BX45-CG44,IF(A45&lt;'Données projet'!$A$114,$BV$205^A45,IF(A45='Données projet'!$A$114,'Données projet'!$B$114,BY44+BX45-CG44)))</f>
        <v>611.5999999999998</v>
      </c>
      <c r="BZ45" s="13">
        <f>BY45*VLOOKUP('Données projet'!$B$12,Paramètres!$A$1:$I$89,3,0)*VLOOKUP('Données projet'!$B$12,Paramètres!$A$1:$I$89,5,0)</f>
        <v>341.88439999999986</v>
      </c>
      <c r="CA45" s="13">
        <f t="shared" si="39"/>
        <v>79.889150066970018</v>
      </c>
      <c r="CB45" s="20">
        <f t="shared" si="10"/>
        <v>734.58893303330581</v>
      </c>
      <c r="CC45" s="59">
        <f t="shared" si="11"/>
        <v>1027.9222663666392</v>
      </c>
      <c r="CD45" s="59">
        <f ca="1">AVERAGE(OFFSET($CC$3,0,0,'Données projet'!$E$12+1,1))-AVERAGE(OFFSET($H$3,0,0,'Données projet'!$E$12+1,1))</f>
        <v>475.54809021014017</v>
      </c>
      <c r="CE45" s="59">
        <f t="shared" si="40"/>
        <v>593.51433014569966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5.788487165551043</v>
      </c>
      <c r="CL45" s="21">
        <f>EXP(-LN(2)/25)*CL44+(1-EXP(-LN(2)/25))/(LN(2)/25)*Calculateur!CG45*Calculateur!CI45*VLOOKUP('Données projet'!$B$12,Paramètres!$A$1:$I$89,3,0)*0.475*44/12</f>
        <v>30.552010819348059</v>
      </c>
      <c r="CM45" s="21">
        <f>EXP(-LN(2)/2)*CM44+(1-EXP(-LN(2)/2))/(LN(2)/2)*CG45*CJ45*VLOOKUP('Données projet'!$B$12,Paramètres!$A$1:$I$89,3,0)*0.475*44/12</f>
        <v>0.22528059007402565</v>
      </c>
      <c r="CN45" s="22">
        <f t="shared" si="12"/>
        <v>36.56577857497313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11.5</v>
      </c>
      <c r="CT45" s="12">
        <f>IF('Données projet'!$A$140&gt;35,CT44+CS45-DB44,IF(A45&lt;'Données projet'!$A$140,$CQ$205^A45,IF(A45='Données projet'!$A$140,'Données projet'!$B$140,CT44+CS45-DB44)))</f>
        <v>196.49999999999989</v>
      </c>
      <c r="CU45" s="17">
        <f>CT45*VLOOKUP('Données projet'!$B$13,Paramètres!$A$1:$I$89,3,0)*VLOOKUP('Données projet'!$B$13,Paramètres!$A$1:$I$89,5,0)</f>
        <v>91.961999999999946</v>
      </c>
      <c r="CV45" s="13">
        <f t="shared" si="41"/>
        <v>25.037816603121904</v>
      </c>
      <c r="CW45" s="20">
        <f t="shared" si="13"/>
        <v>203.77468058377053</v>
      </c>
      <c r="CX45" s="59">
        <f t="shared" si="14"/>
        <v>497.10801391710385</v>
      </c>
      <c r="CY45" s="59">
        <f ca="1">AVERAGE(OFFSET($CX$3,0,0,'Données projet'!$E$13+1,1))-AVERAGE(OFFSET($H$3,0,0,'Données projet'!$E$13+1,1))</f>
        <v>226.0452828290525</v>
      </c>
      <c r="CZ45" s="59">
        <f t="shared" si="42"/>
        <v>179.89696397462069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7.1563603440553401</v>
      </c>
      <c r="DG45" s="21">
        <f>EXP(-LN(2)/25)*DG44+(1-EXP(-LN(2)/25))/(LN(2)/25)*Calculateur!DB45*Calculateur!DD45*VLOOKUP('Données projet'!$B$13,Paramètres!$A$1:$I$89,3,0)*0.475*44/12</f>
        <v>7.9952470735137648</v>
      </c>
      <c r="DH45" s="21">
        <f>EXP(-LN(2)/2)*DH44+(1-EXP(-LN(2)/2))/(LN(2)/2)*DB45*DE45*VLOOKUP('Données projet'!$B$13,Paramètres!$A$1:$I$89,3,0)*0.475*44/12</f>
        <v>0.17254888505622437</v>
      </c>
      <c r="DI45" s="22">
        <f t="shared" si="15"/>
        <v>15.32415630262533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</v>
      </c>
      <c r="DO45" s="12">
        <f>IF('Données projet'!$A$166&gt;35,DO44+DN45-DW44,IF(A45&lt;'Données projet'!$A$166,$DL$205^A45,IF(A45='Données projet'!$A$166,'Données projet'!$B$166,DO44+DN45-DW44)))</f>
        <v>321.00000000000011</v>
      </c>
      <c r="DP45" s="17">
        <f>DO45*VLOOKUP('Données projet'!$B$14,Paramètres!$A$1:$I$89,3,0)*VLOOKUP('Données projet'!$B$14,Paramètres!$A$1:$I$89,5,0)</f>
        <v>191.95800000000008</v>
      </c>
      <c r="DQ45" s="13">
        <f t="shared" si="43"/>
        <v>47.972580210954611</v>
      </c>
      <c r="DR45" s="20">
        <f t="shared" si="16"/>
        <v>417.87909386741279</v>
      </c>
      <c r="DS45" s="59">
        <f t="shared" si="17"/>
        <v>711.21242720074611</v>
      </c>
      <c r="DT45" s="59">
        <f ca="1">AVERAGE(OFFSET($DS$3,0,0,'Données projet'!$E$14+1,1))-AVERAGE(OFFSET($H$3,0,0,'Données projet'!$E$14+1,1))</f>
        <v>252.81045065813976</v>
      </c>
      <c r="DU45" s="59">
        <f t="shared" si="44"/>
        <v>254.36590349790589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14.235562471688381</v>
      </c>
      <c r="EB45" s="21">
        <f>EXP(-LN(2)/25)*EB44+(1-EXP(-LN(2)/25))/(LN(2)/25)*Calculateur!DW45*Calculateur!DY45*VLOOKUP('Données projet'!$B$14,Paramètres!$A$1:$I$89,3,0)*0.475*44/12</f>
        <v>11.561993453532795</v>
      </c>
      <c r="EC45" s="21">
        <f>EXP(-LN(2)/2)*EC44+(1-EXP(-LN(2)/2))/(LN(2)/2)*DW45*DZ45*VLOOKUP('Données projet'!$B$14,Paramètres!$A$1:$I$89,3,0)*0.475*44/12</f>
        <v>8.970912006465645E-2</v>
      </c>
      <c r="ED45" s="22">
        <f t="shared" si="18"/>
        <v>25.887265045285833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11.4</v>
      </c>
      <c r="EJ45" s="12">
        <f>IF('Données projet'!$A$192&gt;35,EJ44+EI45-ER44,IF(A45&lt;'Données projet'!$A$192,$EG$205^A45,IF(A45='Données projet'!$A$192,'Données projet'!$B$192,EJ44+EI45-ER44)))</f>
        <v>245.79999999999993</v>
      </c>
      <c r="EK45" s="17">
        <f>EJ45*VLOOKUP('Données projet'!$B$15,Paramètres!$A$1:$I$89,3,0)*VLOOKUP('Données projet'!$B$15,Paramètres!$A$1:$I$89,5,0)</f>
        <v>180.22055999999992</v>
      </c>
      <c r="EL45" s="13">
        <f t="shared" si="45"/>
        <v>45.371253205145926</v>
      </c>
      <c r="EM45" s="20">
        <f t="shared" si="19"/>
        <v>392.90574133229569</v>
      </c>
      <c r="EN45" s="59">
        <f t="shared" si="20"/>
        <v>686.239074665629</v>
      </c>
      <c r="EO45" s="59">
        <f ca="1">AVERAGE(OFFSET($EN$3,0,0,'Données projet'!$E$15+1,1))-AVERAGE(OFFSET($H$3,0,0,'Données projet'!$E$15+1,1))</f>
        <v>296.91321813251051</v>
      </c>
      <c r="EP45" s="59">
        <f t="shared" si="46"/>
        <v>291.0718079639509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10.207460513191009</v>
      </c>
      <c r="EW45" s="21">
        <f>EXP(-LN(2)/25)*EW44+(1-EXP(-LN(2)/25))/(LN(2)/25)*Calculateur!ER45*Calculateur!ET45*VLOOKUP('Données projet'!$B$15,Paramètres!$A$1:$I$89,3,0)*0.475*44/12</f>
        <v>11.085975192507645</v>
      </c>
      <c r="EX45" s="21">
        <f>EXP(-LN(2)/2)*EX44+(1-EXP(-LN(2)/2))/(LN(2)/2)*ER45*EU45*VLOOKUP('Données projet'!$B$15,Paramètres!$A$1:$I$89,3,0)*0.475*44/12</f>
        <v>0.17034218400795079</v>
      </c>
      <c r="EY45" s="22">
        <f t="shared" si="21"/>
        <v>21.463777889706606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11.4</v>
      </c>
      <c r="FE45" s="12">
        <f>IF('Données projet'!$A$218&gt;35,FE44+FD45-FM44,IF(A45&lt;'Données projet'!$A$218,$FB$205^A45,IF(A45='Données projet'!$A$218,'Données projet'!$B$218,FE44+FD45-FM44)))</f>
        <v>169.8</v>
      </c>
      <c r="FF45" s="17">
        <f>FE45*VLOOKUP('Données projet'!$B$16,Paramètres!$A$1:$I$89,3,0)*VLOOKUP('Données projet'!$B$16,Paramètres!$A$1:$I$89,5,0)</f>
        <v>172.1772</v>
      </c>
      <c r="FG45" s="13">
        <f t="shared" si="47"/>
        <v>43.577282221917017</v>
      </c>
      <c r="FH45" s="20">
        <f t="shared" si="22"/>
        <v>375.77238986983883</v>
      </c>
      <c r="FI45" s="59">
        <f t="shared" si="23"/>
        <v>669.10572320317215</v>
      </c>
      <c r="FJ45" s="59">
        <f ca="1">AVERAGE(OFFSET($FI$3,0,0,'Données projet'!$E$16+1,1))-AVERAGE(OFFSET($H$3,0,0,'Données projet'!$E$16+1,1))</f>
        <v>356.65981389369125</v>
      </c>
      <c r="FK45" s="59">
        <f t="shared" si="48"/>
        <v>231.92898690465887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6.4580296561140589</v>
      </c>
      <c r="FR45" s="21">
        <f>EXP(-LN(2)/25)*FR44+(1-EXP(-LN(2)/25))/(LN(2)/25)*Calculateur!FM45*Calculateur!FO45*VLOOKUP('Données projet'!$B$16,Paramètres!$A$1:$I$89,3,0)*0.475*44/12</f>
        <v>7.5246776704638023</v>
      </c>
      <c r="FS45" s="21">
        <f>EXP(-LN(2)/2)*FS44+(1-EXP(-LN(2)/2))/(LN(2)/2)*FM45*FP45*VLOOKUP('Données projet'!$B$16,Paramètres!$A$1:$I$89,3,0)*0.475*44/12</f>
        <v>0.14945154049217427</v>
      </c>
      <c r="FT45" s="22">
        <f t="shared" si="24"/>
        <v>14.132158867070036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11.4</v>
      </c>
      <c r="FZ45" s="12">
        <f>IF('Données projet'!$A$244&gt;35,FZ44+FY45-GH44,IF(A45&lt;'Données projet'!$A$244,$FW$205^A45,IF(A45='Données projet'!$A$244,'Données projet'!$B$244,FZ44+FY45-GH44)))</f>
        <v>169.8</v>
      </c>
      <c r="GA45" s="17">
        <f>FZ45*VLOOKUP('Données projet'!$B$17,Paramètres!$A$1:$I$89,3,0)*VLOOKUP('Données projet'!$B$17,Paramètres!$A$1:$I$89,5,0)</f>
        <v>164.23056000000003</v>
      </c>
      <c r="GB45" s="13">
        <f t="shared" si="49"/>
        <v>41.795275864636551</v>
      </c>
      <c r="GC45" s="20">
        <f t="shared" si="25"/>
        <v>358.82833079757535</v>
      </c>
      <c r="GD45" s="59">
        <f t="shared" si="26"/>
        <v>652.16166413090866</v>
      </c>
      <c r="GE45" s="59">
        <f ca="1">AVERAGE(OFFSET($GD$3,0,0,'Données projet'!$E$17+1,1))-AVERAGE(OFFSET($H$3,0,0,'Données projet'!$E$17+1,1))</f>
        <v>337.76140497227715</v>
      </c>
      <c r="GF45" s="59">
        <f t="shared" si="50"/>
        <v>219.76562717496353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6.1599667489087944</v>
      </c>
      <c r="GM45" s="21">
        <f>EXP(-LN(2)/25)*GM44+(1-EXP(-LN(2)/25))/(LN(2)/25)*Calculateur!GH45*Calculateur!GJ45*VLOOKUP('Données projet'!$B$17,Paramètres!$A$1:$I$89,3,0)*0.475*44/12</f>
        <v>7.1773848549039361</v>
      </c>
      <c r="GN45" s="21">
        <f>EXP(-LN(2)/2)*GN44+(1-EXP(-LN(2)/2))/(LN(2)/2)*GH45*GK45*VLOOKUP('Données projet'!$B$17,Paramètres!$A$1:$I$89,3,0)*0.475*44/12</f>
        <v>0.14255377708484318</v>
      </c>
      <c r="GO45" s="21">
        <f t="shared" si="27"/>
        <v>13.479905380897575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181.20000000000002</v>
      </c>
      <c r="O46" s="13">
        <f>N46*VLOOKUP('Données projet'!$B$9,Paramètres!$A$1:$I$89,3,0)*VLOOKUP('Données projet'!$B$9,Paramètres!$A$1:$I$89,5,0)</f>
        <v>163.94976</v>
      </c>
      <c r="P46" s="13">
        <f t="shared" si="33"/>
        <v>41.732126457893308</v>
      </c>
      <c r="Q46" s="20">
        <f t="shared" si="53"/>
        <v>358.22928558083089</v>
      </c>
      <c r="R46" s="59">
        <f t="shared" si="0"/>
        <v>651.5626189141642</v>
      </c>
      <c r="S46" s="59">
        <f ca="1">AVERAGE(OFFSET($R$3,0,0,'Données projet'!$E$9+1,1))-AVERAGE(OFFSET($H$3,0,0,'Données projet'!$E$9+1,1))</f>
        <v>312.53389584272878</v>
      </c>
      <c r="T46" s="59">
        <f t="shared" si="34"/>
        <v>203.5274665601915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5.649549457644226</v>
      </c>
      <c r="AA46" s="21">
        <f>EXP(-LN(2)/25)*AA45+(1-EXP(-LN(2)/25))/(LN(2)/25)*Calculateur!V46*Calculateur!X46*VLOOKUP('Données projet'!$B$9,Paramètres!$A$1:$I$89,3,0)*0.475*44/12</f>
        <v>6.53072412159759</v>
      </c>
      <c r="AB46" s="21">
        <f>EXP(-LN(2)/2)*AB45+(1-EXP(-LN(2)/2))/(LN(2)/2)*V46*Y46*VLOOKUP('Données projet'!$B$9,Paramètres!$A$1:$I$89,3,0)*0.475*44/12</f>
        <v>9.4297468753322372E-2</v>
      </c>
      <c r="AC46" s="22">
        <f t="shared" si="3"/>
        <v>12.274571047995138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</v>
      </c>
      <c r="AI46" s="13">
        <f>IF('Données projet'!$A$62&gt;35,AI45+AH46-AQ45,IF(A46&lt;'Données projet'!$A$62,$AF$205^A46,IF(A46='Données projet'!$A$62,'Données projet'!$B$62,AI45+AH46-AQ45)))</f>
        <v>223.00000000000011</v>
      </c>
      <c r="AJ46" s="13">
        <f>AI46*VLOOKUP('Données projet'!$B$10,Paramètres!$A$1:$I$89,3,0)*VLOOKUP('Données projet'!$B$10,Paramètres!$A$1:$I$89,5,0)</f>
        <v>194.81280000000012</v>
      </c>
      <c r="AK46" s="13">
        <f t="shared" si="35"/>
        <v>48.602440540253902</v>
      </c>
      <c r="AL46" s="20">
        <f t="shared" si="4"/>
        <v>423.9482106076091</v>
      </c>
      <c r="AM46" s="59">
        <f t="shared" si="5"/>
        <v>717.28154394094236</v>
      </c>
      <c r="AN46" s="59">
        <f ca="1">AVERAGE(OFFSET($AM$3,0,0,'Données projet'!$E$10+1,1))-AVERAGE(OFFSET($H$3,0,0,'Données projet'!$E$10+1,1))</f>
        <v>243.05628303465238</v>
      </c>
      <c r="AO46" s="59">
        <f t="shared" si="36"/>
        <v>352.47096767658394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6.1028410606071963</v>
      </c>
      <c r="AV46" s="21">
        <f>EXP(-LN(2)/25)*AV45+(1-EXP(-LN(2)/25))/(LN(2)/25)*Calculateur!AQ46*Calculateur!AS46*VLOOKUP('Données projet'!$B$10,Paramètres!$A$1:$I$89,3,0)*0.475*44/12</f>
        <v>12.635036430689331</v>
      </c>
      <c r="AW46" s="21">
        <f>EXP(-LN(2)/2)*AW45+(1-EXP(-LN(2)/2))/(LN(2)/2)*AQ46*AT46*VLOOKUP('Données projet'!$B$10,Paramètres!$A$1:$I$89,3,0)*0.475*44/12</f>
        <v>0.12455208871255286</v>
      </c>
      <c r="AX46" s="21">
        <f t="shared" si="6"/>
        <v>18.862429580009078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</v>
      </c>
      <c r="BD46" s="12">
        <f>IF('Données projet'!$A$88&gt;35,BD45+BC46-BL45,IF(A46&lt;'Données projet'!$A$88,$BA$205^A46,IF(A46='Données projet'!$A$88,'Données projet'!$B$88,BD45+BC46-BL45)))</f>
        <v>257.19999999999993</v>
      </c>
      <c r="BE46" s="13">
        <f>BD46*VLOOKUP('Données projet'!$B$11,Paramètres!$A$1:$I$89,3,0)*VLOOKUP('Données projet'!$B$11,Paramètres!$A$1:$I$89,5,0)</f>
        <v>204.62831999999995</v>
      </c>
      <c r="BF46" s="13">
        <f t="shared" si="37"/>
        <v>50.759974072251445</v>
      </c>
      <c r="BG46" s="20">
        <f t="shared" si="7"/>
        <v>444.80127884250447</v>
      </c>
      <c r="BH46" s="59">
        <f t="shared" si="8"/>
        <v>738.13461217583779</v>
      </c>
      <c r="BI46" s="59">
        <f ca="1">AVERAGE(OFFSET($BH$3,0,0,'Données projet'!$E$11+1,1))-AVERAGE(OFFSET($H$3,0,0,'Données projet'!$E$11+1,1))</f>
        <v>325.72928944930294</v>
      </c>
      <c r="BJ46" s="59">
        <f t="shared" si="38"/>
        <v>318.38876834819752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13.384328391472934</v>
      </c>
      <c r="BQ46" s="21">
        <f>EXP(-LN(2)/25)*BQ45+(1-EXP(-LN(2)/25))/(LN(2)/25)*Calculateur!BL46*Calculateur!BN46*VLOOKUP('Données projet'!$B$11,Paramètres!$A$1:$I$89,3,0)*0.475*44/12</f>
        <v>14.421566429557744</v>
      </c>
      <c r="BR46" s="21">
        <f>EXP(-LN(2)/2)*BR45+(1-EXP(-LN(2)/2))/(LN(2)/2)*BL46*BO46*VLOOKUP('Données projet'!$B$11,Paramètres!$A$1:$I$89,3,0)*0.475*44/12</f>
        <v>0.13070118691790594</v>
      </c>
      <c r="BS46" s="22">
        <f t="shared" si="9"/>
        <v>27.936596007948584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24.8</v>
      </c>
      <c r="BY46" s="12">
        <f>IF('Données projet'!$A$114&gt;35,BY45+BX46-CG45,IF(A46&lt;'Données projet'!$A$114,$BV$205^A46,IF(A46='Données projet'!$A$114,'Données projet'!$B$114,BY45+BX46-CG45)))</f>
        <v>636.39999999999975</v>
      </c>
      <c r="BZ46" s="13">
        <f>BY46*VLOOKUP('Données projet'!$B$12,Paramètres!$A$1:$I$89,3,0)*VLOOKUP('Données projet'!$B$12,Paramètres!$A$1:$I$89,5,0)</f>
        <v>355.74759999999986</v>
      </c>
      <c r="CA46" s="13">
        <f t="shared" si="39"/>
        <v>82.744877508992289</v>
      </c>
      <c r="CB46" s="20">
        <f t="shared" si="10"/>
        <v>763.70773166149456</v>
      </c>
      <c r="CC46" s="59">
        <f t="shared" si="11"/>
        <v>1057.0410649948278</v>
      </c>
      <c r="CD46" s="59">
        <f ca="1">AVERAGE(OFFSET($CC$3,0,0,'Données projet'!$E$12+1,1))-AVERAGE(OFFSET($H$3,0,0,'Données projet'!$E$12+1,1))</f>
        <v>475.54809021014017</v>
      </c>
      <c r="CE46" s="59">
        <f t="shared" si="40"/>
        <v>593.51433014569966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5.6749784628631375</v>
      </c>
      <c r="CL46" s="21">
        <f>EXP(-LN(2)/25)*CL45+(1-EXP(-LN(2)/25))/(LN(2)/25)*Calculateur!CG46*Calculateur!CI46*VLOOKUP('Données projet'!$B$12,Paramètres!$A$1:$I$89,3,0)*0.475*44/12</f>
        <v>29.716564476832566</v>
      </c>
      <c r="CM46" s="21">
        <f>EXP(-LN(2)/2)*CM45+(1-EXP(-LN(2)/2))/(LN(2)/2)*CG46*CJ46*VLOOKUP('Données projet'!$B$12,Paramètres!$A$1:$I$89,3,0)*0.475*44/12</f>
        <v>0.15929743291105036</v>
      </c>
      <c r="CN46" s="22">
        <f t="shared" si="12"/>
        <v>35.550840372606757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11.5</v>
      </c>
      <c r="CT46" s="12">
        <f>IF('Données projet'!$A$140&gt;35,CT45+CS46-DB45,IF(A46&lt;'Données projet'!$A$140,$CQ$205^A46,IF(A46='Données projet'!$A$140,'Données projet'!$B$140,CT45+CS46-DB45)))</f>
        <v>207.99999999999989</v>
      </c>
      <c r="CU46" s="17">
        <f>CT46*VLOOKUP('Données projet'!$B$13,Paramètres!$A$1:$I$89,3,0)*VLOOKUP('Données projet'!$B$13,Paramètres!$A$1:$I$89,5,0)</f>
        <v>97.343999999999937</v>
      </c>
      <c r="CV46" s="13">
        <f t="shared" si="41"/>
        <v>26.328254259866451</v>
      </c>
      <c r="CW46" s="20">
        <f t="shared" si="13"/>
        <v>215.39584283593396</v>
      </c>
      <c r="CX46" s="59">
        <f t="shared" si="14"/>
        <v>508.72917616926725</v>
      </c>
      <c r="CY46" s="59">
        <f ca="1">AVERAGE(OFFSET($CX$3,0,0,'Données projet'!$E$13+1,1))-AVERAGE(OFFSET($H$3,0,0,'Données projet'!$E$13+1,1))</f>
        <v>226.0452828290525</v>
      </c>
      <c r="CZ46" s="59">
        <f t="shared" si="42"/>
        <v>179.89696397462069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7.0160284826572221</v>
      </c>
      <c r="DG46" s="21">
        <f>EXP(-LN(2)/25)*DG45+(1-EXP(-LN(2)/25))/(LN(2)/25)*Calculateur!DB46*Calculateur!DD46*VLOOKUP('Données projet'!$B$13,Paramètres!$A$1:$I$89,3,0)*0.475*44/12</f>
        <v>7.7766166218367605</v>
      </c>
      <c r="DH46" s="21">
        <f>EXP(-LN(2)/2)*DH45+(1-EXP(-LN(2)/2))/(LN(2)/2)*DB46*DE46*VLOOKUP('Données projet'!$B$13,Paramètres!$A$1:$I$89,3,0)*0.475*44/12</f>
        <v>0.1220104867094344</v>
      </c>
      <c r="DI46" s="22">
        <f t="shared" si="15"/>
        <v>14.914655591203417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</v>
      </c>
      <c r="DO46" s="12">
        <f>IF('Données projet'!$A$166&gt;35,DO45+DN46-DW45,IF(A46&lt;'Données projet'!$A$166,$DL$205^A46,IF(A46='Données projet'!$A$166,'Données projet'!$B$166,DO45+DN46-DW45)))</f>
        <v>332.00000000000011</v>
      </c>
      <c r="DP46" s="17">
        <f>DO46*VLOOKUP('Données projet'!$B$14,Paramètres!$A$1:$I$89,3,0)*VLOOKUP('Données projet'!$B$14,Paramètres!$A$1:$I$89,5,0)</f>
        <v>198.53600000000009</v>
      </c>
      <c r="DQ46" s="13">
        <f t="shared" si="43"/>
        <v>49.42228739122875</v>
      </c>
      <c r="DR46" s="20">
        <f t="shared" si="16"/>
        <v>431.86068387305687</v>
      </c>
      <c r="DS46" s="59">
        <f t="shared" si="17"/>
        <v>725.19401720639019</v>
      </c>
      <c r="DT46" s="59">
        <f ca="1">AVERAGE(OFFSET($DS$3,0,0,'Données projet'!$E$14+1,1))-AVERAGE(OFFSET($H$3,0,0,'Données projet'!$E$14+1,1))</f>
        <v>252.81045065813976</v>
      </c>
      <c r="DU46" s="59">
        <f t="shared" si="44"/>
        <v>254.36590349790589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13.95641177445432</v>
      </c>
      <c r="EB46" s="21">
        <f>EXP(-LN(2)/25)*EB45+(1-EXP(-LN(2)/25))/(LN(2)/25)*Calculateur!DW46*Calculateur!DY46*VLOOKUP('Données projet'!$B$14,Paramètres!$A$1:$I$89,3,0)*0.475*44/12</f>
        <v>11.245830134527131</v>
      </c>
      <c r="EC46" s="21">
        <f>EXP(-LN(2)/2)*EC45+(1-EXP(-LN(2)/2))/(LN(2)/2)*DW46*DZ46*VLOOKUP('Données projet'!$B$14,Paramètres!$A$1:$I$89,3,0)*0.475*44/12</f>
        <v>6.3433927131996748E-2</v>
      </c>
      <c r="ED46" s="22">
        <f t="shared" si="18"/>
        <v>25.265675836113445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11.4</v>
      </c>
      <c r="EJ46" s="12">
        <f>IF('Données projet'!$A$192&gt;35,EJ45+EI46-ER45,IF(A46&lt;'Données projet'!$A$192,$EG$205^A46,IF(A46='Données projet'!$A$192,'Données projet'!$B$192,EJ45+EI46-ER45)))</f>
        <v>257.19999999999993</v>
      </c>
      <c r="EK46" s="17">
        <f>EJ46*VLOOKUP('Données projet'!$B$15,Paramètres!$A$1:$I$89,3,0)*VLOOKUP('Données projet'!$B$15,Paramètres!$A$1:$I$89,5,0)</f>
        <v>188.57903999999994</v>
      </c>
      <c r="EL46" s="13">
        <f t="shared" si="45"/>
        <v>47.22566164876563</v>
      </c>
      <c r="EM46" s="20">
        <f t="shared" si="19"/>
        <v>410.69318870493333</v>
      </c>
      <c r="EN46" s="59">
        <f t="shared" si="20"/>
        <v>704.02652203826665</v>
      </c>
      <c r="EO46" s="59">
        <f ca="1">AVERAGE(OFFSET($EN$3,0,0,'Données projet'!$E$15+1,1))-AVERAGE(OFFSET($H$3,0,0,'Données projet'!$E$15+1,1))</f>
        <v>296.91321813251051</v>
      </c>
      <c r="EP46" s="59">
        <f t="shared" si="46"/>
        <v>291.0718079639509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10.007298438463486</v>
      </c>
      <c r="EW46" s="21">
        <f>EXP(-LN(2)/25)*EW45+(1-EXP(-LN(2)/25))/(LN(2)/25)*Calculateur!ER46*Calculateur!ET46*VLOOKUP('Données projet'!$B$15,Paramètres!$A$1:$I$89,3,0)*0.475*44/12</f>
        <v>10.782828617882425</v>
      </c>
      <c r="EX46" s="21">
        <f>EXP(-LN(2)/2)*EX45+(1-EXP(-LN(2)/2))/(LN(2)/2)*ER46*EU46*VLOOKUP('Données projet'!$B$15,Paramètres!$A$1:$I$89,3,0)*0.475*44/12</f>
        <v>0.12045011343414869</v>
      </c>
      <c r="EY46" s="22">
        <f t="shared" si="21"/>
        <v>20.910577169780058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11.4</v>
      </c>
      <c r="FE46" s="12">
        <f>IF('Données projet'!$A$218&gt;35,FE45+FD46-FM45,IF(A46&lt;'Données projet'!$A$218,$FB$205^A46,IF(A46='Données projet'!$A$218,'Données projet'!$B$218,FE45+FD46-FM45)))</f>
        <v>181.20000000000002</v>
      </c>
      <c r="FF46" s="17">
        <f>FE46*VLOOKUP('Données projet'!$B$16,Paramètres!$A$1:$I$89,3,0)*VLOOKUP('Données projet'!$B$16,Paramètres!$A$1:$I$89,5,0)</f>
        <v>183.73680000000002</v>
      </c>
      <c r="FG46" s="13">
        <f t="shared" si="47"/>
        <v>46.152558509293854</v>
      </c>
      <c r="FH46" s="20">
        <f t="shared" si="22"/>
        <v>400.3906327370201</v>
      </c>
      <c r="FI46" s="59">
        <f t="shared" si="23"/>
        <v>693.72396607035341</v>
      </c>
      <c r="FJ46" s="59">
        <f ca="1">AVERAGE(OFFSET($FI$3,0,0,'Données projet'!$E$16+1,1))-AVERAGE(OFFSET($H$3,0,0,'Données projet'!$E$16+1,1))</f>
        <v>356.65981389369125</v>
      </c>
      <c r="FK46" s="59">
        <f t="shared" si="48"/>
        <v>231.92898690465887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6.3313916335668079</v>
      </c>
      <c r="FR46" s="21">
        <f>EXP(-LN(2)/25)*FR45+(1-EXP(-LN(2)/25))/(LN(2)/25)*Calculateur!FM46*Calculateur!FO46*VLOOKUP('Données projet'!$B$16,Paramètres!$A$1:$I$89,3,0)*0.475*44/12</f>
        <v>7.3189149638593687</v>
      </c>
      <c r="FS46" s="21">
        <f>EXP(-LN(2)/2)*FS45+(1-EXP(-LN(2)/2))/(LN(2)/2)*FM46*FP46*VLOOKUP('Données projet'!$B$16,Paramètres!$A$1:$I$89,3,0)*0.475*44/12</f>
        <v>0.10567819774079232</v>
      </c>
      <c r="FT46" s="22">
        <f t="shared" si="24"/>
        <v>13.755984795166968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11.4</v>
      </c>
      <c r="FZ46" s="12">
        <f>IF('Données projet'!$A$244&gt;35,FZ45+FY46-GH45,IF(A46&lt;'Données projet'!$A$244,$FW$205^A46,IF(A46='Données projet'!$A$244,'Données projet'!$B$244,FZ45+FY46-GH45)))</f>
        <v>181.20000000000002</v>
      </c>
      <c r="GA46" s="17">
        <f>FZ46*VLOOKUP('Données projet'!$B$17,Paramètres!$A$1:$I$89,3,0)*VLOOKUP('Données projet'!$B$17,Paramètres!$A$1:$I$89,5,0)</f>
        <v>175.25664000000003</v>
      </c>
      <c r="GB46" s="13">
        <f t="shared" si="49"/>
        <v>44.265241345972555</v>
      </c>
      <c r="GC46" s="20">
        <f t="shared" si="25"/>
        <v>382.33394334423559</v>
      </c>
      <c r="GD46" s="59">
        <f t="shared" si="26"/>
        <v>675.66727667756891</v>
      </c>
      <c r="GE46" s="59">
        <f ca="1">AVERAGE(OFFSET($GD$3,0,0,'Données projet'!$E$17+1,1))-AVERAGE(OFFSET($H$3,0,0,'Données projet'!$E$17+1,1))</f>
        <v>337.76140497227715</v>
      </c>
      <c r="GF46" s="59">
        <f t="shared" si="50"/>
        <v>219.76562717496353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6.0391735581714165</v>
      </c>
      <c r="GM46" s="21">
        <f>EXP(-LN(2)/25)*GM45+(1-EXP(-LN(2)/25))/(LN(2)/25)*Calculateur!GH46*Calculateur!GJ46*VLOOKUP('Données projet'!$B$17,Paramètres!$A$1:$I$89,3,0)*0.475*44/12</f>
        <v>6.9811188886043229</v>
      </c>
      <c r="GN46" s="21">
        <f>EXP(-LN(2)/2)*GN45+(1-EXP(-LN(2)/2))/(LN(2)/2)*GH46*GK46*VLOOKUP('Données projet'!$B$17,Paramètres!$A$1:$I$89,3,0)*0.475*44/12</f>
        <v>0.10080074246044808</v>
      </c>
      <c r="GO46" s="21">
        <f t="shared" si="27"/>
        <v>13.121093189236188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192.60000000000002</v>
      </c>
      <c r="O47" s="13">
        <f>N47*VLOOKUP('Données projet'!$B$9,Paramètres!$A$1:$I$89,3,0)*VLOOKUP('Données projet'!$B$9,Paramètres!$A$1:$I$89,5,0)</f>
        <v>174.26447999999999</v>
      </c>
      <c r="P47" s="13">
        <f t="shared" si="33"/>
        <v>44.043743683739521</v>
      </c>
      <c r="Q47" s="20">
        <f t="shared" si="53"/>
        <v>380.22015624917964</v>
      </c>
      <c r="R47" s="59">
        <f t="shared" si="0"/>
        <v>673.55348958251295</v>
      </c>
      <c r="S47" s="59">
        <f ca="1">AVERAGE(OFFSET($R$3,0,0,'Données projet'!$E$9+1,1))-AVERAGE(OFFSET($H$3,0,0,'Données projet'!$E$9+1,1))</f>
        <v>312.53389584272878</v>
      </c>
      <c r="T47" s="59">
        <f t="shared" si="34"/>
        <v>203.5274665601915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5.5387652386647392</v>
      </c>
      <c r="AA47" s="21">
        <f>EXP(-LN(2)/25)*AA46+(1-EXP(-LN(2)/25))/(LN(2)/25)*Calculateur!V47*Calculateur!X47*VLOOKUP('Données projet'!$B$9,Paramètres!$A$1:$I$89,3,0)*0.475*44/12</f>
        <v>6.3521411270566484</v>
      </c>
      <c r="AB47" s="21">
        <f>EXP(-LN(2)/2)*AB46+(1-EXP(-LN(2)/2))/(LN(2)/2)*V47*Y47*VLOOKUP('Données projet'!$B$9,Paramètres!$A$1:$I$89,3,0)*0.475*44/12</f>
        <v>6.6678379604200824E-2</v>
      </c>
      <c r="AC47" s="22">
        <f t="shared" si="3"/>
        <v>11.957584745325589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</v>
      </c>
      <c r="AI47" s="13">
        <f>IF('Données projet'!$A$62&gt;35,AI46+AH47-AQ46,IF(A47&lt;'Données projet'!$A$62,$AF$205^A47,IF(A47='Données projet'!$A$62,'Données projet'!$B$62,AI46+AH47-AQ46)))</f>
        <v>234.00000000000011</v>
      </c>
      <c r="AJ47" s="13">
        <f>AI47*VLOOKUP('Données projet'!$B$10,Paramètres!$A$1:$I$89,3,0)*VLOOKUP('Données projet'!$B$10,Paramètres!$A$1:$I$89,5,0)</f>
        <v>204.42240000000012</v>
      </c>
      <c r="AK47" s="13">
        <f t="shared" si="35"/>
        <v>50.714836797527312</v>
      </c>
      <c r="AL47" s="20">
        <f t="shared" si="4"/>
        <v>444.36402075569362</v>
      </c>
      <c r="AM47" s="59">
        <f t="shared" si="5"/>
        <v>737.69735408902693</v>
      </c>
      <c r="AN47" s="59">
        <f ca="1">AVERAGE(OFFSET($AM$3,0,0,'Données projet'!$E$10+1,1))-AVERAGE(OFFSET($H$3,0,0,'Données projet'!$E$10+1,1))</f>
        <v>243.05628303465238</v>
      </c>
      <c r="AO47" s="59">
        <f t="shared" si="36"/>
        <v>352.47096767658394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5.9831680697741829</v>
      </c>
      <c r="AV47" s="21">
        <f>EXP(-LN(2)/25)*AV46+(1-EXP(-LN(2)/25))/(LN(2)/25)*Calculateur!AQ47*Calculateur!AS47*VLOOKUP('Données projet'!$B$10,Paramètres!$A$1:$I$89,3,0)*0.475*44/12</f>
        <v>12.289530695044443</v>
      </c>
      <c r="AW47" s="21">
        <f>EXP(-LN(2)/2)*AW46+(1-EXP(-LN(2)/2))/(LN(2)/2)*AQ47*AT47*VLOOKUP('Données projet'!$B$10,Paramètres!$A$1:$I$89,3,0)*0.475*44/12</f>
        <v>8.8071626539594577E-2</v>
      </c>
      <c r="AX47" s="21">
        <f t="shared" si="6"/>
        <v>18.360770391358219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</v>
      </c>
      <c r="BD47" s="12">
        <f>IF('Données projet'!$A$88&gt;35,BD46+BC47-BL46,IF(A47&lt;'Données projet'!$A$88,$BA$205^A47,IF(A47='Données projet'!$A$88,'Données projet'!$B$88,BD46+BC47-BL46)))</f>
        <v>268.59999999999991</v>
      </c>
      <c r="BE47" s="13">
        <f>BD47*VLOOKUP('Données projet'!$B$11,Paramètres!$A$1:$I$89,3,0)*VLOOKUP('Données projet'!$B$11,Paramètres!$A$1:$I$89,5,0)</f>
        <v>213.69815999999994</v>
      </c>
      <c r="BF47" s="13">
        <f t="shared" si="37"/>
        <v>52.742903801874164</v>
      </c>
      <c r="BG47" s="20">
        <f t="shared" si="7"/>
        <v>464.05151945493071</v>
      </c>
      <c r="BH47" s="59">
        <f t="shared" si="8"/>
        <v>757.38485278826397</v>
      </c>
      <c r="BI47" s="59">
        <f ca="1">AVERAGE(OFFSET($BH$3,0,0,'Données projet'!$E$11+1,1))-AVERAGE(OFFSET($H$3,0,0,'Données projet'!$E$11+1,1))</f>
        <v>325.72928944930294</v>
      </c>
      <c r="BJ47" s="59">
        <f t="shared" si="38"/>
        <v>318.38876834819752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13.121869875350377</v>
      </c>
      <c r="BQ47" s="21">
        <f>EXP(-LN(2)/25)*BQ46+(1-EXP(-LN(2)/25))/(LN(2)/25)*Calculateur!BL47*Calculateur!BN47*VLOOKUP('Données projet'!$B$11,Paramètres!$A$1:$I$89,3,0)*0.475*44/12</f>
        <v>14.02720793714427</v>
      </c>
      <c r="BR47" s="21">
        <f>EXP(-LN(2)/2)*BR46+(1-EXP(-LN(2)/2))/(LN(2)/2)*BL47*BO47*VLOOKUP('Données projet'!$B$11,Paramètres!$A$1:$I$89,3,0)*0.475*44/12</f>
        <v>9.2419695578781769E-2</v>
      </c>
      <c r="BS47" s="22">
        <f t="shared" si="9"/>
        <v>27.241497508073429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24.8</v>
      </c>
      <c r="BY47" s="12">
        <f>IF('Données projet'!$A$114&gt;35,BY46+BX47-CG46,IF(A47&lt;'Données projet'!$A$114,$BV$205^A47,IF(A47='Données projet'!$A$114,'Données projet'!$B$114,BY46+BX47-CG46)))</f>
        <v>661.1999999999997</v>
      </c>
      <c r="BZ47" s="13">
        <f>BY47*VLOOKUP('Données projet'!$B$12,Paramètres!$A$1:$I$89,3,0)*VLOOKUP('Données projet'!$B$12,Paramètres!$A$1:$I$89,5,0)</f>
        <v>369.61079999999981</v>
      </c>
      <c r="CA47" s="13">
        <f t="shared" si="39"/>
        <v>85.587677206936931</v>
      </c>
      <c r="CB47" s="20">
        <f t="shared" si="10"/>
        <v>792.80401446874805</v>
      </c>
      <c r="CC47" s="59">
        <f t="shared" si="11"/>
        <v>1086.1373478020814</v>
      </c>
      <c r="CD47" s="59">
        <f ca="1">AVERAGE(OFFSET($CC$3,0,0,'Données projet'!$E$12+1,1))-AVERAGE(OFFSET($H$3,0,0,'Données projet'!$E$12+1,1))</f>
        <v>475.54809021014017</v>
      </c>
      <c r="CE47" s="59">
        <f t="shared" si="40"/>
        <v>593.51433014569966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5.5636955966014696</v>
      </c>
      <c r="CL47" s="21">
        <f>EXP(-LN(2)/25)*CL46+(1-EXP(-LN(2)/25))/(LN(2)/25)*Calculateur!CG47*Calculateur!CI47*VLOOKUP('Données projet'!$B$12,Paramètres!$A$1:$I$89,3,0)*0.475*44/12</f>
        <v>28.903963458487372</v>
      </c>
      <c r="CM47" s="21">
        <f>EXP(-LN(2)/2)*CM46+(1-EXP(-LN(2)/2))/(LN(2)/2)*CG47*CJ47*VLOOKUP('Données projet'!$B$12,Paramètres!$A$1:$I$89,3,0)*0.475*44/12</f>
        <v>0.11264029503701282</v>
      </c>
      <c r="CN47" s="22">
        <f t="shared" si="12"/>
        <v>34.580299350125856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11.5</v>
      </c>
      <c r="CT47" s="12">
        <f>IF('Données projet'!$A$140&gt;35,CT46+CS47-DB46,IF(A47&lt;'Données projet'!$A$140,$CQ$205^A47,IF(A47='Données projet'!$A$140,'Données projet'!$B$140,CT46+CS47-DB46)))</f>
        <v>219.49999999999989</v>
      </c>
      <c r="CU47" s="17">
        <f>CT47*VLOOKUP('Données projet'!$B$13,Paramètres!$A$1:$I$89,3,0)*VLOOKUP('Données projet'!$B$13,Paramètres!$A$1:$I$89,5,0)</f>
        <v>102.72599999999994</v>
      </c>
      <c r="CV47" s="13">
        <f t="shared" si="41"/>
        <v>27.610409417164195</v>
      </c>
      <c r="CW47" s="20">
        <f t="shared" si="13"/>
        <v>227.0025797348942</v>
      </c>
      <c r="CX47" s="59">
        <f t="shared" si="14"/>
        <v>520.33591306822746</v>
      </c>
      <c r="CY47" s="59">
        <f ca="1">AVERAGE(OFFSET($CX$3,0,0,'Données projet'!$E$13+1,1))-AVERAGE(OFFSET($H$3,0,0,'Données projet'!$E$13+1,1))</f>
        <v>226.0452828290525</v>
      </c>
      <c r="CZ47" s="59">
        <f t="shared" si="42"/>
        <v>179.89696397462069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6.8784484434671374</v>
      </c>
      <c r="DG47" s="21">
        <f>EXP(-LN(2)/25)*DG46+(1-EXP(-LN(2)/25))/(LN(2)/25)*Calculateur!DB47*Calculateur!DD47*VLOOKUP('Données projet'!$B$13,Paramètres!$A$1:$I$89,3,0)*0.475*44/12</f>
        <v>7.5639646313581395</v>
      </c>
      <c r="DH47" s="21">
        <f>EXP(-LN(2)/2)*DH46+(1-EXP(-LN(2)/2))/(LN(2)/2)*DB47*DE47*VLOOKUP('Données projet'!$B$13,Paramètres!$A$1:$I$89,3,0)*0.475*44/12</f>
        <v>8.62744425281122E-2</v>
      </c>
      <c r="DI47" s="22">
        <f t="shared" si="15"/>
        <v>14.528687517353388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11</v>
      </c>
      <c r="DO47" s="12">
        <f>IF('Données projet'!$A$166&gt;35,DO46+DN47-DW46,IF(A47&lt;'Données projet'!$A$166,$DL$205^A47,IF(A47='Données projet'!$A$166,'Données projet'!$B$166,DO46+DN47-DW46)))</f>
        <v>343.00000000000011</v>
      </c>
      <c r="DP47" s="17">
        <f>DO47*VLOOKUP('Données projet'!$B$14,Paramètres!$A$1:$I$89,3,0)*VLOOKUP('Données projet'!$B$14,Paramètres!$A$1:$I$89,5,0)</f>
        <v>205.11400000000009</v>
      </c>
      <c r="DQ47" s="13">
        <f t="shared" si="43"/>
        <v>50.86641328088507</v>
      </c>
      <c r="DR47" s="20">
        <f t="shared" si="16"/>
        <v>445.83255313087494</v>
      </c>
      <c r="DS47" s="59">
        <f t="shared" si="17"/>
        <v>739.16588646420826</v>
      </c>
      <c r="DT47" s="59">
        <f ca="1">AVERAGE(OFFSET($DS$3,0,0,'Données projet'!$E$14+1,1))-AVERAGE(OFFSET($H$3,0,0,'Données projet'!$E$14+1,1))</f>
        <v>252.81045065813976</v>
      </c>
      <c r="DU47" s="59">
        <f t="shared" si="44"/>
        <v>254.36590349790589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13.682735052127907</v>
      </c>
      <c r="EB47" s="21">
        <f>EXP(-LN(2)/25)*EB46+(1-EXP(-LN(2)/25))/(LN(2)/25)*Calculateur!DW47*Calculateur!DY47*VLOOKUP('Données projet'!$B$14,Paramètres!$A$1:$I$89,3,0)*0.475*44/12</f>
        <v>10.938312318105982</v>
      </c>
      <c r="EC47" s="21">
        <f>EXP(-LN(2)/2)*EC46+(1-EXP(-LN(2)/2))/(LN(2)/2)*DW47*DZ47*VLOOKUP('Données projet'!$B$14,Paramètres!$A$1:$I$89,3,0)*0.475*44/12</f>
        <v>4.4854560032328225E-2</v>
      </c>
      <c r="ED47" s="22">
        <f t="shared" si="18"/>
        <v>24.665901930266216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11.4</v>
      </c>
      <c r="EJ47" s="12">
        <f>IF('Données projet'!$A$192&gt;35,EJ46+EI47-ER46,IF(A47&lt;'Données projet'!$A$192,$EG$205^A47,IF(A47='Données projet'!$A$192,'Données projet'!$B$192,EJ46+EI47-ER46)))</f>
        <v>268.59999999999991</v>
      </c>
      <c r="EK47" s="17">
        <f>EJ47*VLOOKUP('Données projet'!$B$15,Paramètres!$A$1:$I$89,3,0)*VLOOKUP('Données projet'!$B$15,Paramètres!$A$1:$I$89,5,0)</f>
        <v>196.93751999999992</v>
      </c>
      <c r="EL47" s="13">
        <f t="shared" si="45"/>
        <v>49.070524066369494</v>
      </c>
      <c r="EM47" s="20">
        <f t="shared" si="19"/>
        <v>428.46401008226007</v>
      </c>
      <c r="EN47" s="59">
        <f t="shared" si="20"/>
        <v>721.79734341559333</v>
      </c>
      <c r="EO47" s="59">
        <f ca="1">AVERAGE(OFFSET($EN$3,0,0,'Données projet'!$E$15+1,1))-AVERAGE(OFFSET($H$3,0,0,'Données projet'!$E$15+1,1))</f>
        <v>296.91321813251051</v>
      </c>
      <c r="EP47" s="59">
        <f t="shared" si="46"/>
        <v>291.0718079639509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9.8110614199345605</v>
      </c>
      <c r="EW47" s="21">
        <f>EXP(-LN(2)/25)*EW46+(1-EXP(-LN(2)/25))/(LN(2)/25)*Calculateur!ER47*Calculateur!ET47*VLOOKUP('Données projet'!$B$15,Paramètres!$A$1:$I$89,3,0)*0.475*44/12</f>
        <v>10.487971602282117</v>
      </c>
      <c r="EX47" s="21">
        <f>EXP(-LN(2)/2)*EX46+(1-EXP(-LN(2)/2))/(LN(2)/2)*ER47*EU47*VLOOKUP('Données projet'!$B$15,Paramètres!$A$1:$I$89,3,0)*0.475*44/12</f>
        <v>8.5171092003975407E-2</v>
      </c>
      <c r="EY47" s="22">
        <f t="shared" si="21"/>
        <v>20.384204114220651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11.4</v>
      </c>
      <c r="FE47" s="12">
        <f>IF('Données projet'!$A$218&gt;35,FE46+FD47-FM46,IF(A47&lt;'Données projet'!$A$218,$FB$205^A47,IF(A47='Données projet'!$A$218,'Données projet'!$B$218,FE46+FD47-FM46)))</f>
        <v>192.60000000000002</v>
      </c>
      <c r="FF47" s="17">
        <f>FE47*VLOOKUP('Données projet'!$B$16,Paramètres!$A$1:$I$89,3,0)*VLOOKUP('Données projet'!$B$16,Paramètres!$A$1:$I$89,5,0)</f>
        <v>195.29640000000003</v>
      </c>
      <c r="FG47" s="13">
        <f t="shared" si="47"/>
        <v>48.709031383366153</v>
      </c>
      <c r="FH47" s="20">
        <f t="shared" si="22"/>
        <v>424.97612632602949</v>
      </c>
      <c r="FI47" s="59">
        <f t="shared" si="23"/>
        <v>718.3094596593628</v>
      </c>
      <c r="FJ47" s="59">
        <f ca="1">AVERAGE(OFFSET($FI$3,0,0,'Données projet'!$E$16+1,1))-AVERAGE(OFFSET($H$3,0,0,'Données projet'!$E$16+1,1))</f>
        <v>356.65981389369125</v>
      </c>
      <c r="FK47" s="59">
        <f t="shared" si="48"/>
        <v>231.92898690465887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6.2072369054001415</v>
      </c>
      <c r="FR47" s="21">
        <f>EXP(-LN(2)/25)*FR46+(1-EXP(-LN(2)/25))/(LN(2)/25)*Calculateur!FM47*Calculateur!FO47*VLOOKUP('Données projet'!$B$16,Paramètres!$A$1:$I$89,3,0)*0.475*44/12</f>
        <v>7.1187788492876241</v>
      </c>
      <c r="FS47" s="21">
        <f>EXP(-LN(2)/2)*FS46+(1-EXP(-LN(2)/2))/(LN(2)/2)*FM47*FP47*VLOOKUP('Données projet'!$B$16,Paramètres!$A$1:$I$89,3,0)*0.475*44/12</f>
        <v>7.4725770246087134E-2</v>
      </c>
      <c r="FT47" s="22">
        <f t="shared" si="24"/>
        <v>13.400741524933853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11.4</v>
      </c>
      <c r="FZ47" s="12">
        <f>IF('Données projet'!$A$244&gt;35,FZ46+FY47-GH46,IF(A47&lt;'Données projet'!$A$244,$FW$205^A47,IF(A47='Données projet'!$A$244,'Données projet'!$B$244,FZ46+FY47-GH46)))</f>
        <v>192.60000000000002</v>
      </c>
      <c r="GA47" s="17">
        <f>FZ47*VLOOKUP('Données projet'!$B$17,Paramètres!$A$1:$I$89,3,0)*VLOOKUP('Données projet'!$B$17,Paramètres!$A$1:$I$89,5,0)</f>
        <v>186.28272000000001</v>
      </c>
      <c r="GB47" s="13">
        <f t="shared" si="49"/>
        <v>46.717172342223918</v>
      </c>
      <c r="GC47" s="20">
        <f t="shared" si="25"/>
        <v>405.80814582937325</v>
      </c>
      <c r="GD47" s="59">
        <f t="shared" si="26"/>
        <v>699.14147916270656</v>
      </c>
      <c r="GE47" s="59">
        <f ca="1">AVERAGE(OFFSET($GD$3,0,0,'Données projet'!$E$17+1,1))-AVERAGE(OFFSET($H$3,0,0,'Données projet'!$E$17+1,1))</f>
        <v>337.76140497227715</v>
      </c>
      <c r="GF47" s="59">
        <f t="shared" si="50"/>
        <v>219.76562717496353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5.9207490482278269</v>
      </c>
      <c r="GM47" s="21">
        <f>EXP(-LN(2)/25)*GM46+(1-EXP(-LN(2)/25))/(LN(2)/25)*Calculateur!GH47*Calculateur!GJ47*VLOOKUP('Données projet'!$B$17,Paramètres!$A$1:$I$89,3,0)*0.475*44/12</f>
        <v>6.7902198254743507</v>
      </c>
      <c r="GN47" s="21">
        <f>EXP(-LN(2)/2)*GN46+(1-EXP(-LN(2)/2))/(LN(2)/2)*GH47*GK47*VLOOKUP('Données projet'!$B$17,Paramètres!$A$1:$I$89,3,0)*0.475*44/12</f>
        <v>7.127688854242159E-2</v>
      </c>
      <c r="GO47" s="21">
        <f t="shared" si="27"/>
        <v>12.7822457622446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204.00000000000003</v>
      </c>
      <c r="O48" s="13">
        <f>N48*VLOOKUP('Données projet'!$B$9,Paramètres!$A$1:$I$89,3,0)*VLOOKUP('Données projet'!$B$9,Paramètres!$A$1:$I$89,5,0)</f>
        <v>184.57920000000001</v>
      </c>
      <c r="P48" s="13">
        <f t="shared" si="33"/>
        <v>46.339479465836661</v>
      </c>
      <c r="Q48" s="20">
        <f t="shared" si="53"/>
        <v>402.18336673633218</v>
      </c>
      <c r="R48" s="59">
        <f t="shared" si="0"/>
        <v>695.51670006966549</v>
      </c>
      <c r="S48" s="59">
        <f ca="1">AVERAGE(OFFSET($R$3,0,0,'Données projet'!$E$9+1,1))-AVERAGE(OFFSET($H$3,0,0,'Données projet'!$E$9+1,1))</f>
        <v>312.53389584272878</v>
      </c>
      <c r="T48" s="59">
        <f t="shared" si="34"/>
        <v>203.5274665601915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5.4301534306477386</v>
      </c>
      <c r="AA48" s="21">
        <f>EXP(-LN(2)/25)*AA47+(1-EXP(-LN(2)/25))/(LN(2)/25)*Calculateur!V48*Calculateur!X48*VLOOKUP('Données projet'!$B$9,Paramètres!$A$1:$I$89,3,0)*0.475*44/12</f>
        <v>6.1784414938927004</v>
      </c>
      <c r="AB48" s="21">
        <f>EXP(-LN(2)/2)*AB47+(1-EXP(-LN(2)/2))/(LN(2)/2)*V48*Y48*VLOOKUP('Données projet'!$B$9,Paramètres!$A$1:$I$89,3,0)*0.475*44/12</f>
        <v>4.7148734376661186E-2</v>
      </c>
      <c r="AC48" s="22">
        <f t="shared" si="3"/>
        <v>11.6557436589171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245</v>
      </c>
      <c r="AG48" s="12">
        <f>VLOOKUP(A48,'Données projet'!$A$61:$I$81,9,0)</f>
        <v>11</v>
      </c>
      <c r="AH48" s="12">
        <f t="array" ref="AH48">INDEX(AG:AG,MIN(IF(ISNUMBER(AG48:AG244),ROW(AG48:AG244),"")))</f>
        <v>11</v>
      </c>
      <c r="AI48" s="13">
        <f>IF('Données projet'!$A$62&gt;35,AI47+AH48-AQ47,IF(A48&lt;'Données projet'!$A$62,$AF$205^A48,IF(A48='Données projet'!$A$62,'Données projet'!$B$62,AI47+AH48-AQ47)))</f>
        <v>245.00000000000011</v>
      </c>
      <c r="AJ48" s="13">
        <f>AI48*VLOOKUP('Données projet'!$B$10,Paramètres!$A$1:$I$89,3,0)*VLOOKUP('Données projet'!$B$10,Paramètres!$A$1:$I$89,5,0)</f>
        <v>214.03200000000012</v>
      </c>
      <c r="AK48" s="13">
        <f t="shared" si="35"/>
        <v>52.815701536972284</v>
      </c>
      <c r="AL48" s="20">
        <f t="shared" si="4"/>
        <v>464.75974684356021</v>
      </c>
      <c r="AM48" s="59">
        <f t="shared" si="5"/>
        <v>758.09308017689352</v>
      </c>
      <c r="AN48" s="59">
        <f ca="1">AVERAGE(OFFSET($AM$3,0,0,'Données projet'!$E$10+1,1))-AVERAGE(OFFSET($H$3,0,0,'Données projet'!$E$10+1,1))</f>
        <v>243.05628303465238</v>
      </c>
      <c r="AO48" s="59">
        <f t="shared" si="36"/>
        <v>352.47096767658394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41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5.8658417932980882</v>
      </c>
      <c r="AV48" s="21">
        <f>EXP(-LN(2)/25)*AV47+(1-EXP(-LN(2)/25))/(LN(2)/25)*Calculateur!AQ48*Calculateur!AS48*VLOOKUP('Données projet'!$B$10,Paramètres!$A$1:$I$89,3,0)*0.475*44/12</f>
        <v>11.953472831910121</v>
      </c>
      <c r="AW48" s="21">
        <f>EXP(-LN(2)/2)*AW47+(1-EXP(-LN(2)/2))/(LN(2)/2)*AQ48*AT48*VLOOKUP('Données projet'!$B$10,Paramètres!$A$1:$I$89,3,0)*0.475*44/12</f>
        <v>6.2276044356276442E-2</v>
      </c>
      <c r="AX48" s="21">
        <f t="shared" si="6"/>
        <v>17.881590669564485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280</v>
      </c>
      <c r="BB48" s="12">
        <f>VLOOKUP(A48,'Données projet'!$A$87:$I$107,9,0)</f>
        <v>11.4</v>
      </c>
      <c r="BC48" s="12">
        <f t="array" ref="BC48">INDEX(BB:BB,MIN(IF(ISNUMBER(BB48:BB244),ROW(BB48:BB244),"")))</f>
        <v>11.4</v>
      </c>
      <c r="BD48" s="12">
        <f>IF('Données projet'!$A$88&gt;35,BD47+BC48-BL47,IF(A48&lt;'Données projet'!$A$88,$BA$205^A48,IF(A48='Données projet'!$A$88,'Données projet'!$B$88,BD47+BC48-BL47)))</f>
        <v>279.99999999999989</v>
      </c>
      <c r="BE48" s="13">
        <f>BD48*VLOOKUP('Données projet'!$B$11,Paramètres!$A$1:$I$89,3,0)*VLOOKUP('Données projet'!$B$11,Paramètres!$A$1:$I$89,5,0)</f>
        <v>222.76799999999994</v>
      </c>
      <c r="BF48" s="13">
        <f t="shared" si="37"/>
        <v>54.716058356609508</v>
      </c>
      <c r="BG48" s="20">
        <f t="shared" si="7"/>
        <v>483.28473497109485</v>
      </c>
      <c r="BH48" s="59">
        <f t="shared" si="8"/>
        <v>776.61806830442811</v>
      </c>
      <c r="BI48" s="59">
        <f ca="1">AVERAGE(OFFSET($BH$3,0,0,'Données projet'!$E$11+1,1))-AVERAGE(OFFSET($H$3,0,0,'Données projet'!$E$11+1,1))</f>
        <v>325.72928944930294</v>
      </c>
      <c r="BJ48" s="59">
        <f t="shared" si="38"/>
        <v>318.38876834819752</v>
      </c>
      <c r="BK48" s="15">
        <f>IF(ISNA(VLOOKUP(A48,'Données projet'!$A$87:$I$107,3,0)),0,VLOOKUP(A48,'Données projet'!$A$87:$I$107,3,0))</f>
        <v>8</v>
      </c>
      <c r="BL48" s="15">
        <f>IF(ISNA(VLOOKUP(A48,'Données projet'!$A$87:$I$107,4,0)),0,VLOOKUP(A48,'Données projet'!$A$87:$I$107,4,0))</f>
        <v>26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12.864558010645096</v>
      </c>
      <c r="BQ48" s="21">
        <f>EXP(-LN(2)/25)*BQ47+(1-EXP(-LN(2)/25))/(LN(2)/25)*Calculateur!BL48*Calculateur!BN48*VLOOKUP('Données projet'!$B$11,Paramètres!$A$1:$I$89,3,0)*0.475*44/12</f>
        <v>13.643633198444254</v>
      </c>
      <c r="BR48" s="21">
        <f>EXP(-LN(2)/2)*BR47+(1-EXP(-LN(2)/2))/(LN(2)/2)*BL48*BO48*VLOOKUP('Données projet'!$B$11,Paramètres!$A$1:$I$89,3,0)*0.475*44/12</f>
        <v>6.5350593458952971E-2</v>
      </c>
      <c r="BS48" s="22">
        <f t="shared" si="9"/>
        <v>26.573541802548302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686</v>
      </c>
      <c r="BW48" s="12">
        <f>VLOOKUP(A48,'Données projet'!$A$113:$I$133,9,0)</f>
        <v>24.8</v>
      </c>
      <c r="BX48" s="12">
        <f t="array" ref="BX48">INDEX(BW:BW,MIN(IF(ISNUMBER(BW48:BW244),ROW(BW48:BW244),"")))</f>
        <v>24.8</v>
      </c>
      <c r="BY48" s="12">
        <f>IF('Données projet'!$A$114&gt;35,BY47+BX48-CG47,IF(A48&lt;'Données projet'!$A$114,$BV$205^A48,IF(A48='Données projet'!$A$114,'Données projet'!$B$114,BY47+BX48-CG47)))</f>
        <v>685.99999999999966</v>
      </c>
      <c r="BZ48" s="13">
        <f>BY48*VLOOKUP('Données projet'!$B$12,Paramètres!$A$1:$I$89,3,0)*VLOOKUP('Données projet'!$B$12,Paramètres!$A$1:$I$89,5,0)</f>
        <v>383.47399999999982</v>
      </c>
      <c r="CA48" s="13">
        <f t="shared" si="39"/>
        <v>88.418089567872116</v>
      </c>
      <c r="CB48" s="20">
        <f t="shared" si="10"/>
        <v>821.87872266404372</v>
      </c>
      <c r="CC48" s="59">
        <f t="shared" si="11"/>
        <v>1115.2120559973771</v>
      </c>
      <c r="CD48" s="59">
        <f ca="1">AVERAGE(OFFSET($CC$3,0,0,'Données projet'!$E$12+1,1))-AVERAGE(OFFSET($H$3,0,0,'Données projet'!$E$12+1,1))</f>
        <v>475.54809021014017</v>
      </c>
      <c r="CE48" s="59">
        <f t="shared" si="40"/>
        <v>593.51433014569966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64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5.4545949194713463</v>
      </c>
      <c r="CL48" s="21">
        <f>EXP(-LN(2)/25)*CL47+(1-EXP(-LN(2)/25))/(LN(2)/25)*Calculateur!CG48*Calculateur!CI48*VLOOKUP('Données projet'!$B$12,Paramètres!$A$1:$I$89,3,0)*0.475*44/12</f>
        <v>28.113583057721659</v>
      </c>
      <c r="CM48" s="21">
        <f>EXP(-LN(2)/2)*CM47+(1-EXP(-LN(2)/2))/(LN(2)/2)*CG48*CJ48*VLOOKUP('Données projet'!$B$12,Paramètres!$A$1:$I$89,3,0)*0.475*44/12</f>
        <v>7.9648716455525181E-2</v>
      </c>
      <c r="CN48" s="22">
        <f t="shared" si="12"/>
        <v>33.647826693648526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11.5</v>
      </c>
      <c r="CT48" s="12">
        <f>IF('Données projet'!$A$140&gt;35,CT47+CS48-DB47,IF(A48&lt;'Données projet'!$A$140,$CQ$205^A48,IF(A48='Données projet'!$A$140,'Données projet'!$B$140,CT47+CS48-DB47)))</f>
        <v>230.99999999999989</v>
      </c>
      <c r="CU48" s="17">
        <f>CT48*VLOOKUP('Données projet'!$B$13,Paramètres!$A$1:$I$89,3,0)*VLOOKUP('Données projet'!$B$13,Paramètres!$A$1:$I$89,5,0)</f>
        <v>108.10799999999995</v>
      </c>
      <c r="CV48" s="13">
        <f t="shared" si="41"/>
        <v>28.884765499467136</v>
      </c>
      <c r="CW48" s="20">
        <f t="shared" si="13"/>
        <v>238.59573324490518</v>
      </c>
      <c r="CX48" s="59">
        <f t="shared" si="14"/>
        <v>531.92906657823846</v>
      </c>
      <c r="CY48" s="59">
        <f ca="1">AVERAGE(OFFSET($CX$3,0,0,'Données projet'!$E$13+1,1))-AVERAGE(OFFSET($H$3,0,0,'Données projet'!$E$13+1,1))</f>
        <v>226.0452828290525</v>
      </c>
      <c r="CZ48" s="59">
        <f t="shared" si="42"/>
        <v>179.89696397462069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6.7435662649300321</v>
      </c>
      <c r="DG48" s="21">
        <f>EXP(-LN(2)/25)*DG47+(1-EXP(-LN(2)/25))/(LN(2)/25)*Calculateur!DB48*Calculateur!DD48*VLOOKUP('Données projet'!$B$13,Paramètres!$A$1:$I$89,3,0)*0.475*44/12</f>
        <v>7.3571276207420384</v>
      </c>
      <c r="DH48" s="21">
        <f>EXP(-LN(2)/2)*DH47+(1-EXP(-LN(2)/2))/(LN(2)/2)*DB48*DE48*VLOOKUP('Données projet'!$B$13,Paramètres!$A$1:$I$89,3,0)*0.475*44/12</f>
        <v>6.1005243354717208E-2</v>
      </c>
      <c r="DI48" s="22">
        <f t="shared" si="15"/>
        <v>14.161699129026788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11</v>
      </c>
      <c r="DO48" s="12">
        <f>IF('Données projet'!$A$166&gt;35,DO47+DN48-DW47,IF(A48&lt;'Données projet'!$A$166,$DL$205^A48,IF(A48='Données projet'!$A$166,'Données projet'!$B$166,DO47+DN48-DW47)))</f>
        <v>354.00000000000011</v>
      </c>
      <c r="DP48" s="17">
        <f>DO48*VLOOKUP('Données projet'!$B$14,Paramètres!$A$1:$I$89,3,0)*VLOOKUP('Données projet'!$B$14,Paramètres!$A$1:$I$89,5,0)</f>
        <v>211.69200000000009</v>
      </c>
      <c r="DQ48" s="13">
        <f t="shared" si="43"/>
        <v>52.305157403317885</v>
      </c>
      <c r="DR48" s="20">
        <f t="shared" si="16"/>
        <v>459.79504914411217</v>
      </c>
      <c r="DS48" s="59">
        <f t="shared" si="17"/>
        <v>753.12838247744548</v>
      </c>
      <c r="DT48" s="59">
        <f ca="1">AVERAGE(OFFSET($DS$3,0,0,'Données projet'!$E$14+1,1))-AVERAGE(OFFSET($H$3,0,0,'Données projet'!$E$14+1,1))</f>
        <v>252.81045065813976</v>
      </c>
      <c r="DU48" s="59">
        <f t="shared" si="44"/>
        <v>254.36590349790589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13.414424963399997</v>
      </c>
      <c r="EB48" s="21">
        <f>EXP(-LN(2)/25)*EB47+(1-EXP(-LN(2)/25))/(LN(2)/25)*Calculateur!DW48*Calculateur!DY48*VLOOKUP('Données projet'!$B$14,Paramètres!$A$1:$I$89,3,0)*0.475*44/12</f>
        <v>10.639203592546529</v>
      </c>
      <c r="EC48" s="21">
        <f>EXP(-LN(2)/2)*EC47+(1-EXP(-LN(2)/2))/(LN(2)/2)*DW48*DZ48*VLOOKUP('Données projet'!$B$14,Paramètres!$A$1:$I$89,3,0)*0.475*44/12</f>
        <v>3.1716963565998374E-2</v>
      </c>
      <c r="ED48" s="22">
        <f t="shared" si="18"/>
        <v>24.085345519512522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280</v>
      </c>
      <c r="EH48" s="12">
        <f>VLOOKUP(A48,'Données projet'!$A$191:$I$211,9,0)</f>
        <v>11.4</v>
      </c>
      <c r="EI48" s="12">
        <f t="array" ref="EI48">INDEX(EH:EH,MIN(IF(ISNUMBER(EH48:EH244),ROW(EH48:EH244),"")))</f>
        <v>11.4</v>
      </c>
      <c r="EJ48" s="12">
        <f>IF('Données projet'!$A$192&gt;35,EJ47+EI48-ER47,IF(A48&lt;'Données projet'!$A$192,$EG$205^A48,IF(A48='Données projet'!$A$192,'Données projet'!$B$192,EJ47+EI48-ER47)))</f>
        <v>279.99999999999989</v>
      </c>
      <c r="EK48" s="17">
        <f>EJ48*VLOOKUP('Données projet'!$B$15,Paramètres!$A$1:$I$89,3,0)*VLOOKUP('Données projet'!$B$15,Paramètres!$A$1:$I$89,5,0)</f>
        <v>205.29599999999991</v>
      </c>
      <c r="EL48" s="13">
        <f t="shared" si="45"/>
        <v>50.906291934375353</v>
      </c>
      <c r="EM48" s="20">
        <f t="shared" si="19"/>
        <v>446.21899178570357</v>
      </c>
      <c r="EN48" s="59">
        <f t="shared" si="20"/>
        <v>739.55232511903682</v>
      </c>
      <c r="EO48" s="59">
        <f ca="1">AVERAGE(OFFSET($EN$3,0,0,'Données projet'!$E$15+1,1))-AVERAGE(OFFSET($H$3,0,0,'Données projet'!$E$15+1,1))</f>
        <v>296.91321813251051</v>
      </c>
      <c r="EP48" s="59">
        <f t="shared" si="46"/>
        <v>291.0718079639509</v>
      </c>
      <c r="EQ48" s="15">
        <f>IF(ISNA(VLOOKUP(A48,'Données projet'!$A$191:$I$211,3,0)),0,VLOOKUP(A48,'Données projet'!$A$191:$I$211,3,0))</f>
        <v>8</v>
      </c>
      <c r="ER48" s="15">
        <f>IF(ISNA(VLOOKUP(A48,'Données projet'!$A$191:$I$211,4,0)),0,VLOOKUP(A48,'Données projet'!$A$191:$I$211,4,0))</f>
        <v>26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9.6186724896462241</v>
      </c>
      <c r="EW48" s="21">
        <f>EXP(-LN(2)/25)*EW47+(1-EXP(-LN(2)/25))/(LN(2)/25)*Calculateur!ER48*Calculateur!ET48*VLOOKUP('Données projet'!$B$15,Paramètres!$A$1:$I$89,3,0)*0.475*44/12</f>
        <v>10.201177467279257</v>
      </c>
      <c r="EX48" s="21">
        <f>EXP(-LN(2)/2)*EX47+(1-EXP(-LN(2)/2))/(LN(2)/2)*ER48*EU48*VLOOKUP('Données projet'!$B$15,Paramètres!$A$1:$I$89,3,0)*0.475*44/12</f>
        <v>6.022505671707435E-2</v>
      </c>
      <c r="EY48" s="22">
        <f t="shared" si="21"/>
        <v>19.880075013642553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204</v>
      </c>
      <c r="FC48" s="12">
        <f>VLOOKUP(A48,'Données projet'!$A$217:$I$237,9,0)</f>
        <v>11.4</v>
      </c>
      <c r="FD48" s="12">
        <f t="array" ref="FD48">INDEX(FC:FC,MIN(IF(ISNUMBER(FC48:FC244),ROW(FC48:FC244),"")))</f>
        <v>11.4</v>
      </c>
      <c r="FE48" s="12">
        <f>IF('Données projet'!$A$218&gt;35,FE47+FD48-FM47,IF(A48&lt;'Données projet'!$A$218,$FB$205^A48,IF(A48='Données projet'!$A$218,'Données projet'!$B$218,FE47+FD48-FM47)))</f>
        <v>204.00000000000003</v>
      </c>
      <c r="FF48" s="17">
        <f>FE48*VLOOKUP('Données projet'!$B$16,Paramètres!$A$1:$I$89,3,0)*VLOOKUP('Données projet'!$B$16,Paramètres!$A$1:$I$89,5,0)</f>
        <v>206.85600000000005</v>
      </c>
      <c r="FG48" s="13">
        <f t="shared" si="47"/>
        <v>51.247940588293027</v>
      </c>
      <c r="FH48" s="20">
        <f t="shared" si="22"/>
        <v>449.53102985794379</v>
      </c>
      <c r="FI48" s="59">
        <f t="shared" si="23"/>
        <v>742.86436319127711</v>
      </c>
      <c r="FJ48" s="59">
        <f ca="1">AVERAGE(OFFSET($FI$3,0,0,'Données projet'!$E$16+1,1))-AVERAGE(OFFSET($H$3,0,0,'Données projet'!$E$16+1,1))</f>
        <v>356.65981389369125</v>
      </c>
      <c r="FK48" s="59">
        <f t="shared" si="48"/>
        <v>231.92898690465887</v>
      </c>
      <c r="FL48" s="15">
        <f>IF(ISNA(VLOOKUP(A48,'Données projet'!$A$217:$I$237,3,0)),0,VLOOKUP(A48,'Données projet'!$A$217:$I$237,3,0))</f>
        <v>6</v>
      </c>
      <c r="FM48" s="15">
        <f>IF(ISNA(VLOOKUP(A48,'Données projet'!$A$217:$I$237,4,0)),0,VLOOKUP(A48,'Données projet'!$A$217:$I$237,4,0))</f>
        <v>28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6.0855167757259165</v>
      </c>
      <c r="FR48" s="21">
        <f>EXP(-LN(2)/25)*FR47+(1-EXP(-LN(2)/25))/(LN(2)/25)*Calculateur!FM48*Calculateur!FO48*VLOOKUP('Données projet'!$B$16,Paramètres!$A$1:$I$89,3,0)*0.475*44/12</f>
        <v>6.9241154672935448</v>
      </c>
      <c r="FS48" s="21">
        <f>EXP(-LN(2)/2)*FS47+(1-EXP(-LN(2)/2))/(LN(2)/2)*FM48*FP48*VLOOKUP('Données projet'!$B$16,Paramètres!$A$1:$I$89,3,0)*0.475*44/12</f>
        <v>5.2839098870396159E-2</v>
      </c>
      <c r="FT48" s="22">
        <f t="shared" si="24"/>
        <v>13.062471341889857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204</v>
      </c>
      <c r="FX48" s="12">
        <f>VLOOKUP(A48,'Données projet'!$A$243:$I$263,9,0)</f>
        <v>11.4</v>
      </c>
      <c r="FY48" s="12">
        <f t="array" ref="FY48">INDEX(FX:FX,MIN(IF(ISNUMBER(FX48:FX244),ROW(FX48:FX244),"")))</f>
        <v>11.4</v>
      </c>
      <c r="FZ48" s="12">
        <f>IF('Données projet'!$A$244&gt;35,FZ47+FY48-GH47,IF(A48&lt;'Données projet'!$A$244,$FW$205^A48,IF(A48='Données projet'!$A$244,'Données projet'!$B$244,FZ47+FY48-GH47)))</f>
        <v>204.00000000000003</v>
      </c>
      <c r="GA48" s="17">
        <f>FZ48*VLOOKUP('Données projet'!$B$17,Paramètres!$A$1:$I$89,3,0)*VLOOKUP('Données projet'!$B$17,Paramètres!$A$1:$I$89,5,0)</f>
        <v>197.30880000000005</v>
      </c>
      <c r="GB48" s="13">
        <f t="shared" si="49"/>
        <v>49.152257900676076</v>
      </c>
      <c r="GC48" s="20">
        <f t="shared" si="25"/>
        <v>429.25300917701088</v>
      </c>
      <c r="GD48" s="59">
        <f t="shared" si="26"/>
        <v>722.58634251034414</v>
      </c>
      <c r="GE48" s="59">
        <f ca="1">AVERAGE(OFFSET($GD$3,0,0,'Données projet'!$E$17+1,1))-AVERAGE(OFFSET($H$3,0,0,'Données projet'!$E$17+1,1))</f>
        <v>337.76140497227715</v>
      </c>
      <c r="GF48" s="59">
        <f t="shared" si="50"/>
        <v>219.76562717496353</v>
      </c>
      <c r="GG48" s="15">
        <f>IF(ISNA(VLOOKUP(A48,'Données projet'!$A$243:$I$263,3,0)),0,VLOOKUP(A48,'Données projet'!$A$243:$I$263,3,0))</f>
        <v>6</v>
      </c>
      <c r="GH48" s="15">
        <f>IF(ISNA(VLOOKUP(A48,'Données projet'!$A$243:$I$263,4,0)),0,VLOOKUP(A48,'Données projet'!$A$243:$I$263,4,0))</f>
        <v>28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5.8046467706924121</v>
      </c>
      <c r="GM48" s="21">
        <f>EXP(-LN(2)/25)*GM47+(1-EXP(-LN(2)/25))/(LN(2)/25)*Calculateur!GH48*Calculateur!GJ48*VLOOKUP('Données projet'!$B$17,Paramètres!$A$1:$I$89,3,0)*0.475*44/12</f>
        <v>6.6045409072646128</v>
      </c>
      <c r="GN48" s="21">
        <f>EXP(-LN(2)/2)*GN47+(1-EXP(-LN(2)/2))/(LN(2)/2)*GH48*GK48*VLOOKUP('Données projet'!$B$17,Paramètres!$A$1:$I$89,3,0)*0.475*44/12</f>
        <v>5.0400371230224041E-2</v>
      </c>
      <c r="GO48" s="21">
        <f t="shared" si="27"/>
        <v>12.459588049187248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187.00000000000003</v>
      </c>
      <c r="O49" s="13">
        <f>N49*VLOOKUP('Données projet'!$B$9,Paramètres!$A$1:$I$89,3,0)*VLOOKUP('Données projet'!$B$9,Paramètres!$A$1:$I$89,5,0)</f>
        <v>169.19760000000002</v>
      </c>
      <c r="P49" s="13">
        <f t="shared" si="33"/>
        <v>42.910263223432885</v>
      </c>
      <c r="Q49" s="20">
        <f t="shared" si="53"/>
        <v>369.42119511414558</v>
      </c>
      <c r="R49" s="59">
        <f t="shared" si="0"/>
        <v>662.75452844747883</v>
      </c>
      <c r="S49" s="59">
        <f ca="1">AVERAGE(OFFSET($R$3,0,0,'Données projet'!$E$9+1,1))-AVERAGE(OFFSET($H$3,0,0,'Données projet'!$E$9+1,1))</f>
        <v>312.53389584272878</v>
      </c>
      <c r="T49" s="59">
        <f t="shared" si="34"/>
        <v>203.5274665601915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5.3236714339392899</v>
      </c>
      <c r="AA49" s="21">
        <f>EXP(-LN(2)/25)*AA48+(1-EXP(-LN(2)/25))/(LN(2)/25)*Calculateur!V49*Calculateur!X49*VLOOKUP('Données projet'!$B$9,Paramètres!$A$1:$I$89,3,0)*0.475*44/12</f>
        <v>6.0094916863320877</v>
      </c>
      <c r="AB49" s="21">
        <f>EXP(-LN(2)/2)*AB48+(1-EXP(-LN(2)/2))/(LN(2)/2)*V49*Y49*VLOOKUP('Données projet'!$B$9,Paramètres!$A$1:$I$89,3,0)*0.475*44/12</f>
        <v>3.3339189802100412E-2</v>
      </c>
      <c r="AC49" s="22">
        <f t="shared" si="3"/>
        <v>11.366502310073479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9.6</v>
      </c>
      <c r="AI49" s="13">
        <f>IF('Données projet'!$A$62&gt;35,AI48+AH49-AQ48,IF(A49&lt;'Données projet'!$A$62,$AF$205^A49,IF(A49='Données projet'!$A$62,'Données projet'!$B$62,AI48+AH49-AQ48)))</f>
        <v>213.60000000000011</v>
      </c>
      <c r="AJ49" s="13">
        <f>AI49*VLOOKUP('Données projet'!$B$10,Paramètres!$A$1:$I$89,3,0)*VLOOKUP('Données projet'!$B$10,Paramètres!$A$1:$I$89,5,0)</f>
        <v>186.60096000000013</v>
      </c>
      <c r="AK49" s="13">
        <f t="shared" si="35"/>
        <v>46.787685683664144</v>
      </c>
      <c r="AL49" s="20">
        <f t="shared" si="4"/>
        <v>406.48522456571527</v>
      </c>
      <c r="AM49" s="59">
        <f t="shared" si="5"/>
        <v>699.81855789904853</v>
      </c>
      <c r="AN49" s="59">
        <f ca="1">AVERAGE(OFFSET($AM$3,0,0,'Données projet'!$E$10+1,1))-AVERAGE(OFFSET($H$3,0,0,'Données projet'!$E$10+1,1))</f>
        <v>243.05628303465238</v>
      </c>
      <c r="AO49" s="59">
        <f t="shared" si="36"/>
        <v>352.47096767658394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5.7508162135417269</v>
      </c>
      <c r="AV49" s="21">
        <f>EXP(-LN(2)/25)*AV48+(1-EXP(-LN(2)/25))/(LN(2)/25)*Calculateur!AQ49*Calculateur!AS49*VLOOKUP('Données projet'!$B$10,Paramètres!$A$1:$I$89,3,0)*0.475*44/12</f>
        <v>11.626604488715722</v>
      </c>
      <c r="AW49" s="21">
        <f>EXP(-LN(2)/2)*AW48+(1-EXP(-LN(2)/2))/(LN(2)/2)*AQ49*AT49*VLOOKUP('Données projet'!$B$10,Paramètres!$A$1:$I$89,3,0)*0.475*44/12</f>
        <v>4.4035813269797296E-2</v>
      </c>
      <c r="AX49" s="21">
        <f t="shared" si="6"/>
        <v>17.421456515527247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9.8000000000000007</v>
      </c>
      <c r="BD49" s="12">
        <f>IF('Données projet'!$A$88&gt;35,BD48+BC49-BL48,IF(A49&lt;'Données projet'!$A$88,$BA$205^A49,IF(A49='Données projet'!$A$88,'Données projet'!$B$88,BD48+BC49-BL48)))</f>
        <v>263.7999999999999</v>
      </c>
      <c r="BE49" s="13">
        <f>BD49*VLOOKUP('Données projet'!$B$11,Paramètres!$A$1:$I$89,3,0)*VLOOKUP('Données projet'!$B$11,Paramètres!$A$1:$I$89,5,0)</f>
        <v>209.87927999999994</v>
      </c>
      <c r="BF49" s="13">
        <f t="shared" si="37"/>
        <v>51.909204458241767</v>
      </c>
      <c r="BG49" s="20">
        <f t="shared" si="7"/>
        <v>455.94827709810426</v>
      </c>
      <c r="BH49" s="59">
        <f t="shared" si="8"/>
        <v>749.28161043143757</v>
      </c>
      <c r="BI49" s="59">
        <f ca="1">AVERAGE(OFFSET($BH$3,0,0,'Données projet'!$E$11+1,1))-AVERAGE(OFFSET($H$3,0,0,'Données projet'!$E$11+1,1))</f>
        <v>325.72928944930294</v>
      </c>
      <c r="BJ49" s="59">
        <f t="shared" si="38"/>
        <v>318.38876834819752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12.612291874661944</v>
      </c>
      <c r="BQ49" s="21">
        <f>EXP(-LN(2)/25)*BQ48+(1-EXP(-LN(2)/25))/(LN(2)/25)*Calculateur!BL49*Calculateur!BN49*VLOOKUP('Données projet'!$B$11,Paramètres!$A$1:$I$89,3,0)*0.475*44/12</f>
        <v>13.270547331145309</v>
      </c>
      <c r="BR49" s="21">
        <f>EXP(-LN(2)/2)*BR48+(1-EXP(-LN(2)/2))/(LN(2)/2)*BL49*BO49*VLOOKUP('Données projet'!$B$11,Paramètres!$A$1:$I$89,3,0)*0.475*44/12</f>
        <v>4.6209847789390884E-2</v>
      </c>
      <c r="BS49" s="22">
        <f t="shared" si="9"/>
        <v>25.929049053596643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20.399999999999999</v>
      </c>
      <c r="BY49" s="12">
        <f>IF('Données projet'!$A$114&gt;35,BY48+BX49-CG48,IF(A49&lt;'Données projet'!$A$114,$BV$205^A49,IF(A49='Données projet'!$A$114,'Données projet'!$B$114,BY48+BX49-CG48)))</f>
        <v>642.39999999999964</v>
      </c>
      <c r="BZ49" s="13">
        <f>BY49*VLOOKUP('Données projet'!$B$12,Paramètres!$A$1:$I$89,3,0)*VLOOKUP('Données projet'!$B$12,Paramètres!$A$1:$I$89,5,0)</f>
        <v>359.10159999999985</v>
      </c>
      <c r="CA49" s="13">
        <f t="shared" si="39"/>
        <v>83.433815871723468</v>
      </c>
      <c r="CB49" s="20">
        <f t="shared" si="10"/>
        <v>770.74918264325152</v>
      </c>
      <c r="CC49" s="59">
        <f t="shared" si="11"/>
        <v>1064.0825159765848</v>
      </c>
      <c r="CD49" s="59">
        <f ca="1">AVERAGE(OFFSET($CC$3,0,0,'Données projet'!$E$12+1,1))-AVERAGE(OFFSET($H$3,0,0,'Données projet'!$E$12+1,1))</f>
        <v>475.54809021014017</v>
      </c>
      <c r="CE49" s="59">
        <f t="shared" si="40"/>
        <v>593.51433014569966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5.3476336400749025</v>
      </c>
      <c r="CL49" s="21">
        <f>EXP(-LN(2)/25)*CL48+(1-EXP(-LN(2)/25))/(LN(2)/25)*Calculateur!CG49*Calculateur!CI49*VLOOKUP('Données projet'!$B$12,Paramètres!$A$1:$I$89,3,0)*0.475*44/12</f>
        <v>27.344815650579182</v>
      </c>
      <c r="CM49" s="21">
        <f>EXP(-LN(2)/2)*CM48+(1-EXP(-LN(2)/2))/(LN(2)/2)*CG49*CJ49*VLOOKUP('Données projet'!$B$12,Paramètres!$A$1:$I$89,3,0)*0.475*44/12</f>
        <v>5.6320147518506412E-2</v>
      </c>
      <c r="CN49" s="22">
        <f t="shared" si="12"/>
        <v>32.748769438172587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11.5</v>
      </c>
      <c r="CT49" s="12">
        <f>IF('Données projet'!$A$140&gt;35,CT48+CS49-DB48,IF(A49&lt;'Données projet'!$A$140,$CQ$205^A49,IF(A49='Données projet'!$A$140,'Données projet'!$B$140,CT48+CS49-DB48)))</f>
        <v>242.49999999999989</v>
      </c>
      <c r="CU49" s="17">
        <f>CT49*VLOOKUP('Données projet'!$B$13,Paramètres!$A$1:$I$89,3,0)*VLOOKUP('Données projet'!$B$13,Paramètres!$A$1:$I$89,5,0)</f>
        <v>113.48999999999994</v>
      </c>
      <c r="CV49" s="13">
        <f t="shared" si="41"/>
        <v>30.151755078981495</v>
      </c>
      <c r="CW49" s="20">
        <f t="shared" si="13"/>
        <v>250.17605676255928</v>
      </c>
      <c r="CX49" s="59">
        <f t="shared" si="14"/>
        <v>543.50939009589263</v>
      </c>
      <c r="CY49" s="59">
        <f ca="1">AVERAGE(OFFSET($CX$3,0,0,'Données projet'!$E$13+1,1))-AVERAGE(OFFSET($H$3,0,0,'Données projet'!$E$13+1,1))</f>
        <v>226.0452828290525</v>
      </c>
      <c r="CZ49" s="59">
        <f t="shared" si="42"/>
        <v>179.89696397462069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6.6113290436440337</v>
      </c>
      <c r="DG49" s="21">
        <f>EXP(-LN(2)/25)*DG48+(1-EXP(-LN(2)/25))/(LN(2)/25)*Calculateur!DB49*Calculateur!DD49*VLOOKUP('Données projet'!$B$13,Paramètres!$A$1:$I$89,3,0)*0.475*44/12</f>
        <v>7.1559465790583205</v>
      </c>
      <c r="DH49" s="21">
        <f>EXP(-LN(2)/2)*DH48+(1-EXP(-LN(2)/2))/(LN(2)/2)*DB49*DE49*VLOOKUP('Données projet'!$B$13,Paramètres!$A$1:$I$89,3,0)*0.475*44/12</f>
        <v>4.3137221264056107E-2</v>
      </c>
      <c r="DI49" s="22">
        <f t="shared" si="15"/>
        <v>13.810412843966409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>
        <f>VLOOKUP(A49,'Données projet'!$A$165:$I$185,2,0)</f>
        <v>365</v>
      </c>
      <c r="DM49" s="12">
        <f>VLOOKUP(A49,'Données projet'!$A$165:$I$185,9,0)</f>
        <v>11</v>
      </c>
      <c r="DN49" s="12">
        <f t="array" ref="DN49">INDEX(DM:DM,MIN(IF(ISNUMBER(DM49:DM245),ROW(DM49:DM245),"")))</f>
        <v>11</v>
      </c>
      <c r="DO49" s="12">
        <f>IF('Données projet'!$A$166&gt;35,DO48+DN49-DW48,IF(A49&lt;'Données projet'!$A$166,$DL$205^A49,IF(A49='Données projet'!$A$166,'Données projet'!$B$166,DO48+DN49-DW48)))</f>
        <v>365.00000000000011</v>
      </c>
      <c r="DP49" s="17">
        <f>DO49*VLOOKUP('Données projet'!$B$14,Paramètres!$A$1:$I$89,3,0)*VLOOKUP('Données projet'!$B$14,Paramètres!$A$1:$I$89,5,0)</f>
        <v>218.2700000000001</v>
      </c>
      <c r="DQ49" s="13">
        <f t="shared" si="43"/>
        <v>53.738706177800339</v>
      </c>
      <c r="DR49" s="20">
        <f t="shared" si="16"/>
        <v>473.74849659300236</v>
      </c>
      <c r="DS49" s="59">
        <f t="shared" si="17"/>
        <v>767.08182992633567</v>
      </c>
      <c r="DT49" s="59">
        <f ca="1">AVERAGE(OFFSET($DS$3,0,0,'Données projet'!$E$14+1,1))-AVERAGE(OFFSET($H$3,0,0,'Données projet'!$E$14+1,1))</f>
        <v>252.81045065813976</v>
      </c>
      <c r="DU49" s="59">
        <f t="shared" si="44"/>
        <v>254.36590349790589</v>
      </c>
      <c r="DV49" s="15">
        <f>IF(ISNA(VLOOKUP(A49,'Données projet'!$A$165:$I$185,3,0)),0,VLOOKUP(A49,'Données projet'!$A$165:$I$185,3,0))</f>
        <v>8</v>
      </c>
      <c r="DW49" s="15">
        <f>IF(ISNA(VLOOKUP(A49,'Données projet'!$A$165:$I$185,4,0)),0,VLOOKUP(A49,'Données projet'!$A$165:$I$185,4,0))</f>
        <v>21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13.151376271859046</v>
      </c>
      <c r="EB49" s="21">
        <f>EXP(-LN(2)/25)*EB48+(1-EXP(-LN(2)/25))/(LN(2)/25)*Calculateur!DW49*Calculateur!DY49*VLOOKUP('Données projet'!$B$14,Paramètres!$A$1:$I$89,3,0)*0.475*44/12</f>
        <v>10.348274010816944</v>
      </c>
      <c r="EC49" s="21">
        <f>EXP(-LN(2)/2)*EC48+(1-EXP(-LN(2)/2))/(LN(2)/2)*DW49*DZ49*VLOOKUP('Données projet'!$B$14,Paramètres!$A$1:$I$89,3,0)*0.475*44/12</f>
        <v>2.2427280016164113E-2</v>
      </c>
      <c r="ED49" s="22">
        <f t="shared" si="18"/>
        <v>23.522077562692154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9.8000000000000007</v>
      </c>
      <c r="EJ49" s="12">
        <f>IF('Données projet'!$A$192&gt;35,EJ48+EI49-ER48,IF(A49&lt;'Données projet'!$A$192,$EG$205^A49,IF(A49='Données projet'!$A$192,'Données projet'!$B$192,EJ48+EI49-ER48)))</f>
        <v>263.7999999999999</v>
      </c>
      <c r="EK49" s="17">
        <f>EJ49*VLOOKUP('Données projet'!$B$15,Paramètres!$A$1:$I$89,3,0)*VLOOKUP('Données projet'!$B$15,Paramètres!$A$1:$I$89,5,0)</f>
        <v>193.41815999999992</v>
      </c>
      <c r="EL49" s="13">
        <f t="shared" si="45"/>
        <v>48.294873490521283</v>
      </c>
      <c r="EM49" s="20">
        <f t="shared" si="19"/>
        <v>420.98353332932442</v>
      </c>
      <c r="EN49" s="59">
        <f t="shared" si="20"/>
        <v>714.31686666265773</v>
      </c>
      <c r="EO49" s="59">
        <f ca="1">AVERAGE(OFFSET($EN$3,0,0,'Données projet'!$E$15+1,1))-AVERAGE(OFFSET($H$3,0,0,'Données projet'!$E$15+1,1))</f>
        <v>296.91321813251051</v>
      </c>
      <c r="EP49" s="59">
        <f t="shared" si="46"/>
        <v>291.0718079639509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9.4300561889351808</v>
      </c>
      <c r="EW49" s="21">
        <f>EXP(-LN(2)/25)*EW48+(1-EXP(-LN(2)/25))/(LN(2)/25)*Calculateur!ER49*Calculateur!ET49*VLOOKUP('Données projet'!$B$15,Paramètres!$A$1:$I$89,3,0)*0.475*44/12</f>
        <v>9.9222257329798982</v>
      </c>
      <c r="EX49" s="21">
        <f>EXP(-LN(2)/2)*EX48+(1-EXP(-LN(2)/2))/(LN(2)/2)*ER49*EU49*VLOOKUP('Données projet'!$B$15,Paramètres!$A$1:$I$89,3,0)*0.475*44/12</f>
        <v>4.2585546001987711E-2</v>
      </c>
      <c r="EY49" s="22">
        <f t="shared" si="21"/>
        <v>19.394867467917067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11</v>
      </c>
      <c r="FE49" s="12">
        <f>IF('Données projet'!$A$218&gt;35,FE48+FD49-FM48,IF(A49&lt;'Données projet'!$A$218,$FB$205^A49,IF(A49='Données projet'!$A$218,'Données projet'!$B$218,FE48+FD49-FM48)))</f>
        <v>187.00000000000003</v>
      </c>
      <c r="FF49" s="17">
        <f>FE49*VLOOKUP('Données projet'!$B$16,Paramètres!$A$1:$I$89,3,0)*VLOOKUP('Données projet'!$B$16,Paramètres!$A$1:$I$89,5,0)</f>
        <v>189.61800000000005</v>
      </c>
      <c r="FG49" s="13">
        <f t="shared" si="47"/>
        <v>47.4554881852685</v>
      </c>
      <c r="FH49" s="20">
        <f t="shared" si="22"/>
        <v>412.90299192267599</v>
      </c>
      <c r="FI49" s="59">
        <f t="shared" si="23"/>
        <v>706.23632525600931</v>
      </c>
      <c r="FJ49" s="59">
        <f ca="1">AVERAGE(OFFSET($FI$3,0,0,'Données projet'!$E$16+1,1))-AVERAGE(OFFSET($H$3,0,0,'Données projet'!$E$16+1,1))</f>
        <v>356.65981389369125</v>
      </c>
      <c r="FK49" s="59">
        <f t="shared" si="48"/>
        <v>231.92898690465887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5.9661835035526547</v>
      </c>
      <c r="FR49" s="21">
        <f>EXP(-LN(2)/25)*FR48+(1-EXP(-LN(2)/25))/(LN(2)/25)*Calculateur!FM49*Calculateur!FO49*VLOOKUP('Données projet'!$B$16,Paramètres!$A$1:$I$89,3,0)*0.475*44/12</f>
        <v>6.7347751657169956</v>
      </c>
      <c r="FS49" s="21">
        <f>EXP(-LN(2)/2)*FS48+(1-EXP(-LN(2)/2))/(LN(2)/2)*FM49*FP49*VLOOKUP('Données projet'!$B$16,Paramètres!$A$1:$I$89,3,0)*0.475*44/12</f>
        <v>3.7362885123043567E-2</v>
      </c>
      <c r="FT49" s="22">
        <f t="shared" si="24"/>
        <v>12.738321554392693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11</v>
      </c>
      <c r="FZ49" s="12">
        <f>IF('Données projet'!$A$244&gt;35,FZ48+FY49-GH48,IF(A49&lt;'Données projet'!$A$244,$FW$205^A49,IF(A49='Données projet'!$A$244,'Données projet'!$B$244,FZ48+FY49-GH48)))</f>
        <v>187.00000000000003</v>
      </c>
      <c r="GA49" s="17">
        <f>FZ49*VLOOKUP('Données projet'!$B$17,Paramètres!$A$1:$I$89,3,0)*VLOOKUP('Données projet'!$B$17,Paramètres!$A$1:$I$89,5,0)</f>
        <v>180.86640000000003</v>
      </c>
      <c r="GB49" s="13">
        <f t="shared" si="49"/>
        <v>45.514890302102152</v>
      </c>
      <c r="GC49" s="20">
        <f t="shared" si="25"/>
        <v>394.28074727616126</v>
      </c>
      <c r="GD49" s="59">
        <f t="shared" si="26"/>
        <v>687.61408060949452</v>
      </c>
      <c r="GE49" s="59">
        <f ca="1">AVERAGE(OFFSET($GD$3,0,0,'Données projet'!$E$17+1,1))-AVERAGE(OFFSET($H$3,0,0,'Données projet'!$E$17+1,1))</f>
        <v>337.76140497227715</v>
      </c>
      <c r="GF49" s="59">
        <f t="shared" si="50"/>
        <v>219.76562717496353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5.6908211880040698</v>
      </c>
      <c r="GM49" s="21">
        <f>EXP(-LN(2)/25)*GM48+(1-EXP(-LN(2)/25))/(LN(2)/25)*Calculateur!GH49*Calculateur!GJ49*VLOOKUP('Données projet'!$B$17,Paramètres!$A$1:$I$89,3,0)*0.475*44/12</f>
        <v>6.4239393888377503</v>
      </c>
      <c r="GN49" s="21">
        <f>EXP(-LN(2)/2)*GN48+(1-EXP(-LN(2)/2))/(LN(2)/2)*GH49*GK49*VLOOKUP('Données projet'!$B$17,Paramètres!$A$1:$I$89,3,0)*0.475*44/12</f>
        <v>3.5638444271210795E-2</v>
      </c>
      <c r="GO49" s="21">
        <f t="shared" si="27"/>
        <v>12.150399021113031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198.00000000000003</v>
      </c>
      <c r="O50" s="13">
        <f>N50*VLOOKUP('Données projet'!$B$9,Paramètres!$A$1:$I$89,3,0)*VLOOKUP('Données projet'!$B$9,Paramètres!$A$1:$I$89,5,0)</f>
        <v>179.15040000000002</v>
      </c>
      <c r="P50" s="13">
        <f t="shared" si="33"/>
        <v>45.133113803437304</v>
      </c>
      <c r="Q50" s="20">
        <f t="shared" si="53"/>
        <v>390.62711987431999</v>
      </c>
      <c r="R50" s="59">
        <f t="shared" si="0"/>
        <v>683.96045320765325</v>
      </c>
      <c r="S50" s="59">
        <f ca="1">AVERAGE(OFFSET($R$3,0,0,'Données projet'!$E$9+1,1))-AVERAGE(OFFSET($H$3,0,0,'Données projet'!$E$9+1,1))</f>
        <v>312.53389584272878</v>
      </c>
      <c r="T50" s="59">
        <f t="shared" si="34"/>
        <v>203.5274665601915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5.2192774842386891</v>
      </c>
      <c r="AA50" s="21">
        <f>EXP(-LN(2)/25)*AA49+(1-EXP(-LN(2)/25))/(LN(2)/25)*Calculateur!V50*Calculateur!X50*VLOOKUP('Données projet'!$B$9,Paramètres!$A$1:$I$89,3,0)*0.475*44/12</f>
        <v>5.845161820143904</v>
      </c>
      <c r="AB50" s="21">
        <f>EXP(-LN(2)/2)*AB49+(1-EXP(-LN(2)/2))/(LN(2)/2)*V50*Y50*VLOOKUP('Données projet'!$B$9,Paramètres!$A$1:$I$89,3,0)*0.475*44/12</f>
        <v>2.3574367188330593E-2</v>
      </c>
      <c r="AC50" s="22">
        <f t="shared" si="3"/>
        <v>11.088013671570923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9.6</v>
      </c>
      <c r="AI50" s="13">
        <f>IF('Données projet'!$A$62&gt;35,AI49+AH50-AQ49,IF(A50&lt;'Données projet'!$A$62,$AF$205^A50,IF(A50='Données projet'!$A$62,'Données projet'!$B$62,AI49+AH50-AQ49)))</f>
        <v>223.2000000000001</v>
      </c>
      <c r="AJ50" s="13">
        <f>AI50*VLOOKUP('Données projet'!$B$10,Paramètres!$A$1:$I$89,3,0)*VLOOKUP('Données projet'!$B$10,Paramètres!$A$1:$I$89,5,0)</f>
        <v>194.98752000000013</v>
      </c>
      <c r="AK50" s="13">
        <f t="shared" si="35"/>
        <v>48.640954330020385</v>
      </c>
      <c r="AL50" s="20">
        <f t="shared" si="4"/>
        <v>424.31959279145235</v>
      </c>
      <c r="AM50" s="59">
        <f t="shared" si="5"/>
        <v>717.65292612478561</v>
      </c>
      <c r="AN50" s="59">
        <f ca="1">AVERAGE(OFFSET($AM$3,0,0,'Données projet'!$E$10+1,1))-AVERAGE(OFFSET($H$3,0,0,'Données projet'!$E$10+1,1))</f>
        <v>243.05628303465238</v>
      </c>
      <c r="AO50" s="59">
        <f t="shared" si="36"/>
        <v>352.47096767658394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5.638046215245712</v>
      </c>
      <c r="AV50" s="21">
        <f>EXP(-LN(2)/25)*AV49+(1-EXP(-LN(2)/25))/(LN(2)/25)*Calculateur!AQ50*Calculateur!AS50*VLOOKUP('Données projet'!$B$10,Paramètres!$A$1:$I$89,3,0)*0.475*44/12</f>
        <v>11.308674377555233</v>
      </c>
      <c r="AW50" s="21">
        <f>EXP(-LN(2)/2)*AW49+(1-EXP(-LN(2)/2))/(LN(2)/2)*AQ50*AT50*VLOOKUP('Données projet'!$B$10,Paramètres!$A$1:$I$89,3,0)*0.475*44/12</f>
        <v>3.1138022178138224E-2</v>
      </c>
      <c r="AX50" s="21">
        <f t="shared" si="6"/>
        <v>16.97785861497908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9.8000000000000007</v>
      </c>
      <c r="BD50" s="12">
        <f>IF('Données projet'!$A$88&gt;35,BD49+BC50-BL49,IF(A50&lt;'Données projet'!$A$88,$BA$205^A50,IF(A50='Données projet'!$A$88,'Données projet'!$B$88,BD49+BC50-BL49)))</f>
        <v>273.59999999999991</v>
      </c>
      <c r="BE50" s="13">
        <f>BD50*VLOOKUP('Données projet'!$B$11,Paramètres!$A$1:$I$89,3,0)*VLOOKUP('Données projet'!$B$11,Paramètres!$A$1:$I$89,5,0)</f>
        <v>217.67615999999992</v>
      </c>
      <c r="BF50" s="13">
        <f t="shared" si="37"/>
        <v>53.609498850196708</v>
      </c>
      <c r="BG50" s="20">
        <f t="shared" si="7"/>
        <v>472.48918916409235</v>
      </c>
      <c r="BH50" s="59">
        <f t="shared" si="8"/>
        <v>765.82252249742567</v>
      </c>
      <c r="BI50" s="59">
        <f ca="1">AVERAGE(OFFSET($BH$3,0,0,'Données projet'!$E$11+1,1))-AVERAGE(OFFSET($H$3,0,0,'Données projet'!$E$11+1,1))</f>
        <v>325.72928944930294</v>
      </c>
      <c r="BJ50" s="59">
        <f t="shared" si="38"/>
        <v>318.38876834819752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12.364972523738272</v>
      </c>
      <c r="BQ50" s="21">
        <f>EXP(-LN(2)/25)*BQ49+(1-EXP(-LN(2)/25))/(LN(2)/25)*Calculateur!BL50*Calculateur!BN50*VLOOKUP('Données projet'!$B$11,Paramètres!$A$1:$I$89,3,0)*0.475*44/12</f>
        <v>12.907663516507387</v>
      </c>
      <c r="BR50" s="21">
        <f>EXP(-LN(2)/2)*BR49+(1-EXP(-LN(2)/2))/(LN(2)/2)*BL50*BO50*VLOOKUP('Données projet'!$B$11,Paramètres!$A$1:$I$89,3,0)*0.475*44/12</f>
        <v>3.2675296729476486E-2</v>
      </c>
      <c r="BS50" s="22">
        <f t="shared" si="9"/>
        <v>25.305311336975134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20.399999999999999</v>
      </c>
      <c r="BY50" s="12">
        <f>IF('Données projet'!$A$114&gt;35,BY49+BX50-CG49,IF(A50&lt;'Données projet'!$A$114,$BV$205^A50,IF(A50='Données projet'!$A$114,'Données projet'!$B$114,BY49+BX50-CG49)))</f>
        <v>662.79999999999961</v>
      </c>
      <c r="BZ50" s="13">
        <f>BY50*VLOOKUP('Données projet'!$B$12,Paramètres!$A$1:$I$89,3,0)*VLOOKUP('Données projet'!$B$12,Paramètres!$A$1:$I$89,5,0)</f>
        <v>370.50519999999983</v>
      </c>
      <c r="CA50" s="13">
        <f t="shared" si="39"/>
        <v>85.770652719303072</v>
      </c>
      <c r="CB50" s="20">
        <f t="shared" si="10"/>
        <v>794.6804434861192</v>
      </c>
      <c r="CC50" s="59">
        <f t="shared" si="11"/>
        <v>1088.0137768194525</v>
      </c>
      <c r="CD50" s="59">
        <f ca="1">AVERAGE(OFFSET($CC$3,0,0,'Données projet'!$E$12+1,1))-AVERAGE(OFFSET($H$3,0,0,'Données projet'!$E$12+1,1))</f>
        <v>475.54809021014017</v>
      </c>
      <c r="CE50" s="59">
        <f t="shared" si="40"/>
        <v>593.51433014569966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5.2427698061274848</v>
      </c>
      <c r="CL50" s="21">
        <f>EXP(-LN(2)/25)*CL49+(1-EXP(-LN(2)/25))/(LN(2)/25)*Calculateur!CG50*Calculateur!CI50*VLOOKUP('Données projet'!$B$12,Paramètres!$A$1:$I$89,3,0)*0.475*44/12</f>
        <v>26.597070228612736</v>
      </c>
      <c r="CM50" s="21">
        <f>EXP(-LN(2)/2)*CM49+(1-EXP(-LN(2)/2))/(LN(2)/2)*CG50*CJ50*VLOOKUP('Données projet'!$B$12,Paramètres!$A$1:$I$89,3,0)*0.475*44/12</f>
        <v>3.9824358227762591E-2</v>
      </c>
      <c r="CN50" s="22">
        <f t="shared" si="12"/>
        <v>31.879664392967982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11.5</v>
      </c>
      <c r="CT50" s="12">
        <f>IF('Données projet'!$A$140&gt;35,CT49+CS50-DB49,IF(A50&lt;'Données projet'!$A$140,$CQ$205^A50,IF(A50='Données projet'!$A$140,'Données projet'!$B$140,CT49+CS50-DB49)))</f>
        <v>253.99999999999989</v>
      </c>
      <c r="CU50" s="17">
        <f>CT50*VLOOKUP('Données projet'!$B$13,Paramètres!$A$1:$I$89,3,0)*VLOOKUP('Données projet'!$B$13,Paramètres!$A$1:$I$89,5,0)</f>
        <v>118.87199999999994</v>
      </c>
      <c r="CV50" s="13">
        <f t="shared" si="41"/>
        <v>31.411767382096219</v>
      </c>
      <c r="CW50" s="20">
        <f t="shared" si="13"/>
        <v>261.74422819048414</v>
      </c>
      <c r="CX50" s="59">
        <f t="shared" si="14"/>
        <v>555.07756152381739</v>
      </c>
      <c r="CY50" s="59">
        <f ca="1">AVERAGE(OFFSET($CX$3,0,0,'Données projet'!$E$13+1,1))-AVERAGE(OFFSET($H$3,0,0,'Données projet'!$E$13+1,1))</f>
        <v>226.0452828290525</v>
      </c>
      <c r="CZ50" s="59">
        <f t="shared" si="42"/>
        <v>179.89696397462069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6.4816849136107137</v>
      </c>
      <c r="DG50" s="21">
        <f>EXP(-LN(2)/25)*DG49+(1-EXP(-LN(2)/25))/(LN(2)/25)*Calculateur!DB50*Calculateur!DD50*VLOOKUP('Données projet'!$B$13,Paramètres!$A$1:$I$89,3,0)*0.475*44/12</f>
        <v>6.9602668435390953</v>
      </c>
      <c r="DH50" s="21">
        <f>EXP(-LN(2)/2)*DH49+(1-EXP(-LN(2)/2))/(LN(2)/2)*DB50*DE50*VLOOKUP('Données projet'!$B$13,Paramètres!$A$1:$I$89,3,0)*0.475*44/12</f>
        <v>3.0502621677358607E-2</v>
      </c>
      <c r="DI50" s="22">
        <f t="shared" si="15"/>
        <v>13.472454378827168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7.25</v>
      </c>
      <c r="DO50" s="12">
        <f>IF('Données projet'!$A$166&gt;35,DO49+DN50-DW49,IF(A50&lt;'Données projet'!$A$166,$DL$205^A50,IF(A50='Données projet'!$A$166,'Données projet'!$B$166,DO49+DN50-DW49)))</f>
        <v>351.25000000000011</v>
      </c>
      <c r="DP50" s="17">
        <f>DO50*VLOOKUP('Données projet'!$B$14,Paramètres!$A$1:$I$89,3,0)*VLOOKUP('Données projet'!$B$14,Paramètres!$A$1:$I$89,5,0)</f>
        <v>210.04750000000007</v>
      </c>
      <c r="DQ50" s="13">
        <f t="shared" si="43"/>
        <v>51.945965506750504</v>
      </c>
      <c r="DR50" s="20">
        <f t="shared" si="16"/>
        <v>456.30528575759053</v>
      </c>
      <c r="DS50" s="59">
        <f t="shared" si="17"/>
        <v>749.63861909092384</v>
      </c>
      <c r="DT50" s="59">
        <f ca="1">AVERAGE(OFFSET($DS$3,0,0,'Données projet'!$E$14+1,1))-AVERAGE(OFFSET($H$3,0,0,'Données projet'!$E$14+1,1))</f>
        <v>252.81045065813976</v>
      </c>
      <c r="DU50" s="59">
        <f t="shared" si="44"/>
        <v>254.36590349790589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12.893485804715354</v>
      </c>
      <c r="EB50" s="21">
        <f>EXP(-LN(2)/25)*EB49+(1-EXP(-LN(2)/25))/(LN(2)/25)*Calculateur!DW50*Calculateur!DY50*VLOOKUP('Données projet'!$B$14,Paramètres!$A$1:$I$89,3,0)*0.475*44/12</f>
        <v>10.065299913799075</v>
      </c>
      <c r="EC50" s="21">
        <f>EXP(-LN(2)/2)*EC49+(1-EXP(-LN(2)/2))/(LN(2)/2)*DW50*DZ50*VLOOKUP('Données projet'!$B$14,Paramètres!$A$1:$I$89,3,0)*0.475*44/12</f>
        <v>1.5858481782999187E-2</v>
      </c>
      <c r="ED50" s="22">
        <f t="shared" si="18"/>
        <v>22.974644200297426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9.8000000000000007</v>
      </c>
      <c r="EJ50" s="12">
        <f>IF('Données projet'!$A$192&gt;35,EJ49+EI50-ER49,IF(A50&lt;'Données projet'!$A$192,$EG$205^A50,IF(A50='Données projet'!$A$192,'Données projet'!$B$192,EJ49+EI50-ER49)))</f>
        <v>273.59999999999991</v>
      </c>
      <c r="EK50" s="17">
        <f>EJ50*VLOOKUP('Données projet'!$B$15,Paramètres!$A$1:$I$89,3,0)*VLOOKUP('Données projet'!$B$15,Paramètres!$A$1:$I$89,5,0)</f>
        <v>200.60351999999995</v>
      </c>
      <c r="EL50" s="13">
        <f t="shared" si="45"/>
        <v>49.87677988675906</v>
      </c>
      <c r="EM50" s="20">
        <f t="shared" si="19"/>
        <v>436.25318896943855</v>
      </c>
      <c r="EN50" s="59">
        <f t="shared" si="20"/>
        <v>729.58652230277187</v>
      </c>
      <c r="EO50" s="59">
        <f ca="1">AVERAGE(OFFSET($EN$3,0,0,'Données projet'!$E$15+1,1))-AVERAGE(OFFSET($H$3,0,0,'Données projet'!$E$15+1,1))</f>
        <v>296.91321813251051</v>
      </c>
      <c r="EP50" s="59">
        <f t="shared" si="46"/>
        <v>291.0718079639509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9.2451385388364979</v>
      </c>
      <c r="EW50" s="21">
        <f>EXP(-LN(2)/25)*EW49+(1-EXP(-LN(2)/25))/(LN(2)/25)*Calculateur!ER50*Calculateur!ET50*VLOOKUP('Données projet'!$B$15,Paramètres!$A$1:$I$89,3,0)*0.475*44/12</f>
        <v>9.650901948524389</v>
      </c>
      <c r="EX50" s="21">
        <f>EXP(-LN(2)/2)*EX49+(1-EXP(-LN(2)/2))/(LN(2)/2)*ER50*EU50*VLOOKUP('Données projet'!$B$15,Paramètres!$A$1:$I$89,3,0)*0.475*44/12</f>
        <v>3.0112528358537179E-2</v>
      </c>
      <c r="EY50" s="22">
        <f t="shared" si="21"/>
        <v>18.926153015719422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11</v>
      </c>
      <c r="FE50" s="12">
        <f>IF('Données projet'!$A$218&gt;35,FE49+FD50-FM49,IF(A50&lt;'Données projet'!$A$218,$FB$205^A50,IF(A50='Données projet'!$A$218,'Données projet'!$B$218,FE49+FD50-FM49)))</f>
        <v>198.00000000000003</v>
      </c>
      <c r="FF50" s="17">
        <f>FE50*VLOOKUP('Données projet'!$B$16,Paramètres!$A$1:$I$89,3,0)*VLOOKUP('Données projet'!$B$16,Paramètres!$A$1:$I$89,5,0)</f>
        <v>200.77200000000002</v>
      </c>
      <c r="FG50" s="13">
        <f t="shared" si="47"/>
        <v>49.913791898945412</v>
      </c>
      <c r="FH50" s="20">
        <f t="shared" si="22"/>
        <v>436.61108755732994</v>
      </c>
      <c r="FI50" s="59">
        <f t="shared" si="23"/>
        <v>729.9444208906632</v>
      </c>
      <c r="FJ50" s="59">
        <f ca="1">AVERAGE(OFFSET($FI$3,0,0,'Données projet'!$E$16+1,1))-AVERAGE(OFFSET($H$3,0,0,'Données projet'!$E$16+1,1))</f>
        <v>356.65981389369125</v>
      </c>
      <c r="FK50" s="59">
        <f t="shared" si="48"/>
        <v>231.92898690465887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5.8491902840606018</v>
      </c>
      <c r="FR50" s="21">
        <f>EXP(-LN(2)/25)*FR49+(1-EXP(-LN(2)/25))/(LN(2)/25)*Calculateur!FM50*Calculateur!FO50*VLOOKUP('Données projet'!$B$16,Paramètres!$A$1:$I$89,3,0)*0.475*44/12</f>
        <v>6.5506123846440314</v>
      </c>
      <c r="FS50" s="21">
        <f>EXP(-LN(2)/2)*FS49+(1-EXP(-LN(2)/2))/(LN(2)/2)*FM50*FP50*VLOOKUP('Données projet'!$B$16,Paramètres!$A$1:$I$89,3,0)*0.475*44/12</f>
        <v>2.6419549435198079E-2</v>
      </c>
      <c r="FT50" s="22">
        <f t="shared" si="24"/>
        <v>12.426222218139833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11</v>
      </c>
      <c r="FZ50" s="12">
        <f>IF('Données projet'!$A$244&gt;35,FZ49+FY50-GH49,IF(A50&lt;'Données projet'!$A$244,$FW$205^A50,IF(A50='Données projet'!$A$244,'Données projet'!$B$244,FZ49+FY50-GH49)))</f>
        <v>198.00000000000003</v>
      </c>
      <c r="GA50" s="17">
        <f>FZ50*VLOOKUP('Données projet'!$B$17,Paramètres!$A$1:$I$89,3,0)*VLOOKUP('Données projet'!$B$17,Paramètres!$A$1:$I$89,5,0)</f>
        <v>191.50560000000004</v>
      </c>
      <c r="GB50" s="13">
        <f t="shared" si="49"/>
        <v>47.872666570685276</v>
      </c>
      <c r="GC50" s="20">
        <f t="shared" si="25"/>
        <v>416.91714761061024</v>
      </c>
      <c r="GD50" s="59">
        <f t="shared" si="26"/>
        <v>710.25048094394356</v>
      </c>
      <c r="GE50" s="59">
        <f ca="1">AVERAGE(OFFSET($GD$3,0,0,'Données projet'!$E$17+1,1))-AVERAGE(OFFSET($H$3,0,0,'Données projet'!$E$17+1,1))</f>
        <v>337.76140497227715</v>
      </c>
      <c r="GF50" s="59">
        <f t="shared" si="50"/>
        <v>219.76562717496353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5.5792276555654965</v>
      </c>
      <c r="GM50" s="21">
        <f>EXP(-LN(2)/25)*GM49+(1-EXP(-LN(2)/25))/(LN(2)/25)*Calculateur!GH50*Calculateur!GJ50*VLOOKUP('Données projet'!$B$17,Paramètres!$A$1:$I$89,3,0)*0.475*44/12</f>
        <v>6.2482764284296914</v>
      </c>
      <c r="GN50" s="21">
        <f>EXP(-LN(2)/2)*GN49+(1-EXP(-LN(2)/2))/(LN(2)/2)*GH50*GK50*VLOOKUP('Données projet'!$B$17,Paramètres!$A$1:$I$89,3,0)*0.475*44/12</f>
        <v>2.520018561511202E-2</v>
      </c>
      <c r="GO50" s="21">
        <f t="shared" si="27"/>
        <v>11.8527042696103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209.00000000000003</v>
      </c>
      <c r="O51" s="13">
        <f>N51*VLOOKUP('Données projet'!$B$9,Paramètres!$A$1:$I$89,3,0)*VLOOKUP('Données projet'!$B$9,Paramètres!$A$1:$I$89,5,0)</f>
        <v>189.10320000000002</v>
      </c>
      <c r="P51" s="13">
        <f t="shared" si="33"/>
        <v>47.34162854278712</v>
      </c>
      <c r="Q51" s="20">
        <f t="shared" si="53"/>
        <v>411.80807637868764</v>
      </c>
      <c r="R51" s="59">
        <f t="shared" si="0"/>
        <v>705.14140971202096</v>
      </c>
      <c r="S51" s="59">
        <f ca="1">AVERAGE(OFFSET($R$3,0,0,'Données projet'!$E$9+1,1))-AVERAGE(OFFSET($H$3,0,0,'Données projet'!$E$9+1,1))</f>
        <v>312.53389584272878</v>
      </c>
      <c r="T51" s="59">
        <f t="shared" si="34"/>
        <v>203.5274665601915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5.1169306362176945</v>
      </c>
      <c r="AA51" s="21">
        <f>EXP(-LN(2)/25)*AA50+(1-EXP(-LN(2)/25))/(LN(2)/25)*Calculateur!V51*Calculateur!X51*VLOOKUP('Données projet'!$B$9,Paramètres!$A$1:$I$89,3,0)*0.475*44/12</f>
        <v>5.6853255627883676</v>
      </c>
      <c r="AB51" s="21">
        <f>EXP(-LN(2)/2)*AB50+(1-EXP(-LN(2)/2))/(LN(2)/2)*V51*Y51*VLOOKUP('Données projet'!$B$9,Paramètres!$A$1:$I$89,3,0)*0.475*44/12</f>
        <v>1.6669594901050206E-2</v>
      </c>
      <c r="AC51" s="22">
        <f t="shared" si="3"/>
        <v>10.818925793907113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9.6</v>
      </c>
      <c r="AI51" s="13">
        <f>IF('Données projet'!$A$62&gt;35,AI50+AH51-AQ50,IF(A51&lt;'Données projet'!$A$62,$AF$205^A51,IF(A51='Données projet'!$A$62,'Données projet'!$B$62,AI50+AH51-AQ50)))</f>
        <v>232.8000000000001</v>
      </c>
      <c r="AJ51" s="13">
        <f>AI51*VLOOKUP('Données projet'!$B$10,Paramètres!$A$1:$I$89,3,0)*VLOOKUP('Données projet'!$B$10,Paramètres!$A$1:$I$89,5,0)</f>
        <v>203.37408000000013</v>
      </c>
      <c r="AK51" s="13">
        <f t="shared" si="35"/>
        <v>50.484964849140624</v>
      </c>
      <c r="AL51" s="20">
        <f t="shared" si="4"/>
        <v>442.1378364455868</v>
      </c>
      <c r="AM51" s="59">
        <f t="shared" si="5"/>
        <v>735.47116977892006</v>
      </c>
      <c r="AN51" s="59">
        <f ca="1">AVERAGE(OFFSET($AM$3,0,0,'Données projet'!$E$10+1,1))-AVERAGE(OFFSET($H$3,0,0,'Données projet'!$E$10+1,1))</f>
        <v>243.05628303465238</v>
      </c>
      <c r="AO51" s="59">
        <f t="shared" si="36"/>
        <v>352.47096767658394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5.5274875678333748</v>
      </c>
      <c r="AV51" s="21">
        <f>EXP(-LN(2)/25)*AV50+(1-EXP(-LN(2)/25))/(LN(2)/25)*Calculateur!AQ51*Calculateur!AS51*VLOOKUP('Données projet'!$B$10,Paramètres!$A$1:$I$89,3,0)*0.475*44/12</f>
        <v>10.999438082003646</v>
      </c>
      <c r="AW51" s="21">
        <f>EXP(-LN(2)/2)*AW50+(1-EXP(-LN(2)/2))/(LN(2)/2)*AQ51*AT51*VLOOKUP('Données projet'!$B$10,Paramètres!$A$1:$I$89,3,0)*0.475*44/12</f>
        <v>2.2017906634898651E-2</v>
      </c>
      <c r="AX51" s="21">
        <f t="shared" si="6"/>
        <v>16.548943556471919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9.8000000000000007</v>
      </c>
      <c r="BD51" s="12">
        <f>IF('Données projet'!$A$88&gt;35,BD50+BC51-BL50,IF(A51&lt;'Données projet'!$A$88,$BA$205^A51,IF(A51='Données projet'!$A$88,'Données projet'!$B$88,BD50+BC51-BL50)))</f>
        <v>283.39999999999992</v>
      </c>
      <c r="BE51" s="13">
        <f>BD51*VLOOKUP('Données projet'!$B$11,Paramètres!$A$1:$I$89,3,0)*VLOOKUP('Données projet'!$B$11,Paramètres!$A$1:$I$89,5,0)</f>
        <v>225.47303999999994</v>
      </c>
      <c r="BF51" s="13">
        <f t="shared" si="37"/>
        <v>55.302717367103824</v>
      </c>
      <c r="BG51" s="20">
        <f t="shared" si="7"/>
        <v>489.0177774143724</v>
      </c>
      <c r="BH51" s="59">
        <f t="shared" si="8"/>
        <v>782.35111074770566</v>
      </c>
      <c r="BI51" s="59">
        <f ca="1">AVERAGE(OFFSET($BH$3,0,0,'Données projet'!$E$11+1,1))-AVERAGE(OFFSET($H$3,0,0,'Données projet'!$E$11+1,1))</f>
        <v>325.72928944930294</v>
      </c>
      <c r="BJ51" s="59">
        <f t="shared" si="38"/>
        <v>318.38876834819752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12.122502954436305</v>
      </c>
      <c r="BQ51" s="21">
        <f>EXP(-LN(2)/25)*BQ50+(1-EXP(-LN(2)/25))/(LN(2)/25)*Calculateur!BL51*Calculateur!BN51*VLOOKUP('Données projet'!$B$11,Paramètres!$A$1:$I$89,3,0)*0.475*44/12</f>
        <v>12.55470277886397</v>
      </c>
      <c r="BR51" s="21">
        <f>EXP(-LN(2)/2)*BR50+(1-EXP(-LN(2)/2))/(LN(2)/2)*BL51*BO51*VLOOKUP('Données projet'!$B$11,Paramètres!$A$1:$I$89,3,0)*0.475*44/12</f>
        <v>2.3104923894695442E-2</v>
      </c>
      <c r="BS51" s="22">
        <f t="shared" si="9"/>
        <v>24.700310657194972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20.399999999999999</v>
      </c>
      <c r="BY51" s="12">
        <f>IF('Données projet'!$A$114&gt;35,BY50+BX51-CG50,IF(A51&lt;'Données projet'!$A$114,$BV$205^A51,IF(A51='Données projet'!$A$114,'Données projet'!$B$114,BY50+BX51-CG50)))</f>
        <v>683.19999999999959</v>
      </c>
      <c r="BZ51" s="13">
        <f>BY51*VLOOKUP('Données projet'!$B$12,Paramètres!$A$1:$I$89,3,0)*VLOOKUP('Données projet'!$B$12,Paramètres!$A$1:$I$89,5,0)</f>
        <v>381.90879999999981</v>
      </c>
      <c r="CA51" s="13">
        <f t="shared" si="39"/>
        <v>88.099131154986978</v>
      </c>
      <c r="CB51" s="20">
        <f t="shared" si="10"/>
        <v>818.59714676160195</v>
      </c>
      <c r="CC51" s="59">
        <f t="shared" si="11"/>
        <v>1111.9304800949353</v>
      </c>
      <c r="CD51" s="59">
        <f ca="1">AVERAGE(OFFSET($CC$3,0,0,'Données projet'!$E$12+1,1))-AVERAGE(OFFSET($H$3,0,0,'Données projet'!$E$12+1,1))</f>
        <v>475.54809021014017</v>
      </c>
      <c r="CE51" s="59">
        <f t="shared" si="40"/>
        <v>593.51433014569966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5.1399622880031526</v>
      </c>
      <c r="CL51" s="21">
        <f>EXP(-LN(2)/25)*CL50+(1-EXP(-LN(2)/25))/(LN(2)/25)*Calculateur!CG51*Calculateur!CI51*VLOOKUP('Données projet'!$B$12,Paramètres!$A$1:$I$89,3,0)*0.475*44/12</f>
        <v>25.869771944532186</v>
      </c>
      <c r="CM51" s="21">
        <f>EXP(-LN(2)/2)*CM50+(1-EXP(-LN(2)/2))/(LN(2)/2)*CG51*CJ51*VLOOKUP('Données projet'!$B$12,Paramètres!$A$1:$I$89,3,0)*0.475*44/12</f>
        <v>2.8160073759253206E-2</v>
      </c>
      <c r="CN51" s="22">
        <f t="shared" si="12"/>
        <v>31.037894306294589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11.5</v>
      </c>
      <c r="CT51" s="12">
        <f>IF('Données projet'!$A$140&gt;35,CT50+CS51-DB50,IF(A51&lt;'Données projet'!$A$140,$CQ$205^A51,IF(A51='Données projet'!$A$140,'Données projet'!$B$140,CT50+CS51-DB50)))</f>
        <v>265.49999999999989</v>
      </c>
      <c r="CU51" s="17">
        <f>CT51*VLOOKUP('Données projet'!$B$13,Paramètres!$A$1:$I$89,3,0)*VLOOKUP('Données projet'!$B$13,Paramètres!$A$1:$I$89,5,0)</f>
        <v>124.25399999999995</v>
      </c>
      <c r="CV51" s="13">
        <f t="shared" si="41"/>
        <v>32.665154397958723</v>
      </c>
      <c r="CW51" s="20">
        <f t="shared" si="13"/>
        <v>273.30086057644468</v>
      </c>
      <c r="CX51" s="59">
        <f t="shared" si="14"/>
        <v>566.63419390977799</v>
      </c>
      <c r="CY51" s="59">
        <f ca="1">AVERAGE(OFFSET($CX$3,0,0,'Données projet'!$E$13+1,1))-AVERAGE(OFFSET($H$3,0,0,'Données projet'!$E$13+1,1))</f>
        <v>226.0452828290525</v>
      </c>
      <c r="CZ51" s="59">
        <f t="shared" si="42"/>
        <v>179.89696397462069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6.3545830258922358</v>
      </c>
      <c r="DG51" s="21">
        <f>EXP(-LN(2)/25)*DG50+(1-EXP(-LN(2)/25))/(LN(2)/25)*Calculateur!DB51*Calculateur!DD51*VLOOKUP('Données projet'!$B$13,Paramètres!$A$1:$I$89,3,0)*0.475*44/12</f>
        <v>6.7699379806779936</v>
      </c>
      <c r="DH51" s="21">
        <f>EXP(-LN(2)/2)*DH50+(1-EXP(-LN(2)/2))/(LN(2)/2)*DB51*DE51*VLOOKUP('Données projet'!$B$13,Paramètres!$A$1:$I$89,3,0)*0.475*44/12</f>
        <v>2.1568610632028057E-2</v>
      </c>
      <c r="DI51" s="22">
        <f t="shared" si="15"/>
        <v>13.146089617202259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7.25</v>
      </c>
      <c r="DO51" s="12">
        <f>IF('Données projet'!$A$166&gt;35,DO50+DN51-DW50,IF(A51&lt;'Données projet'!$A$166,$DL$205^A51,IF(A51='Données projet'!$A$166,'Données projet'!$B$166,DO50+DN51-DW50)))</f>
        <v>358.50000000000011</v>
      </c>
      <c r="DP51" s="17">
        <f>DO51*VLOOKUP('Données projet'!$B$14,Paramètres!$A$1:$I$89,3,0)*VLOOKUP('Données projet'!$B$14,Paramètres!$A$1:$I$89,5,0)</f>
        <v>214.38300000000007</v>
      </c>
      <c r="DQ51" s="13">
        <f t="shared" si="43"/>
        <v>52.892226959987156</v>
      </c>
      <c r="DR51" s="20">
        <f t="shared" si="16"/>
        <v>465.50435362197771</v>
      </c>
      <c r="DS51" s="59">
        <f t="shared" si="17"/>
        <v>758.83768695531103</v>
      </c>
      <c r="DT51" s="59">
        <f ca="1">AVERAGE(OFFSET($DS$3,0,0,'Données projet'!$E$14+1,1))-AVERAGE(OFFSET($H$3,0,0,'Données projet'!$E$14+1,1))</f>
        <v>252.81045065813976</v>
      </c>
      <c r="DU51" s="59">
        <f t="shared" si="44"/>
        <v>254.36590349790589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12.640652412334697</v>
      </c>
      <c r="EB51" s="21">
        <f>EXP(-LN(2)/25)*EB50+(1-EXP(-LN(2)/25))/(LN(2)/25)*Calculateur!DW51*Calculateur!DY51*VLOOKUP('Données projet'!$B$14,Paramètres!$A$1:$I$89,3,0)*0.475*44/12</f>
        <v>9.7900637583451218</v>
      </c>
      <c r="EC51" s="21">
        <f>EXP(-LN(2)/2)*EC50+(1-EXP(-LN(2)/2))/(LN(2)/2)*DW51*DZ51*VLOOKUP('Données projet'!$B$14,Paramètres!$A$1:$I$89,3,0)*0.475*44/12</f>
        <v>1.1213640008082056E-2</v>
      </c>
      <c r="ED51" s="22">
        <f t="shared" si="18"/>
        <v>22.441929810687903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9.8000000000000007</v>
      </c>
      <c r="EJ51" s="12">
        <f>IF('Données projet'!$A$192&gt;35,EJ50+EI51-ER50,IF(A51&lt;'Données projet'!$A$192,$EG$205^A51,IF(A51='Données projet'!$A$192,'Données projet'!$B$192,EJ50+EI51-ER50)))</f>
        <v>283.39999999999992</v>
      </c>
      <c r="EK51" s="17">
        <f>EJ51*VLOOKUP('Données projet'!$B$15,Paramètres!$A$1:$I$89,3,0)*VLOOKUP('Données projet'!$B$15,Paramètres!$A$1:$I$89,5,0)</f>
        <v>207.78887999999992</v>
      </c>
      <c r="EL51" s="13">
        <f t="shared" si="45"/>
        <v>51.452103086551489</v>
      </c>
      <c r="EM51" s="20">
        <f t="shared" si="19"/>
        <v>451.51137887574367</v>
      </c>
      <c r="EN51" s="59">
        <f t="shared" si="20"/>
        <v>744.84471220907699</v>
      </c>
      <c r="EO51" s="59">
        <f ca="1">AVERAGE(OFFSET($EN$3,0,0,'Données projet'!$E$15+1,1))-AVERAGE(OFFSET($H$3,0,0,'Données projet'!$E$15+1,1))</f>
        <v>296.91321813251051</v>
      </c>
      <c r="EP51" s="59">
        <f t="shared" si="46"/>
        <v>291.0718079639509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9.0638470110676206</v>
      </c>
      <c r="EW51" s="21">
        <f>EXP(-LN(2)/25)*EW50+(1-EXP(-LN(2)/25))/(LN(2)/25)*Calculateur!ER51*Calculateur!ET51*VLOOKUP('Données projet'!$B$15,Paramètres!$A$1:$I$89,3,0)*0.475*44/12</f>
        <v>9.3869975272231141</v>
      </c>
      <c r="EX51" s="21">
        <f>EXP(-LN(2)/2)*EX50+(1-EXP(-LN(2)/2))/(LN(2)/2)*ER51*EU51*VLOOKUP('Données projet'!$B$15,Paramètres!$A$1:$I$89,3,0)*0.475*44/12</f>
        <v>2.1292773000993859E-2</v>
      </c>
      <c r="EY51" s="22">
        <f t="shared" si="21"/>
        <v>18.472137311291728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11</v>
      </c>
      <c r="FE51" s="12">
        <f>IF('Données projet'!$A$218&gt;35,FE50+FD51-FM50,IF(A51&lt;'Données projet'!$A$218,$FB$205^A51,IF(A51='Données projet'!$A$218,'Données projet'!$B$218,FE50+FD51-FM50)))</f>
        <v>209.00000000000003</v>
      </c>
      <c r="FF51" s="17">
        <f>FE51*VLOOKUP('Données projet'!$B$16,Paramètres!$A$1:$I$89,3,0)*VLOOKUP('Données projet'!$B$16,Paramètres!$A$1:$I$89,5,0)</f>
        <v>211.92600000000004</v>
      </c>
      <c r="FG51" s="13">
        <f t="shared" si="47"/>
        <v>52.356241262970165</v>
      </c>
      <c r="FH51" s="20">
        <f t="shared" si="22"/>
        <v>460.29157019967312</v>
      </c>
      <c r="FI51" s="59">
        <f t="shared" si="23"/>
        <v>753.62490353300643</v>
      </c>
      <c r="FJ51" s="59">
        <f ca="1">AVERAGE(OFFSET($FI$3,0,0,'Données projet'!$E$16+1,1))-AVERAGE(OFFSET($H$3,0,0,'Données projet'!$E$16+1,1))</f>
        <v>356.65981389369125</v>
      </c>
      <c r="FK51" s="59">
        <f t="shared" si="48"/>
        <v>231.92898690465887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5.7344912302439699</v>
      </c>
      <c r="FR51" s="21">
        <f>EXP(-LN(2)/25)*FR50+(1-EXP(-LN(2)/25))/(LN(2)/25)*Calculateur!FM51*Calculateur!FO51*VLOOKUP('Données projet'!$B$16,Paramètres!$A$1:$I$89,3,0)*0.475*44/12</f>
        <v>6.3714855445042069</v>
      </c>
      <c r="FS51" s="21">
        <f>EXP(-LN(2)/2)*FS50+(1-EXP(-LN(2)/2))/(LN(2)/2)*FM51*FP51*VLOOKUP('Données projet'!$B$16,Paramètres!$A$1:$I$89,3,0)*0.475*44/12</f>
        <v>1.8681442561521783E-2</v>
      </c>
      <c r="FT51" s="22">
        <f t="shared" si="24"/>
        <v>12.124658217309699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11</v>
      </c>
      <c r="FZ51" s="12">
        <f>IF('Données projet'!$A$244&gt;35,FZ50+FY51-GH50,IF(A51&lt;'Données projet'!$A$244,$FW$205^A51,IF(A51='Données projet'!$A$244,'Données projet'!$B$244,FZ50+FY51-GH50)))</f>
        <v>209.00000000000003</v>
      </c>
      <c r="GA51" s="17">
        <f>FZ51*VLOOKUP('Données projet'!$B$17,Paramètres!$A$1:$I$89,3,0)*VLOOKUP('Données projet'!$B$17,Paramètres!$A$1:$I$89,5,0)</f>
        <v>202.14480000000003</v>
      </c>
      <c r="GB51" s="13">
        <f t="shared" si="49"/>
        <v>50.215236821738628</v>
      </c>
      <c r="GC51" s="20">
        <f t="shared" si="25"/>
        <v>439.52706413119489</v>
      </c>
      <c r="GD51" s="59">
        <f t="shared" si="26"/>
        <v>732.86039746452821</v>
      </c>
      <c r="GE51" s="59">
        <f ca="1">AVERAGE(OFFSET($GD$3,0,0,'Données projet'!$E$17+1,1))-AVERAGE(OFFSET($H$3,0,0,'Données projet'!$E$17+1,1))</f>
        <v>337.76140497227715</v>
      </c>
      <c r="GF51" s="59">
        <f t="shared" si="50"/>
        <v>219.76562717496353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5.4698224042327093</v>
      </c>
      <c r="GM51" s="21">
        <f>EXP(-LN(2)/25)*GM50+(1-EXP(-LN(2)/25))/(LN(2)/25)*Calculateur!GH51*Calculateur!GJ51*VLOOKUP('Données projet'!$B$17,Paramètres!$A$1:$I$89,3,0)*0.475*44/12</f>
        <v>6.0774169809117051</v>
      </c>
      <c r="GN51" s="21">
        <f>EXP(-LN(2)/2)*GN50+(1-EXP(-LN(2)/2))/(LN(2)/2)*GH51*GK51*VLOOKUP('Données projet'!$B$17,Paramètres!$A$1:$I$89,3,0)*0.475*44/12</f>
        <v>1.7819222135605398E-2</v>
      </c>
      <c r="GO51" s="21">
        <f t="shared" si="27"/>
        <v>11.565058607280021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220.00000000000003</v>
      </c>
      <c r="O52" s="13">
        <f>N52*VLOOKUP('Données projet'!$B$9,Paramètres!$A$1:$I$89,3,0)*VLOOKUP('Données projet'!$B$9,Paramètres!$A$1:$I$89,5,0)</f>
        <v>199.05600000000001</v>
      </c>
      <c r="P52" s="13">
        <f t="shared" si="33"/>
        <v>49.536648006253934</v>
      </c>
      <c r="Q52" s="20">
        <f t="shared" si="53"/>
        <v>432.96552861089231</v>
      </c>
      <c r="R52" s="59">
        <f t="shared" si="0"/>
        <v>726.29886194422556</v>
      </c>
      <c r="S52" s="59">
        <f ca="1">AVERAGE(OFFSET($R$3,0,0,'Données projet'!$E$9+1,1))-AVERAGE(OFFSET($H$3,0,0,'Données projet'!$E$9+1,1))</f>
        <v>312.53389584272878</v>
      </c>
      <c r="T52" s="59">
        <f t="shared" si="34"/>
        <v>203.5274665601915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5.0165907474609783</v>
      </c>
      <c r="AA52" s="21">
        <f>EXP(-LN(2)/25)*AA51+(1-EXP(-LN(2)/25))/(LN(2)/25)*Calculateur!V52*Calculateur!X52*VLOOKUP('Données projet'!$B$9,Paramètres!$A$1:$I$89,3,0)*0.475*44/12</f>
        <v>5.5298600362956423</v>
      </c>
      <c r="AB52" s="21">
        <f>EXP(-LN(2)/2)*AB51+(1-EXP(-LN(2)/2))/(LN(2)/2)*V52*Y52*VLOOKUP('Données projet'!$B$9,Paramètres!$A$1:$I$89,3,0)*0.475*44/12</f>
        <v>1.1787183594165297E-2</v>
      </c>
      <c r="AC52" s="22">
        <f t="shared" si="3"/>
        <v>10.558237967350786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9.6</v>
      </c>
      <c r="AI52" s="13">
        <f>IF('Données projet'!$A$62&gt;35,AI51+AH52-AQ51,IF(A52&lt;'Données projet'!$A$62,$AF$205^A52,IF(A52='Données projet'!$A$62,'Données projet'!$B$62,AI51+AH52-AQ51)))</f>
        <v>242.40000000000009</v>
      </c>
      <c r="AJ52" s="13">
        <f>AI52*VLOOKUP('Données projet'!$B$10,Paramètres!$A$1:$I$89,3,0)*VLOOKUP('Données projet'!$B$10,Paramètres!$A$1:$I$89,5,0)</f>
        <v>211.76064000000011</v>
      </c>
      <c r="AK52" s="13">
        <f t="shared" si="35"/>
        <v>52.320142683061327</v>
      </c>
      <c r="AL52" s="20">
        <f t="shared" si="4"/>
        <v>459.94069650633202</v>
      </c>
      <c r="AM52" s="59">
        <f t="shared" si="5"/>
        <v>753.27402983966533</v>
      </c>
      <c r="AN52" s="59">
        <f ca="1">AVERAGE(OFFSET($AM$3,0,0,'Données projet'!$E$10+1,1))-AVERAGE(OFFSET($H$3,0,0,'Données projet'!$E$10+1,1))</f>
        <v>243.05628303465238</v>
      </c>
      <c r="AO52" s="59">
        <f t="shared" si="36"/>
        <v>352.47096767658394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5.4190969080626772</v>
      </c>
      <c r="AV52" s="21">
        <f>EXP(-LN(2)/25)*AV51+(1-EXP(-LN(2)/25))/(LN(2)/25)*Calculateur!AQ52*Calculateur!AS52*VLOOKUP('Données projet'!$B$10,Paramètres!$A$1:$I$89,3,0)*0.475*44/12</f>
        <v>10.698657869215948</v>
      </c>
      <c r="AW52" s="21">
        <f>EXP(-LN(2)/2)*AW51+(1-EXP(-LN(2)/2))/(LN(2)/2)*AQ52*AT52*VLOOKUP('Données projet'!$B$10,Paramètres!$A$1:$I$89,3,0)*0.475*44/12</f>
        <v>1.5569011089069114E-2</v>
      </c>
      <c r="AX52" s="21">
        <f t="shared" si="6"/>
        <v>16.133323788367697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9.8000000000000007</v>
      </c>
      <c r="BD52" s="12">
        <f>IF('Données projet'!$A$88&gt;35,BD51+BC52-BL51,IF(A52&lt;'Données projet'!$A$88,$BA$205^A52,IF(A52='Données projet'!$A$88,'Données projet'!$B$88,BD51+BC52-BL51)))</f>
        <v>293.19999999999993</v>
      </c>
      <c r="BE52" s="13">
        <f>BD52*VLOOKUP('Données projet'!$B$11,Paramètres!$A$1:$I$89,3,0)*VLOOKUP('Données projet'!$B$11,Paramètres!$A$1:$I$89,5,0)</f>
        <v>233.26991999999993</v>
      </c>
      <c r="BF52" s="13">
        <f t="shared" si="37"/>
        <v>56.989132736134763</v>
      </c>
      <c r="BG52" s="20">
        <f t="shared" si="7"/>
        <v>505.53451684876785</v>
      </c>
      <c r="BH52" s="59">
        <f t="shared" si="8"/>
        <v>798.86785018210117</v>
      </c>
      <c r="BI52" s="59">
        <f ca="1">AVERAGE(OFFSET($BH$3,0,0,'Données projet'!$E$11+1,1))-AVERAGE(OFFSET($H$3,0,0,'Données projet'!$E$11+1,1))</f>
        <v>325.72928944930294</v>
      </c>
      <c r="BJ52" s="59">
        <f t="shared" si="38"/>
        <v>318.38876834819752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11.884788065496515</v>
      </c>
      <c r="BQ52" s="21">
        <f>EXP(-LN(2)/25)*BQ51+(1-EXP(-LN(2)/25))/(LN(2)/25)*Calculateur!BL52*Calculateur!BN52*VLOOKUP('Données projet'!$B$11,Paramètres!$A$1:$I$89,3,0)*0.475*44/12</f>
        <v>12.21139377115281</v>
      </c>
      <c r="BR52" s="21">
        <f>EXP(-LN(2)/2)*BR51+(1-EXP(-LN(2)/2))/(LN(2)/2)*BL52*BO52*VLOOKUP('Données projet'!$B$11,Paramètres!$A$1:$I$89,3,0)*0.475*44/12</f>
        <v>1.6337648364738243E-2</v>
      </c>
      <c r="BS52" s="22">
        <f t="shared" si="9"/>
        <v>24.112519485014065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20.399999999999999</v>
      </c>
      <c r="BY52" s="12">
        <f>IF('Données projet'!$A$114&gt;35,BY51+BX52-CG51,IF(A52&lt;'Données projet'!$A$114,$BV$205^A52,IF(A52='Données projet'!$A$114,'Données projet'!$B$114,BY51+BX52-CG51)))</f>
        <v>703.59999999999957</v>
      </c>
      <c r="BZ52" s="13">
        <f>BY52*VLOOKUP('Données projet'!$B$12,Paramètres!$A$1:$I$89,3,0)*VLOOKUP('Données projet'!$B$12,Paramètres!$A$1:$I$89,5,0)</f>
        <v>393.3123999999998</v>
      </c>
      <c r="CA52" s="13">
        <f t="shared" si="39"/>
        <v>90.419529407700907</v>
      </c>
      <c r="CB52" s="20">
        <f t="shared" si="10"/>
        <v>842.49977705174535</v>
      </c>
      <c r="CC52" s="59">
        <f t="shared" si="11"/>
        <v>1135.8331103850787</v>
      </c>
      <c r="CD52" s="59">
        <f ca="1">AVERAGE(OFFSET($CC$3,0,0,'Données projet'!$E$12+1,1))-AVERAGE(OFFSET($H$3,0,0,'Données projet'!$E$12+1,1))</f>
        <v>475.54809021014017</v>
      </c>
      <c r="CE52" s="59">
        <f t="shared" si="40"/>
        <v>593.51433014569966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5.0391707626028444</v>
      </c>
      <c r="CL52" s="21">
        <f>EXP(-LN(2)/25)*CL51+(1-EXP(-LN(2)/25))/(LN(2)/25)*Calculateur!CG52*Calculateur!CI52*VLOOKUP('Données projet'!$B$12,Paramètres!$A$1:$I$89,3,0)*0.475*44/12</f>
        <v>25.162361670276773</v>
      </c>
      <c r="CM52" s="21">
        <f>EXP(-LN(2)/2)*CM51+(1-EXP(-LN(2)/2))/(LN(2)/2)*CG52*CJ52*VLOOKUP('Données projet'!$B$12,Paramètres!$A$1:$I$89,3,0)*0.475*44/12</f>
        <v>1.9912179113881295E-2</v>
      </c>
      <c r="CN52" s="22">
        <f t="shared" si="12"/>
        <v>30.221444611993498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11.5</v>
      </c>
      <c r="CT52" s="12">
        <f>IF('Données projet'!$A$140&gt;35,CT51+CS52-DB51,IF(A52&lt;'Données projet'!$A$140,$CQ$205^A52,IF(A52='Données projet'!$A$140,'Données projet'!$B$140,CT51+CS52-DB51)))</f>
        <v>276.99999999999989</v>
      </c>
      <c r="CU52" s="17">
        <f>CT52*VLOOKUP('Données projet'!$B$13,Paramètres!$A$1:$I$89,3,0)*VLOOKUP('Données projet'!$B$13,Paramètres!$A$1:$I$89,5,0)</f>
        <v>129.63599999999994</v>
      </c>
      <c r="CV52" s="13">
        <f t="shared" si="41"/>
        <v>33.912235898830978</v>
      </c>
      <c r="CW52" s="20">
        <f t="shared" si="13"/>
        <v>284.84651085713051</v>
      </c>
      <c r="CX52" s="59">
        <f t="shared" si="14"/>
        <v>578.17984419046388</v>
      </c>
      <c r="CY52" s="59">
        <f ca="1">AVERAGE(OFFSET($CX$3,0,0,'Données projet'!$E$13+1,1))-AVERAGE(OFFSET($H$3,0,0,'Données projet'!$E$13+1,1))</f>
        <v>226.0452828290525</v>
      </c>
      <c r="CZ52" s="59">
        <f t="shared" si="42"/>
        <v>179.89696397462069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6.2299735286674203</v>
      </c>
      <c r="DG52" s="21">
        <f>EXP(-LN(2)/25)*DG51+(1-EXP(-LN(2)/25))/(LN(2)/25)*Calculateur!DB52*Calculateur!DD52*VLOOKUP('Données projet'!$B$13,Paramètres!$A$1:$I$89,3,0)*0.475*44/12</f>
        <v>6.5848136705807887</v>
      </c>
      <c r="DH52" s="21">
        <f>EXP(-LN(2)/2)*DH51+(1-EXP(-LN(2)/2))/(LN(2)/2)*DB52*DE52*VLOOKUP('Données projet'!$B$13,Paramètres!$A$1:$I$89,3,0)*0.475*44/12</f>
        <v>1.5251310838679307E-2</v>
      </c>
      <c r="DI52" s="22">
        <f t="shared" si="15"/>
        <v>12.830038510086887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7.25</v>
      </c>
      <c r="DO52" s="12">
        <f>IF('Données projet'!$A$166&gt;35,DO51+DN52-DW51,IF(A52&lt;'Données projet'!$A$166,$DL$205^A52,IF(A52='Données projet'!$A$166,'Données projet'!$B$166,DO51+DN52-DW51)))</f>
        <v>365.75000000000011</v>
      </c>
      <c r="DP52" s="17">
        <f>DO52*VLOOKUP('Données projet'!$B$14,Paramètres!$A$1:$I$89,3,0)*VLOOKUP('Données projet'!$B$14,Paramètres!$A$1:$I$89,5,0)</f>
        <v>218.71850000000009</v>
      </c>
      <c r="DQ52" s="13">
        <f t="shared" si="43"/>
        <v>53.836263396856587</v>
      </c>
      <c r="DR52" s="20">
        <f t="shared" si="16"/>
        <v>474.69954624952533</v>
      </c>
      <c r="DS52" s="59">
        <f t="shared" si="17"/>
        <v>768.03287958285864</v>
      </c>
      <c r="DT52" s="59">
        <f ca="1">AVERAGE(OFFSET($DS$3,0,0,'Données projet'!$E$14+1,1))-AVERAGE(OFFSET($H$3,0,0,'Données projet'!$E$14+1,1))</f>
        <v>252.81045065813976</v>
      </c>
      <c r="DU52" s="59">
        <f t="shared" si="44"/>
        <v>254.36590349790589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12.392776928565482</v>
      </c>
      <c r="EB52" s="21">
        <f>EXP(-LN(2)/25)*EB51+(1-EXP(-LN(2)/25))/(LN(2)/25)*Calculateur!DW52*Calculateur!DY52*VLOOKUP('Données projet'!$B$14,Paramètres!$A$1:$I$89,3,0)*0.475*44/12</f>
        <v>9.5223539500360967</v>
      </c>
      <c r="EC52" s="21">
        <f>EXP(-LN(2)/2)*EC51+(1-EXP(-LN(2)/2))/(LN(2)/2)*DW52*DZ52*VLOOKUP('Données projet'!$B$14,Paramètres!$A$1:$I$89,3,0)*0.475*44/12</f>
        <v>7.9292408914995935E-3</v>
      </c>
      <c r="ED52" s="22">
        <f t="shared" si="18"/>
        <v>21.92306011949308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9.8000000000000007</v>
      </c>
      <c r="EJ52" s="12">
        <f>IF('Données projet'!$A$192&gt;35,EJ51+EI52-ER51,IF(A52&lt;'Données projet'!$A$192,$EG$205^A52,IF(A52='Données projet'!$A$192,'Données projet'!$B$192,EJ51+EI52-ER51)))</f>
        <v>293.19999999999993</v>
      </c>
      <c r="EK52" s="17">
        <f>EJ52*VLOOKUP('Données projet'!$B$15,Paramètres!$A$1:$I$89,3,0)*VLOOKUP('Données projet'!$B$15,Paramètres!$A$1:$I$89,5,0)</f>
        <v>214.97423999999995</v>
      </c>
      <c r="EL52" s="13">
        <f t="shared" si="45"/>
        <v>53.021096827639134</v>
      </c>
      <c r="EM52" s="20">
        <f t="shared" si="19"/>
        <v>466.75854497480481</v>
      </c>
      <c r="EN52" s="59">
        <f t="shared" si="20"/>
        <v>760.09187830813812</v>
      </c>
      <c r="EO52" s="59">
        <f ca="1">AVERAGE(OFFSET($EN$3,0,0,'Données projet'!$E$15+1,1))-AVERAGE(OFFSET($H$3,0,0,'Données projet'!$E$15+1,1))</f>
        <v>296.91321813251051</v>
      </c>
      <c r="EP52" s="59">
        <f t="shared" si="46"/>
        <v>291.0718079639509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8.8861104995813776</v>
      </c>
      <c r="EW52" s="21">
        <f>EXP(-LN(2)/25)*EW51+(1-EXP(-LN(2)/25))/(LN(2)/25)*Calculateur!ER52*Calculateur!ET52*VLOOKUP('Données projet'!$B$15,Paramètres!$A$1:$I$89,3,0)*0.475*44/12</f>
        <v>9.1303095862004522</v>
      </c>
      <c r="EX52" s="21">
        <f>EXP(-LN(2)/2)*EX51+(1-EXP(-LN(2)/2))/(LN(2)/2)*ER52*EU52*VLOOKUP('Données projet'!$B$15,Paramètres!$A$1:$I$89,3,0)*0.475*44/12</f>
        <v>1.5056264179268593E-2</v>
      </c>
      <c r="EY52" s="22">
        <f t="shared" si="21"/>
        <v>18.0314763499611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11</v>
      </c>
      <c r="FE52" s="12">
        <f>IF('Données projet'!$A$218&gt;35,FE51+FD52-FM51,IF(A52&lt;'Données projet'!$A$218,$FB$205^A52,IF(A52='Données projet'!$A$218,'Données projet'!$B$218,FE51+FD52-FM51)))</f>
        <v>220.00000000000003</v>
      </c>
      <c r="FF52" s="17">
        <f>FE52*VLOOKUP('Données projet'!$B$16,Paramètres!$A$1:$I$89,3,0)*VLOOKUP('Données projet'!$B$16,Paramètres!$A$1:$I$89,5,0)</f>
        <v>223.08000000000004</v>
      </c>
      <c r="FG52" s="13">
        <f t="shared" si="47"/>
        <v>54.783765878062667</v>
      </c>
      <c r="FH52" s="20">
        <f t="shared" si="22"/>
        <v>483.94605890429256</v>
      </c>
      <c r="FI52" s="59">
        <f t="shared" si="23"/>
        <v>777.27939223762587</v>
      </c>
      <c r="FJ52" s="59">
        <f ca="1">AVERAGE(OFFSET($FI$3,0,0,'Données projet'!$E$16+1,1))-AVERAGE(OFFSET($H$3,0,0,'Données projet'!$E$16+1,1))</f>
        <v>356.65981389369125</v>
      </c>
      <c r="FK52" s="59">
        <f t="shared" si="48"/>
        <v>231.92898690465887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5.6220413549131676</v>
      </c>
      <c r="FR52" s="21">
        <f>EXP(-LN(2)/25)*FR51+(1-EXP(-LN(2)/25))/(LN(2)/25)*Calculateur!FM52*Calculateur!FO52*VLOOKUP('Données projet'!$B$16,Paramètres!$A$1:$I$89,3,0)*0.475*44/12</f>
        <v>6.197256937227877</v>
      </c>
      <c r="FS52" s="21">
        <f>EXP(-LN(2)/2)*FS51+(1-EXP(-LN(2)/2))/(LN(2)/2)*FM52*FP52*VLOOKUP('Données projet'!$B$16,Paramètres!$A$1:$I$89,3,0)*0.475*44/12</f>
        <v>1.320977471759904E-2</v>
      </c>
      <c r="FT52" s="22">
        <f t="shared" si="24"/>
        <v>11.832508066858644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11</v>
      </c>
      <c r="FZ52" s="12">
        <f>IF('Données projet'!$A$244&gt;35,FZ51+FY52-GH51,IF(A52&lt;'Données projet'!$A$244,$FW$205^A52,IF(A52='Données projet'!$A$244,'Données projet'!$B$244,FZ51+FY52-GH51)))</f>
        <v>220.00000000000003</v>
      </c>
      <c r="GA52" s="17">
        <f>FZ52*VLOOKUP('Données projet'!$B$17,Paramètres!$A$1:$I$89,3,0)*VLOOKUP('Données projet'!$B$17,Paramètres!$A$1:$I$89,5,0)</f>
        <v>212.78400000000002</v>
      </c>
      <c r="GB52" s="13">
        <f t="shared" si="49"/>
        <v>52.543492641808065</v>
      </c>
      <c r="GC52" s="20">
        <f t="shared" si="25"/>
        <v>462.11204968448237</v>
      </c>
      <c r="GD52" s="59">
        <f t="shared" si="26"/>
        <v>755.44538301781563</v>
      </c>
      <c r="GE52" s="59">
        <f ca="1">AVERAGE(OFFSET($GD$3,0,0,'Données projet'!$E$17+1,1))-AVERAGE(OFFSET($H$3,0,0,'Données projet'!$E$17+1,1))</f>
        <v>337.76140497227715</v>
      </c>
      <c r="GF52" s="59">
        <f t="shared" si="50"/>
        <v>219.76562717496353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5.3625625231479441</v>
      </c>
      <c r="GM52" s="21">
        <f>EXP(-LN(2)/25)*GM51+(1-EXP(-LN(2)/25))/(LN(2)/25)*Calculateur!GH52*Calculateur!GJ52*VLOOKUP('Données projet'!$B$17,Paramètres!$A$1:$I$89,3,0)*0.475*44/12</f>
        <v>5.9112296939712055</v>
      </c>
      <c r="GN52" s="21">
        <f>EXP(-LN(2)/2)*GN51+(1-EXP(-LN(2)/2))/(LN(2)/2)*GH52*GK52*VLOOKUP('Données projet'!$B$17,Paramètres!$A$1:$I$89,3,0)*0.475*44/12</f>
        <v>1.260009280755601E-2</v>
      </c>
      <c r="GO52" s="21">
        <f t="shared" si="27"/>
        <v>11.286392309926706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231.00000000000003</v>
      </c>
      <c r="O53" s="13">
        <f>N53*VLOOKUP('Données projet'!$B$9,Paramètres!$A$1:$I$89,3,0)*VLOOKUP('Données projet'!$B$9,Paramètres!$A$1:$I$89,5,0)</f>
        <v>209.00880000000004</v>
      </c>
      <c r="P53" s="13">
        <f t="shared" si="33"/>
        <v>51.718923953824252</v>
      </c>
      <c r="Q53" s="20">
        <f t="shared" si="53"/>
        <v>454.10078588624395</v>
      </c>
      <c r="R53" s="59">
        <f t="shared" si="0"/>
        <v>747.43411921957727</v>
      </c>
      <c r="S53" s="59">
        <f ca="1">AVERAGE(OFFSET($R$3,0,0,'Données projet'!$E$9+1,1))-AVERAGE(OFFSET($H$3,0,0,'Données projet'!$E$9+1,1))</f>
        <v>312.53389584272878</v>
      </c>
      <c r="T53" s="59">
        <f t="shared" si="34"/>
        <v>203.5274665601915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4.9182184627214927</v>
      </c>
      <c r="AA53" s="21">
        <f>EXP(-LN(2)/25)*AA52+(1-EXP(-LN(2)/25))/(LN(2)/25)*Calculateur!V53*Calculateur!X53*VLOOKUP('Données projet'!$B$9,Paramètres!$A$1:$I$89,3,0)*0.475*44/12</f>
        <v>5.378645722800437</v>
      </c>
      <c r="AB53" s="21">
        <f>EXP(-LN(2)/2)*AB52+(1-EXP(-LN(2)/2))/(LN(2)/2)*V53*Y53*VLOOKUP('Données projet'!$B$9,Paramètres!$A$1:$I$89,3,0)*0.475*44/12</f>
        <v>8.334797450525103E-3</v>
      </c>
      <c r="AC53" s="22">
        <f t="shared" si="3"/>
        <v>10.305198982972454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252</v>
      </c>
      <c r="AG53" s="12">
        <f>VLOOKUP(A53,'Données projet'!$A$61:$I$81,9,0)</f>
        <v>9.6</v>
      </c>
      <c r="AH53" s="12">
        <f t="array" ref="AH53">INDEX(AG:AG,MIN(IF(ISNUMBER(AG53:AG249),ROW(AG53:AG249),"")))</f>
        <v>9.6</v>
      </c>
      <c r="AI53" s="13">
        <f>IF('Données projet'!$A$62&gt;35,AI52+AH53-AQ52,IF(A53&lt;'Données projet'!$A$62,$AF$205^A53,IF(A53='Données projet'!$A$62,'Données projet'!$B$62,AI52+AH53-AQ52)))</f>
        <v>252.00000000000009</v>
      </c>
      <c r="AJ53" s="13">
        <f>AI53*VLOOKUP('Données projet'!$B$10,Paramètres!$A$1:$I$89,3,0)*VLOOKUP('Données projet'!$B$10,Paramètres!$A$1:$I$89,5,0)</f>
        <v>220.14720000000011</v>
      </c>
      <c r="AK53" s="13">
        <f t="shared" si="35"/>
        <v>54.146877667769687</v>
      </c>
      <c r="AL53" s="20">
        <f t="shared" si="4"/>
        <v>477.72885193803239</v>
      </c>
      <c r="AM53" s="59">
        <f t="shared" si="5"/>
        <v>771.06218527136571</v>
      </c>
      <c r="AN53" s="59">
        <f ca="1">AVERAGE(OFFSET($AM$3,0,0,'Données projet'!$E$10+1,1))-AVERAGE(OFFSET($H$3,0,0,'Données projet'!$E$10+1,1))</f>
        <v>243.05628303465238</v>
      </c>
      <c r="AO53" s="59">
        <f t="shared" si="36"/>
        <v>352.47096767658394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37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5.3128317230183084</v>
      </c>
      <c r="AV53" s="21">
        <f>EXP(-LN(2)/25)*AV52+(1-EXP(-LN(2)/25))/(LN(2)/25)*Calculateur!AQ53*Calculateur!AS53*VLOOKUP('Données projet'!$B$10,Paramètres!$A$1:$I$89,3,0)*0.475*44/12</f>
        <v>10.406102507164272</v>
      </c>
      <c r="AW53" s="21">
        <f>EXP(-LN(2)/2)*AW52+(1-EXP(-LN(2)/2))/(LN(2)/2)*AQ53*AT53*VLOOKUP('Données projet'!$B$10,Paramètres!$A$1:$I$89,3,0)*0.475*44/12</f>
        <v>1.1008953317449327E-2</v>
      </c>
      <c r="AX53" s="21">
        <f t="shared" si="6"/>
        <v>15.729943183500028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303</v>
      </c>
      <c r="BB53" s="12">
        <f>VLOOKUP(A53,'Données projet'!$A$87:$I$107,9,0)</f>
        <v>9.8000000000000007</v>
      </c>
      <c r="BC53" s="12">
        <f t="array" ref="BC53">INDEX(BB:BB,MIN(IF(ISNUMBER(BB53:BB249),ROW(BB53:BB249),"")))</f>
        <v>9.8000000000000007</v>
      </c>
      <c r="BD53" s="12">
        <f>IF('Données projet'!$A$88&gt;35,BD52+BC53-BL52,IF(A53&lt;'Données projet'!$A$88,$BA$205^A53,IF(A53='Données projet'!$A$88,'Données projet'!$B$88,BD52+BC53-BL52)))</f>
        <v>302.99999999999994</v>
      </c>
      <c r="BE53" s="13">
        <f>BD53*VLOOKUP('Données projet'!$B$11,Paramètres!$A$1:$I$89,3,0)*VLOOKUP('Données projet'!$B$11,Paramètres!$A$1:$I$89,5,0)</f>
        <v>241.06679999999997</v>
      </c>
      <c r="BF53" s="13">
        <f t="shared" si="37"/>
        <v>58.668998418543559</v>
      </c>
      <c r="BG53" s="20">
        <f t="shared" si="7"/>
        <v>522.03984891229663</v>
      </c>
      <c r="BH53" s="59">
        <f t="shared" si="8"/>
        <v>815.37318224563001</v>
      </c>
      <c r="BI53" s="59">
        <f ca="1">AVERAGE(OFFSET($BH$3,0,0,'Données projet'!$E$11+1,1))-AVERAGE(OFFSET($H$3,0,0,'Données projet'!$E$11+1,1))</f>
        <v>325.72928944930294</v>
      </c>
      <c r="BJ53" s="59">
        <f t="shared" si="38"/>
        <v>318.38876834819752</v>
      </c>
      <c r="BK53" s="15">
        <f>IF(ISNA(VLOOKUP(A53,'Données projet'!$A$87:$I$107,3,0)),0,VLOOKUP(A53,'Données projet'!$A$87:$I$107,3,0))</f>
        <v>9</v>
      </c>
      <c r="BL53" s="15">
        <f>IF(ISNA(VLOOKUP(A53,'Données projet'!$A$87:$I$107,4,0)),0,VLOOKUP(A53,'Données projet'!$A$87:$I$107,4,0))</f>
        <v>21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11.651734620537068</v>
      </c>
      <c r="BQ53" s="21">
        <f>EXP(-LN(2)/25)*BQ52+(1-EXP(-LN(2)/25))/(LN(2)/25)*Calculateur!BL53*Calculateur!BN53*VLOOKUP('Données projet'!$B$11,Paramètres!$A$1:$I$89,3,0)*0.475*44/12</f>
        <v>11.877472566311347</v>
      </c>
      <c r="BR53" s="21">
        <f>EXP(-LN(2)/2)*BR52+(1-EXP(-LN(2)/2))/(LN(2)/2)*BL53*BO53*VLOOKUP('Données projet'!$B$11,Paramètres!$A$1:$I$89,3,0)*0.475*44/12</f>
        <v>1.1552461947347721E-2</v>
      </c>
      <c r="BS53" s="22">
        <f t="shared" si="9"/>
        <v>23.540759648795763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724</v>
      </c>
      <c r="BW53" s="12">
        <f>VLOOKUP(A53,'Données projet'!$A$113:$I$133,9,0)</f>
        <v>20.399999999999999</v>
      </c>
      <c r="BX53" s="12">
        <f t="array" ref="BX53">INDEX(BW:BW,MIN(IF(ISNUMBER(BW53:BW249),ROW(BW53:BW249),"")))</f>
        <v>20.399999999999999</v>
      </c>
      <c r="BY53" s="12">
        <f>IF('Données projet'!$A$114&gt;35,BY52+BX53-CG52,IF(A53&lt;'Données projet'!$A$114,$BV$205^A53,IF(A53='Données projet'!$A$114,'Données projet'!$B$114,BY52+BX53-CG52)))</f>
        <v>723.99999999999955</v>
      </c>
      <c r="BZ53" s="13">
        <f>BY53*VLOOKUP('Données projet'!$B$12,Paramètres!$A$1:$I$89,3,0)*VLOOKUP('Données projet'!$B$12,Paramètres!$A$1:$I$89,5,0)</f>
        <v>404.71599999999978</v>
      </c>
      <c r="CA53" s="13">
        <f t="shared" si="39"/>
        <v>92.732108655131142</v>
      </c>
      <c r="CB53" s="20">
        <f t="shared" si="10"/>
        <v>866.38878924101971</v>
      </c>
      <c r="CC53" s="59">
        <f t="shared" si="11"/>
        <v>1159.7221225743531</v>
      </c>
      <c r="CD53" s="59">
        <f ca="1">AVERAGE(OFFSET($CC$3,0,0,'Données projet'!$E$12+1,1))-AVERAGE(OFFSET($H$3,0,0,'Données projet'!$E$12+1,1))</f>
        <v>475.54809021014017</v>
      </c>
      <c r="CE53" s="59">
        <f t="shared" si="40"/>
        <v>593.51433014569966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62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4.9403556975388758</v>
      </c>
      <c r="CL53" s="21">
        <f>EXP(-LN(2)/25)*CL52+(1-EXP(-LN(2)/25))/(LN(2)/25)*Calculateur!CG53*Calculateur!CI53*VLOOKUP('Données projet'!$B$12,Paramètres!$A$1:$I$89,3,0)*0.475*44/12</f>
        <v>24.474295567171964</v>
      </c>
      <c r="CM53" s="21">
        <f>EXP(-LN(2)/2)*CM52+(1-EXP(-LN(2)/2))/(LN(2)/2)*CG53*CJ53*VLOOKUP('Données projet'!$B$12,Paramètres!$A$1:$I$89,3,0)*0.475*44/12</f>
        <v>1.4080036879626603E-2</v>
      </c>
      <c r="CN53" s="22">
        <f t="shared" si="12"/>
        <v>29.428731301590467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288.5</v>
      </c>
      <c r="CR53" s="12">
        <f>VLOOKUP(A53,'Données projet'!$A$139:$I$159,9,0)</f>
        <v>11.5</v>
      </c>
      <c r="CS53" s="12">
        <f t="array" ref="CS53">INDEX(CR:CR,MIN(IF(ISNUMBER(CR53:CR249),ROW(CR53:CR249),"")))</f>
        <v>11.5</v>
      </c>
      <c r="CT53" s="12">
        <f>IF('Données projet'!$A$140&gt;35,CT52+CS53-DB52,IF(A53&lt;'Données projet'!$A$140,$CQ$205^A53,IF(A53='Données projet'!$A$140,'Données projet'!$B$140,CT52+CS53-DB52)))</f>
        <v>288.49999999999989</v>
      </c>
      <c r="CU53" s="17">
        <f>CT53*VLOOKUP('Données projet'!$B$13,Paramètres!$A$1:$I$89,3,0)*VLOOKUP('Données projet'!$B$13,Paramètres!$A$1:$I$89,5,0)</f>
        <v>135.01799999999994</v>
      </c>
      <c r="CV53" s="13">
        <f t="shared" si="41"/>
        <v>35.153303603250578</v>
      </c>
      <c r="CW53" s="20">
        <f t="shared" si="13"/>
        <v>296.38168710899464</v>
      </c>
      <c r="CX53" s="59">
        <f t="shared" si="14"/>
        <v>589.71502044232795</v>
      </c>
      <c r="CY53" s="59">
        <f ca="1">AVERAGE(OFFSET($CX$3,0,0,'Données projet'!$E$13+1,1))-AVERAGE(OFFSET($H$3,0,0,'Données projet'!$E$13+1,1))</f>
        <v>226.0452828290525</v>
      </c>
      <c r="CZ53" s="59">
        <f t="shared" si="42"/>
        <v>179.89696397462069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75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6.1078075476788944</v>
      </c>
      <c r="DG53" s="21">
        <f>EXP(-LN(2)/25)*DG52+(1-EXP(-LN(2)/25))/(LN(2)/25)*Calculateur!DB53*Calculateur!DD53*VLOOKUP('Données projet'!$B$13,Paramètres!$A$1:$I$89,3,0)*0.475*44/12</f>
        <v>6.4047515944784559</v>
      </c>
      <c r="DH53" s="21">
        <f>EXP(-LN(2)/2)*DH52+(1-EXP(-LN(2)/2))/(LN(2)/2)*DB53*DE53*VLOOKUP('Données projet'!$B$13,Paramètres!$A$1:$I$89,3,0)*0.475*44/12</f>
        <v>1.078430531601403E-2</v>
      </c>
      <c r="DI53" s="22">
        <f t="shared" si="15"/>
        <v>12.523343447473364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7.25</v>
      </c>
      <c r="DO53" s="12">
        <f>IF('Données projet'!$A$166&gt;35,DO52+DN53-DW52,IF(A53&lt;'Données projet'!$A$166,$DL$205^A53,IF(A53='Données projet'!$A$166,'Données projet'!$B$166,DO52+DN53-DW52)))</f>
        <v>373.00000000000011</v>
      </c>
      <c r="DP53" s="17">
        <f>DO53*VLOOKUP('Données projet'!$B$14,Paramètres!$A$1:$I$89,3,0)*VLOOKUP('Données projet'!$B$14,Paramètres!$A$1:$I$89,5,0)</f>
        <v>223.05400000000009</v>
      </c>
      <c r="DQ53" s="13">
        <f t="shared" si="43"/>
        <v>54.778124005813382</v>
      </c>
      <c r="DR53" s="20">
        <f t="shared" si="16"/>
        <v>483.89094931012505</v>
      </c>
      <c r="DS53" s="59">
        <f t="shared" si="17"/>
        <v>777.22428264345831</v>
      </c>
      <c r="DT53" s="59">
        <f ca="1">AVERAGE(OFFSET($DS$3,0,0,'Données projet'!$E$14+1,1))-AVERAGE(OFFSET($H$3,0,0,'Données projet'!$E$14+1,1))</f>
        <v>252.81045065813976</v>
      </c>
      <c r="DU53" s="59">
        <f t="shared" si="44"/>
        <v>254.36590349790589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12.149762131843865</v>
      </c>
      <c r="EB53" s="21">
        <f>EXP(-LN(2)/25)*EB52+(1-EXP(-LN(2)/25))/(LN(2)/25)*Calculateur!DW53*Calculateur!DY53*VLOOKUP('Données projet'!$B$14,Paramètres!$A$1:$I$89,3,0)*0.475*44/12</f>
        <v>9.2619646805135289</v>
      </c>
      <c r="EC53" s="21">
        <f>EXP(-LN(2)/2)*EC52+(1-EXP(-LN(2)/2))/(LN(2)/2)*DW53*DZ53*VLOOKUP('Données projet'!$B$14,Paramètres!$A$1:$I$89,3,0)*0.475*44/12</f>
        <v>5.6068200040410281E-3</v>
      </c>
      <c r="ED53" s="22">
        <f t="shared" si="18"/>
        <v>21.417333632361434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303</v>
      </c>
      <c r="EH53" s="12">
        <f>VLOOKUP(A53,'Données projet'!$A$191:$I$211,9,0)</f>
        <v>9.8000000000000007</v>
      </c>
      <c r="EI53" s="12">
        <f t="array" ref="EI53">INDEX(EH:EH,MIN(IF(ISNUMBER(EH53:EH249),ROW(EH53:EH249),"")))</f>
        <v>9.8000000000000007</v>
      </c>
      <c r="EJ53" s="12">
        <f>IF('Données projet'!$A$192&gt;35,EJ52+EI53-ER52,IF(A53&lt;'Données projet'!$A$192,$EG$205^A53,IF(A53='Données projet'!$A$192,'Données projet'!$B$192,EJ52+EI53-ER52)))</f>
        <v>302.99999999999994</v>
      </c>
      <c r="EK53" s="17">
        <f>EJ53*VLOOKUP('Données projet'!$B$15,Paramètres!$A$1:$I$89,3,0)*VLOOKUP('Données projet'!$B$15,Paramètres!$A$1:$I$89,5,0)</f>
        <v>222.15959999999995</v>
      </c>
      <c r="EL53" s="13">
        <f t="shared" si="45"/>
        <v>54.583996923291004</v>
      </c>
      <c r="EM53" s="20">
        <f t="shared" si="19"/>
        <v>481.99509797473166</v>
      </c>
      <c r="EN53" s="59">
        <f t="shared" si="20"/>
        <v>775.32843130806498</v>
      </c>
      <c r="EO53" s="59">
        <f ca="1">AVERAGE(OFFSET($EN$3,0,0,'Données projet'!$E$15+1,1))-AVERAGE(OFFSET($H$3,0,0,'Données projet'!$E$15+1,1))</f>
        <v>296.91321813251051</v>
      </c>
      <c r="EP53" s="59">
        <f t="shared" si="46"/>
        <v>291.0718079639509</v>
      </c>
      <c r="EQ53" s="15">
        <f>IF(ISNA(VLOOKUP(A53,'Données projet'!$A$191:$I$211,3,0)),0,VLOOKUP(A53,'Données projet'!$A$191:$I$211,3,0))</f>
        <v>9</v>
      </c>
      <c r="ER53" s="15">
        <f>IF(ISNA(VLOOKUP(A53,'Données projet'!$A$191:$I$211,4,0)),0,VLOOKUP(A53,'Données projet'!$A$191:$I$211,4,0))</f>
        <v>21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8.7118592926768113</v>
      </c>
      <c r="EW53" s="21">
        <f>EXP(-LN(2)/25)*EW52+(1-EXP(-LN(2)/25))/(LN(2)/25)*Calculateur!ER53*Calculateur!ET53*VLOOKUP('Données projet'!$B$15,Paramètres!$A$1:$I$89,3,0)*0.475*44/12</f>
        <v>8.880640790423687</v>
      </c>
      <c r="EX53" s="21">
        <f>EXP(-LN(2)/2)*EX52+(1-EXP(-LN(2)/2))/(LN(2)/2)*ER53*EU53*VLOOKUP('Données projet'!$B$15,Paramètres!$A$1:$I$89,3,0)*0.475*44/12</f>
        <v>1.0646386500496931E-2</v>
      </c>
      <c r="EY53" s="22">
        <f t="shared" si="21"/>
        <v>17.603146469600993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231</v>
      </c>
      <c r="FC53" s="12">
        <f>VLOOKUP(A53,'Données projet'!$A$217:$I$237,9,0)</f>
        <v>11</v>
      </c>
      <c r="FD53" s="12">
        <f t="array" ref="FD53">INDEX(FC:FC,MIN(IF(ISNUMBER(FC53:FC249),ROW(FC53:FC249),"")))</f>
        <v>11</v>
      </c>
      <c r="FE53" s="12">
        <f>IF('Données projet'!$A$218&gt;35,FE52+FD53-FM52,IF(A53&lt;'Données projet'!$A$218,$FB$205^A53,IF(A53='Données projet'!$A$218,'Données projet'!$B$218,FE52+FD53-FM52)))</f>
        <v>231.00000000000003</v>
      </c>
      <c r="FF53" s="17">
        <f>FE53*VLOOKUP('Données projet'!$B$16,Paramètres!$A$1:$I$89,3,0)*VLOOKUP('Données projet'!$B$16,Paramètres!$A$1:$I$89,5,0)</f>
        <v>234.23400000000007</v>
      </c>
      <c r="FG53" s="13">
        <f t="shared" si="47"/>
        <v>57.197197133603488</v>
      </c>
      <c r="FH53" s="20">
        <f t="shared" si="22"/>
        <v>507.57600167435953</v>
      </c>
      <c r="FI53" s="59">
        <f t="shared" si="23"/>
        <v>800.90933500769279</v>
      </c>
      <c r="FJ53" s="59">
        <f ca="1">AVERAGE(OFFSET($FI$3,0,0,'Données projet'!$E$16+1,1))-AVERAGE(OFFSET($H$3,0,0,'Données projet'!$E$16+1,1))</f>
        <v>356.65981389369125</v>
      </c>
      <c r="FK53" s="59">
        <f t="shared" si="48"/>
        <v>231.92898690465887</v>
      </c>
      <c r="FL53" s="15">
        <f>IF(ISNA(VLOOKUP(A53,'Données projet'!$A$217:$I$237,3,0)),0,VLOOKUP(A53,'Données projet'!$A$217:$I$237,3,0))</f>
        <v>7</v>
      </c>
      <c r="FM53" s="15">
        <f>IF(ISNA(VLOOKUP(A53,'Données projet'!$A$217:$I$237,4,0)),0,VLOOKUP(A53,'Données projet'!$A$217:$I$237,4,0))</f>
        <v>28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5.5117965530499511</v>
      </c>
      <c r="FR53" s="21">
        <f>EXP(-LN(2)/25)*FR52+(1-EXP(-LN(2)/25))/(LN(2)/25)*Calculateur!FM53*Calculateur!FO53*VLOOKUP('Données projet'!$B$16,Paramètres!$A$1:$I$89,3,0)*0.475*44/12</f>
        <v>6.0277926203798025</v>
      </c>
      <c r="FS53" s="21">
        <f>EXP(-LN(2)/2)*FS52+(1-EXP(-LN(2)/2))/(LN(2)/2)*FM53*FP53*VLOOKUP('Données projet'!$B$16,Paramètres!$A$1:$I$89,3,0)*0.475*44/12</f>
        <v>9.3407212807608917E-3</v>
      </c>
      <c r="FT53" s="22">
        <f t="shared" si="24"/>
        <v>11.548929894710515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231</v>
      </c>
      <c r="FX53" s="12">
        <f>VLOOKUP(A53,'Données projet'!$A$243:$I$263,9,0)</f>
        <v>11</v>
      </c>
      <c r="FY53" s="12">
        <f t="array" ref="FY53">INDEX(FX:FX,MIN(IF(ISNUMBER(FX53:FX249),ROW(FX53:FX249),"")))</f>
        <v>11</v>
      </c>
      <c r="FZ53" s="12">
        <f>IF('Données projet'!$A$244&gt;35,FZ52+FY53-GH52,IF(A53&lt;'Données projet'!$A$244,$FW$205^A53,IF(A53='Données projet'!$A$244,'Données projet'!$B$244,FZ52+FY53-GH52)))</f>
        <v>231.00000000000003</v>
      </c>
      <c r="GA53" s="17">
        <f>FZ53*VLOOKUP('Données projet'!$B$17,Paramètres!$A$1:$I$89,3,0)*VLOOKUP('Données projet'!$B$17,Paramètres!$A$1:$I$89,5,0)</f>
        <v>223.42320000000004</v>
      </c>
      <c r="GB53" s="13">
        <f t="shared" si="49"/>
        <v>54.858231422257631</v>
      </c>
      <c r="GC53" s="20">
        <f t="shared" si="25"/>
        <v>484.67349306043207</v>
      </c>
      <c r="GD53" s="59">
        <f t="shared" si="26"/>
        <v>778.00682639376532</v>
      </c>
      <c r="GE53" s="59">
        <f ca="1">AVERAGE(OFFSET($GD$3,0,0,'Données projet'!$E$17+1,1))-AVERAGE(OFFSET($H$3,0,0,'Données projet'!$E$17+1,1))</f>
        <v>337.76140497227715</v>
      </c>
      <c r="GF53" s="59">
        <f t="shared" si="50"/>
        <v>219.76562717496353</v>
      </c>
      <c r="GG53" s="15">
        <f>IF(ISNA(VLOOKUP(A53,'Données projet'!$A$243:$I$263,3,0)),0,VLOOKUP(A53,'Données projet'!$A$243:$I$263,3,0))</f>
        <v>7</v>
      </c>
      <c r="GH53" s="15">
        <f>IF(ISNA(VLOOKUP(A53,'Données projet'!$A$243:$I$263,4,0)),0,VLOOKUP(A53,'Données projet'!$A$243:$I$263,4,0))</f>
        <v>28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5.2574059429091831</v>
      </c>
      <c r="GM53" s="21">
        <f>EXP(-LN(2)/25)*GM52+(1-EXP(-LN(2)/25))/(LN(2)/25)*Calculateur!GH53*Calculateur!GJ53*VLOOKUP('Données projet'!$B$17,Paramètres!$A$1:$I$89,3,0)*0.475*44/12</f>
        <v>5.7495868071315037</v>
      </c>
      <c r="GN53" s="21">
        <f>EXP(-LN(2)/2)*GN52+(1-EXP(-LN(2)/2))/(LN(2)/2)*GH53*GK53*VLOOKUP('Données projet'!$B$17,Paramètres!$A$1:$I$89,3,0)*0.475*44/12</f>
        <v>8.9096110678026988E-3</v>
      </c>
      <c r="GO53" s="21">
        <f t="shared" si="27"/>
        <v>11.015902361108491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213.20000000000002</v>
      </c>
      <c r="O54" s="13">
        <f>N54*VLOOKUP('Données projet'!$B$9,Paramètres!$A$1:$I$89,3,0)*VLOOKUP('Données projet'!$B$9,Paramètres!$A$1:$I$89,5,0)</f>
        <v>192.90336000000002</v>
      </c>
      <c r="P54" s="13">
        <f t="shared" si="33"/>
        <v>48.181276881765257</v>
      </c>
      <c r="Q54" s="20">
        <f t="shared" si="53"/>
        <v>419.88907590240791</v>
      </c>
      <c r="R54" s="59">
        <f t="shared" si="0"/>
        <v>713.22240923574122</v>
      </c>
      <c r="S54" s="59">
        <f ca="1">AVERAGE(OFFSET($R$3,0,0,'Données projet'!$E$9+1,1))-AVERAGE(OFFSET($H$3,0,0,'Données projet'!$E$9+1,1))</f>
        <v>312.53389584272878</v>
      </c>
      <c r="T54" s="59">
        <f t="shared" si="34"/>
        <v>203.5274665601915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4.8217751984845787</v>
      </c>
      <c r="AA54" s="21">
        <f>EXP(-LN(2)/25)*AA53+(1-EXP(-LN(2)/25))/(LN(2)/25)*Calculateur!V54*Calculateur!X54*VLOOKUP('Données projet'!$B$9,Paramètres!$A$1:$I$89,3,0)*0.475*44/12</f>
        <v>5.2315663726597732</v>
      </c>
      <c r="AB54" s="21">
        <f>EXP(-LN(2)/2)*AB53+(1-EXP(-LN(2)/2))/(LN(2)/2)*V54*Y54*VLOOKUP('Données projet'!$B$9,Paramètres!$A$1:$I$89,3,0)*0.475*44/12</f>
        <v>5.8935917970826483E-3</v>
      </c>
      <c r="AC54" s="22">
        <f t="shared" si="3"/>
        <v>10.059235162941434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8.6</v>
      </c>
      <c r="AI54" s="13">
        <f>IF('Données projet'!$A$62&gt;35,AI53+AH54-AQ53,IF(A54&lt;'Données projet'!$A$62,$AF$205^A54,IF(A54='Données projet'!$A$62,'Données projet'!$B$62,AI53+AH54-AQ53)))</f>
        <v>223.60000000000008</v>
      </c>
      <c r="AJ54" s="13">
        <f>AI54*VLOOKUP('Données projet'!$B$10,Paramètres!$A$1:$I$89,3,0)*VLOOKUP('Données projet'!$B$10,Paramètres!$A$1:$I$89,5,0)</f>
        <v>195.33696000000009</v>
      </c>
      <c r="AK54" s="13">
        <f t="shared" si="35"/>
        <v>48.717969863105488</v>
      </c>
      <c r="AL54" s="20">
        <f t="shared" si="4"/>
        <v>425.06233617824211</v>
      </c>
      <c r="AM54" s="59">
        <f t="shared" si="5"/>
        <v>718.39566951157542</v>
      </c>
      <c r="AN54" s="59">
        <f ca="1">AVERAGE(OFFSET($AM$3,0,0,'Données projet'!$E$10+1,1))-AVERAGE(OFFSET($H$3,0,0,'Données projet'!$E$10+1,1))</f>
        <v>243.05628303465238</v>
      </c>
      <c r="AO54" s="59">
        <f t="shared" si="36"/>
        <v>352.47096767658394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5.2086503334372969</v>
      </c>
      <c r="AV54" s="21">
        <f>EXP(-LN(2)/25)*AV53+(1-EXP(-LN(2)/25))/(LN(2)/25)*Calculateur!AQ54*Calculateur!AS54*VLOOKUP('Données projet'!$B$10,Paramètres!$A$1:$I$89,3,0)*0.475*44/12</f>
        <v>10.121547086872718</v>
      </c>
      <c r="AW54" s="21">
        <f>EXP(-LN(2)/2)*AW53+(1-EXP(-LN(2)/2))/(LN(2)/2)*AQ54*AT54*VLOOKUP('Données projet'!$B$10,Paramètres!$A$1:$I$89,3,0)*0.475*44/12</f>
        <v>7.7845055445345587E-3</v>
      </c>
      <c r="AX54" s="21">
        <f t="shared" si="6"/>
        <v>15.33798192585455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8.4</v>
      </c>
      <c r="BD54" s="12">
        <f>IF('Données projet'!$A$88&gt;35,BD53+BC54-BL53,IF(A54&lt;'Données projet'!$A$88,$BA$205^A54,IF(A54='Données projet'!$A$88,'Données projet'!$B$88,BD53+BC54-BL53)))</f>
        <v>290.39999999999992</v>
      </c>
      <c r="BE54" s="13">
        <f>BD54*VLOOKUP('Données projet'!$B$11,Paramètres!$A$1:$I$89,3,0)*VLOOKUP('Données projet'!$B$11,Paramètres!$A$1:$I$89,5,0)</f>
        <v>231.04223999999994</v>
      </c>
      <c r="BF54" s="13">
        <f t="shared" si="37"/>
        <v>56.507978852931409</v>
      </c>
      <c r="BG54" s="20">
        <f t="shared" si="7"/>
        <v>500.81663116885539</v>
      </c>
      <c r="BH54" s="59">
        <f t="shared" si="8"/>
        <v>794.14996450218871</v>
      </c>
      <c r="BI54" s="59">
        <f ca="1">AVERAGE(OFFSET($BH$3,0,0,'Données projet'!$E$11+1,1))-AVERAGE(OFFSET($H$3,0,0,'Données projet'!$E$11+1,1))</f>
        <v>325.72928944930294</v>
      </c>
      <c r="BJ54" s="59">
        <f t="shared" si="38"/>
        <v>318.38876834819752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11.423251211484711</v>
      </c>
      <c r="BQ54" s="21">
        <f>EXP(-LN(2)/25)*BQ53+(1-EXP(-LN(2)/25))/(LN(2)/25)*Calculateur!BL54*Calculateur!BN54*VLOOKUP('Données projet'!$B$11,Paramètres!$A$1:$I$89,3,0)*0.475*44/12</f>
        <v>11.552682454376427</v>
      </c>
      <c r="BR54" s="21">
        <f>EXP(-LN(2)/2)*BR53+(1-EXP(-LN(2)/2))/(LN(2)/2)*BL54*BO54*VLOOKUP('Données projet'!$B$11,Paramètres!$A$1:$I$89,3,0)*0.475*44/12</f>
        <v>8.1688241823691214E-3</v>
      </c>
      <c r="BS54" s="22">
        <f t="shared" si="9"/>
        <v>22.984102490043508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15.4</v>
      </c>
      <c r="BY54" s="12">
        <f>IF('Données projet'!$A$114&gt;35,BY53+BX54-CG53,IF(A54&lt;'Données projet'!$A$114,$BV$205^A54,IF(A54='Données projet'!$A$114,'Données projet'!$B$114,BY53+BX54-CG53)))</f>
        <v>677.39999999999952</v>
      </c>
      <c r="BZ54" s="13">
        <f>BY54*VLOOKUP('Données projet'!$B$12,Paramètres!$A$1:$I$89,3,0)*VLOOKUP('Données projet'!$B$12,Paramètres!$A$1:$I$89,5,0)</f>
        <v>378.66659999999979</v>
      </c>
      <c r="CA54" s="13">
        <f t="shared" si="39"/>
        <v>87.437946637883755</v>
      </c>
      <c r="CB54" s="20">
        <f t="shared" si="10"/>
        <v>811.79875206098052</v>
      </c>
      <c r="CC54" s="59">
        <f t="shared" si="11"/>
        <v>1105.1320853943139</v>
      </c>
      <c r="CD54" s="59">
        <f ca="1">AVERAGE(OFFSET($CC$3,0,0,'Données projet'!$E$12+1,1))-AVERAGE(OFFSET($H$3,0,0,'Données projet'!$E$12+1,1))</f>
        <v>475.54809021014017</v>
      </c>
      <c r="CE54" s="59">
        <f t="shared" si="40"/>
        <v>593.51433014569966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4.8434783356295732</v>
      </c>
      <c r="CL54" s="21">
        <f>EXP(-LN(2)/25)*CL53+(1-EXP(-LN(2)/25))/(LN(2)/25)*Calculateur!CG54*Calculateur!CI54*VLOOKUP('Données projet'!$B$12,Paramètres!$A$1:$I$89,3,0)*0.475*44/12</f>
        <v>23.805044667840381</v>
      </c>
      <c r="CM54" s="21">
        <f>EXP(-LN(2)/2)*CM53+(1-EXP(-LN(2)/2))/(LN(2)/2)*CG54*CJ54*VLOOKUP('Données projet'!$B$12,Paramètres!$A$1:$I$89,3,0)*0.475*44/12</f>
        <v>9.9560895569406477E-3</v>
      </c>
      <c r="CN54" s="22">
        <f t="shared" si="12"/>
        <v>28.658479093026894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13.5</v>
      </c>
      <c r="CT54" s="12">
        <f>IF('Données projet'!$A$140&gt;35,CT53+CS54-DB53,IF(A54&lt;'Données projet'!$A$140,$CQ$205^A54,IF(A54='Données projet'!$A$140,'Données projet'!$B$140,CT53+CS54-DB53)))</f>
        <v>226.99999999999989</v>
      </c>
      <c r="CU54" s="17">
        <f>CT54*VLOOKUP('Données projet'!$B$13,Paramètres!$A$1:$I$89,3,0)*VLOOKUP('Données projet'!$B$13,Paramètres!$A$1:$I$89,5,0)</f>
        <v>106.23599999999995</v>
      </c>
      <c r="CV54" s="13">
        <f t="shared" si="41"/>
        <v>28.442367793282852</v>
      </c>
      <c r="CW54" s="20">
        <f t="shared" si="13"/>
        <v>234.56482390663419</v>
      </c>
      <c r="CX54" s="59">
        <f t="shared" si="14"/>
        <v>527.89815723996753</v>
      </c>
      <c r="CY54" s="59">
        <f ca="1">AVERAGE(OFFSET($CX$3,0,0,'Données projet'!$E$13+1,1))-AVERAGE(OFFSET($H$3,0,0,'Données projet'!$E$13+1,1))</f>
        <v>226.0452828290525</v>
      </c>
      <c r="CZ54" s="59">
        <f t="shared" si="42"/>
        <v>179.89696397462069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5.9880371670636636</v>
      </c>
      <c r="DG54" s="21">
        <f>EXP(-LN(2)/25)*DG53+(1-EXP(-LN(2)/25))/(LN(2)/25)*Calculateur!DB54*Calculateur!DD54*VLOOKUP('Données projet'!$B$13,Paramètres!$A$1:$I$89,3,0)*0.475*44/12</f>
        <v>6.2296133253161941</v>
      </c>
      <c r="DH54" s="21">
        <f>EXP(-LN(2)/2)*DH53+(1-EXP(-LN(2)/2))/(LN(2)/2)*DB54*DE54*VLOOKUP('Données projet'!$B$13,Paramètres!$A$1:$I$89,3,0)*0.475*44/12</f>
        <v>7.6256554193396544E-3</v>
      </c>
      <c r="DI54" s="22">
        <f t="shared" si="15"/>
        <v>12.225276147799196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7.25</v>
      </c>
      <c r="DO54" s="12">
        <f>IF('Données projet'!$A$166&gt;35,DO53+DN54-DW53,IF(A54&lt;'Données projet'!$A$166,$DL$205^A54,IF(A54='Données projet'!$A$166,'Données projet'!$B$166,DO53+DN54-DW53)))</f>
        <v>380.25000000000011</v>
      </c>
      <c r="DP54" s="17">
        <f>DO54*VLOOKUP('Données projet'!$B$14,Paramètres!$A$1:$I$89,3,0)*VLOOKUP('Données projet'!$B$14,Paramètres!$A$1:$I$89,5,0)</f>
        <v>227.38950000000008</v>
      </c>
      <c r="DQ54" s="13">
        <f t="shared" si="43"/>
        <v>55.717855953778951</v>
      </c>
      <c r="DR54" s="20">
        <f t="shared" si="16"/>
        <v>493.07864495283178</v>
      </c>
      <c r="DS54" s="59">
        <f t="shared" si="17"/>
        <v>786.41197828616509</v>
      </c>
      <c r="DT54" s="59">
        <f ca="1">AVERAGE(OFFSET($DS$3,0,0,'Données projet'!$E$14+1,1))-AVERAGE(OFFSET($H$3,0,0,'Données projet'!$E$14+1,1))</f>
        <v>252.81045065813976</v>
      </c>
      <c r="DU54" s="59">
        <f t="shared" si="44"/>
        <v>254.36590349790589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11.911512707061569</v>
      </c>
      <c r="EB54" s="21">
        <f>EXP(-LN(2)/25)*EB53+(1-EXP(-LN(2)/25))/(LN(2)/25)*Calculateur!DW54*Calculateur!DY54*VLOOKUP('Données projet'!$B$14,Paramètres!$A$1:$I$89,3,0)*0.475*44/12</f>
        <v>9.008695769259333</v>
      </c>
      <c r="EC54" s="21">
        <f>EXP(-LN(2)/2)*EC53+(1-EXP(-LN(2)/2))/(LN(2)/2)*DW54*DZ54*VLOOKUP('Données projet'!$B$14,Paramètres!$A$1:$I$89,3,0)*0.475*44/12</f>
        <v>3.9646204457497967E-3</v>
      </c>
      <c r="ED54" s="22">
        <f t="shared" si="18"/>
        <v>20.924173096766651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8.4</v>
      </c>
      <c r="EJ54" s="12">
        <f>IF('Données projet'!$A$192&gt;35,EJ53+EI54-ER53,IF(A54&lt;'Données projet'!$A$192,$EG$205^A54,IF(A54='Données projet'!$A$192,'Données projet'!$B$192,EJ53+EI54-ER53)))</f>
        <v>290.39999999999992</v>
      </c>
      <c r="EK54" s="17">
        <f>EJ54*VLOOKUP('Données projet'!$B$15,Paramètres!$A$1:$I$89,3,0)*VLOOKUP('Données projet'!$B$15,Paramètres!$A$1:$I$89,5,0)</f>
        <v>212.92127999999991</v>
      </c>
      <c r="EL54" s="13">
        <f t="shared" si="45"/>
        <v>52.57344469809297</v>
      </c>
      <c r="EM54" s="20">
        <f t="shared" si="19"/>
        <v>462.4033121825118</v>
      </c>
      <c r="EN54" s="59">
        <f t="shared" si="20"/>
        <v>755.73664551584511</v>
      </c>
      <c r="EO54" s="59">
        <f ca="1">AVERAGE(OFFSET($EN$3,0,0,'Données projet'!$E$15+1,1))-AVERAGE(OFFSET($H$3,0,0,'Données projet'!$E$15+1,1))</f>
        <v>296.91321813251051</v>
      </c>
      <c r="EP54" s="59">
        <f t="shared" si="46"/>
        <v>291.0718079639509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8.5410250456569017</v>
      </c>
      <c r="EW54" s="21">
        <f>EXP(-LN(2)/25)*EW53+(1-EXP(-LN(2)/25))/(LN(2)/25)*Calculateur!ER54*Calculateur!ET54*VLOOKUP('Données projet'!$B$15,Paramètres!$A$1:$I$89,3,0)*0.475*44/12</f>
        <v>8.63779920099695</v>
      </c>
      <c r="EX54" s="21">
        <f>EXP(-LN(2)/2)*EX53+(1-EXP(-LN(2)/2))/(LN(2)/2)*ER54*EU54*VLOOKUP('Données projet'!$B$15,Paramètres!$A$1:$I$89,3,0)*0.475*44/12</f>
        <v>7.5281320896342973E-3</v>
      </c>
      <c r="EY54" s="22">
        <f t="shared" si="21"/>
        <v>17.186352378743489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10.199999999999999</v>
      </c>
      <c r="FE54" s="12">
        <f>IF('Données projet'!$A$218&gt;35,FE53+FD54-FM53,IF(A54&lt;'Données projet'!$A$218,$FB$205^A54,IF(A54='Données projet'!$A$218,'Données projet'!$B$218,FE53+FD54-FM53)))</f>
        <v>213.20000000000002</v>
      </c>
      <c r="FF54" s="17">
        <f>FE54*VLOOKUP('Données projet'!$B$16,Paramètres!$A$1:$I$89,3,0)*VLOOKUP('Données projet'!$B$16,Paramètres!$A$1:$I$89,5,0)</f>
        <v>216.18480000000002</v>
      </c>
      <c r="FG54" s="13">
        <f t="shared" si="47"/>
        <v>53.284828478170375</v>
      </c>
      <c r="FH54" s="20">
        <f t="shared" si="22"/>
        <v>469.3262695994801</v>
      </c>
      <c r="FI54" s="59">
        <f t="shared" si="23"/>
        <v>762.65960293281341</v>
      </c>
      <c r="FJ54" s="59">
        <f ca="1">AVERAGE(OFFSET($FI$3,0,0,'Données projet'!$E$16+1,1))-AVERAGE(OFFSET($H$3,0,0,'Données projet'!$E$16+1,1))</f>
        <v>356.65981389369125</v>
      </c>
      <c r="FK54" s="59">
        <f t="shared" si="48"/>
        <v>231.92898690465887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5.4037135845085826</v>
      </c>
      <c r="FR54" s="21">
        <f>EXP(-LN(2)/25)*FR53+(1-EXP(-LN(2)/25))/(LN(2)/25)*Calculateur!FM54*Calculateur!FO54*VLOOKUP('Données projet'!$B$16,Paramètres!$A$1:$I$89,3,0)*0.475*44/12</f>
        <v>5.8629623141876799</v>
      </c>
      <c r="FS54" s="21">
        <f>EXP(-LN(2)/2)*FS53+(1-EXP(-LN(2)/2))/(LN(2)/2)*FM54*FP54*VLOOKUP('Données projet'!$B$16,Paramètres!$A$1:$I$89,3,0)*0.475*44/12</f>
        <v>6.6048873587995199E-3</v>
      </c>
      <c r="FT54" s="22">
        <f t="shared" si="24"/>
        <v>11.273280786055063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10.199999999999999</v>
      </c>
      <c r="FZ54" s="12">
        <f>IF('Données projet'!$A$244&gt;35,FZ53+FY54-GH53,IF(A54&lt;'Données projet'!$A$244,$FW$205^A54,IF(A54='Données projet'!$A$244,'Données projet'!$B$244,FZ53+FY54-GH53)))</f>
        <v>213.20000000000002</v>
      </c>
      <c r="GA54" s="17">
        <f>FZ54*VLOOKUP('Données projet'!$B$17,Paramètres!$A$1:$I$89,3,0)*VLOOKUP('Données projet'!$B$17,Paramètres!$A$1:$I$89,5,0)</f>
        <v>206.20704000000001</v>
      </c>
      <c r="GB54" s="13">
        <f t="shared" si="49"/>
        <v>51.105851308113081</v>
      </c>
      <c r="GC54" s="20">
        <f t="shared" si="25"/>
        <v>448.15328569496359</v>
      </c>
      <c r="GD54" s="59">
        <f t="shared" si="26"/>
        <v>741.4866190282969</v>
      </c>
      <c r="GE54" s="59">
        <f ca="1">AVERAGE(OFFSET($GD$3,0,0,'Données projet'!$E$17+1,1))-AVERAGE(OFFSET($H$3,0,0,'Données projet'!$E$17+1,1))</f>
        <v>337.76140497227715</v>
      </c>
      <c r="GF54" s="59">
        <f t="shared" si="50"/>
        <v>219.76562717496353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5.1543114190697237</v>
      </c>
      <c r="GM54" s="21">
        <f>EXP(-LN(2)/25)*GM53+(1-EXP(-LN(2)/25))/(LN(2)/25)*Calculateur!GH54*Calculateur!GJ54*VLOOKUP('Données projet'!$B$17,Paramètres!$A$1:$I$89,3,0)*0.475*44/12</f>
        <v>5.5923640535328634</v>
      </c>
      <c r="GN54" s="21">
        <f>EXP(-LN(2)/2)*GN53+(1-EXP(-LN(2)/2))/(LN(2)/2)*GH54*GK54*VLOOKUP('Données projet'!$B$17,Paramètres!$A$1:$I$89,3,0)*0.475*44/12</f>
        <v>6.3000464037780051E-3</v>
      </c>
      <c r="GO54" s="21">
        <f t="shared" si="27"/>
        <v>10.752975519006364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223.4</v>
      </c>
      <c r="O55" s="13">
        <f>N55*VLOOKUP('Données projet'!$B$9,Paramètres!$A$1:$I$89,3,0)*VLOOKUP('Données projet'!$B$9,Paramètres!$A$1:$I$89,5,0)</f>
        <v>202.13232000000002</v>
      </c>
      <c r="P55" s="13">
        <f t="shared" si="33"/>
        <v>50.212497488959627</v>
      </c>
      <c r="Q55" s="20">
        <f t="shared" si="53"/>
        <v>439.50055712660469</v>
      </c>
      <c r="R55" s="59">
        <f t="shared" si="0"/>
        <v>732.83389045993795</v>
      </c>
      <c r="S55" s="59">
        <f ca="1">AVERAGE(OFFSET($R$3,0,0,'Données projet'!$E$9+1,1))-AVERAGE(OFFSET($H$3,0,0,'Données projet'!$E$9+1,1))</f>
        <v>312.53389584272878</v>
      </c>
      <c r="T55" s="59">
        <f t="shared" si="34"/>
        <v>203.5274665601915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4.7272231278347681</v>
      </c>
      <c r="AA55" s="21">
        <f>EXP(-LN(2)/25)*AA54+(1-EXP(-LN(2)/25))/(LN(2)/25)*Calculateur!V55*Calculateur!X55*VLOOKUP('Données projet'!$B$9,Paramètres!$A$1:$I$89,3,0)*0.475*44/12</f>
        <v>5.0885089150832732</v>
      </c>
      <c r="AB55" s="21">
        <f>EXP(-LN(2)/2)*AB54+(1-EXP(-LN(2)/2))/(LN(2)/2)*V55*Y55*VLOOKUP('Données projet'!$B$9,Paramètres!$A$1:$I$89,3,0)*0.475*44/12</f>
        <v>4.1673987252625515E-3</v>
      </c>
      <c r="AC55" s="22">
        <f t="shared" si="3"/>
        <v>9.8198994416433045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8.6</v>
      </c>
      <c r="AI55" s="13">
        <f>IF('Données projet'!$A$62&gt;35,AI54+AH55-AQ54,IF(A55&lt;'Données projet'!$A$62,$AF$205^A55,IF(A55='Données projet'!$A$62,'Données projet'!$B$62,AI54+AH55-AQ54)))</f>
        <v>232.20000000000007</v>
      </c>
      <c r="AJ55" s="13">
        <f>AI55*VLOOKUP('Données projet'!$B$10,Paramètres!$A$1:$I$89,3,0)*VLOOKUP('Données projet'!$B$10,Paramètres!$A$1:$I$89,5,0)</f>
        <v>202.84992000000011</v>
      </c>
      <c r="AK55" s="13">
        <f t="shared" si="35"/>
        <v>50.369977187686075</v>
      </c>
      <c r="AL55" s="20">
        <f t="shared" si="4"/>
        <v>441.02465426855338</v>
      </c>
      <c r="AM55" s="59">
        <f t="shared" si="5"/>
        <v>734.35798760188663</v>
      </c>
      <c r="AN55" s="59">
        <f ca="1">AVERAGE(OFFSET($AM$3,0,0,'Données projet'!$E$10+1,1))-AVERAGE(OFFSET($H$3,0,0,'Données projet'!$E$10+1,1))</f>
        <v>243.05628303465238</v>
      </c>
      <c r="AO55" s="59">
        <f t="shared" si="36"/>
        <v>352.47096767658394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5.1065118773615961</v>
      </c>
      <c r="AV55" s="21">
        <f>EXP(-LN(2)/25)*AV54+(1-EXP(-LN(2)/25))/(LN(2)/25)*Calculateur!AQ55*Calculateur!AS55*VLOOKUP('Données projet'!$B$10,Paramètres!$A$1:$I$89,3,0)*0.475*44/12</f>
        <v>9.8447728495131557</v>
      </c>
      <c r="AW55" s="21">
        <f>EXP(-LN(2)/2)*AW54+(1-EXP(-LN(2)/2))/(LN(2)/2)*AQ55*AT55*VLOOKUP('Données projet'!$B$10,Paramètres!$A$1:$I$89,3,0)*0.475*44/12</f>
        <v>5.5044766587246646E-3</v>
      </c>
      <c r="AX55" s="21">
        <f t="shared" si="6"/>
        <v>14.956789203533477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8.4</v>
      </c>
      <c r="BD55" s="12">
        <f>IF('Données projet'!$A$88&gt;35,BD54+BC55-BL54,IF(A55&lt;'Données projet'!$A$88,$BA$205^A55,IF(A55='Données projet'!$A$88,'Données projet'!$B$88,BD54+BC55-BL54)))</f>
        <v>298.7999999999999</v>
      </c>
      <c r="BE55" s="13">
        <f>BD55*VLOOKUP('Données projet'!$B$11,Paramètres!$A$1:$I$89,3,0)*VLOOKUP('Données projet'!$B$11,Paramètres!$A$1:$I$89,5,0)</f>
        <v>237.72527999999994</v>
      </c>
      <c r="BF55" s="13">
        <f t="shared" si="37"/>
        <v>57.949842464086196</v>
      </c>
      <c r="BG55" s="20">
        <f t="shared" si="7"/>
        <v>514.96750495828326</v>
      </c>
      <c r="BH55" s="59">
        <f t="shared" si="8"/>
        <v>808.30083829161663</v>
      </c>
      <c r="BI55" s="59">
        <f ca="1">AVERAGE(OFFSET($BH$3,0,0,'Données projet'!$E$11+1,1))-AVERAGE(OFFSET($H$3,0,0,'Données projet'!$E$11+1,1))</f>
        <v>325.72928944930294</v>
      </c>
      <c r="BJ55" s="59">
        <f t="shared" si="38"/>
        <v>318.38876834819752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11.199248222722751</v>
      </c>
      <c r="BQ55" s="21">
        <f>EXP(-LN(2)/25)*BQ54+(1-EXP(-LN(2)/25))/(LN(2)/25)*Calculateur!BL55*Calculateur!BN55*VLOOKUP('Données projet'!$B$11,Paramètres!$A$1:$I$89,3,0)*0.475*44/12</f>
        <v>11.236773745132338</v>
      </c>
      <c r="BR55" s="21">
        <f>EXP(-LN(2)/2)*BR54+(1-EXP(-LN(2)/2))/(LN(2)/2)*BL55*BO55*VLOOKUP('Données projet'!$B$11,Paramètres!$A$1:$I$89,3,0)*0.475*44/12</f>
        <v>5.7762309736738605E-3</v>
      </c>
      <c r="BS55" s="22">
        <f t="shared" si="9"/>
        <v>22.441798198828764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15.4</v>
      </c>
      <c r="BY55" s="12">
        <f>IF('Données projet'!$A$114&gt;35,BY54+BX55-CG54,IF(A55&lt;'Données projet'!$A$114,$BV$205^A55,IF(A55='Données projet'!$A$114,'Données projet'!$B$114,BY54+BX55-CG54)))</f>
        <v>692.7999999999995</v>
      </c>
      <c r="BZ55" s="13">
        <f>BY55*VLOOKUP('Données projet'!$B$12,Paramètres!$A$1:$I$89,3,0)*VLOOKUP('Données projet'!$B$12,Paramètres!$A$1:$I$89,5,0)</f>
        <v>387.2751999999997</v>
      </c>
      <c r="CA55" s="13">
        <f t="shared" si="39"/>
        <v>89.192073473767834</v>
      </c>
      <c r="CB55" s="20">
        <f t="shared" si="10"/>
        <v>829.84716796681175</v>
      </c>
      <c r="CC55" s="59">
        <f t="shared" si="11"/>
        <v>1123.1805013001451</v>
      </c>
      <c r="CD55" s="59">
        <f ca="1">AVERAGE(OFFSET($CC$3,0,0,'Données projet'!$E$12+1,1))-AVERAGE(OFFSET($H$3,0,0,'Données projet'!$E$12+1,1))</f>
        <v>475.54809021014017</v>
      </c>
      <c r="CE55" s="59">
        <f t="shared" si="40"/>
        <v>593.51433014569966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4.7485006796979556</v>
      </c>
      <c r="CL55" s="21">
        <f>EXP(-LN(2)/25)*CL54+(1-EXP(-LN(2)/25))/(LN(2)/25)*Calculateur!CG55*Calculateur!CI55*VLOOKUP('Données projet'!$B$12,Paramètres!$A$1:$I$89,3,0)*0.475*44/12</f>
        <v>23.154094469545395</v>
      </c>
      <c r="CM55" s="21">
        <f>EXP(-LN(2)/2)*CM54+(1-EXP(-LN(2)/2))/(LN(2)/2)*CG55*CJ55*VLOOKUP('Données projet'!$B$12,Paramètres!$A$1:$I$89,3,0)*0.475*44/12</f>
        <v>7.0400184398133015E-3</v>
      </c>
      <c r="CN55" s="22">
        <f t="shared" si="12"/>
        <v>27.909635167683163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13.5</v>
      </c>
      <c r="CT55" s="12">
        <f>IF('Données projet'!$A$140&gt;35,CT54+CS55-DB54,IF(A55&lt;'Données projet'!$A$140,$CQ$205^A55,IF(A55='Données projet'!$A$140,'Données projet'!$B$140,CT54+CS55-DB54)))</f>
        <v>240.49999999999989</v>
      </c>
      <c r="CU55" s="17">
        <f>CT55*VLOOKUP('Données projet'!$B$13,Paramètres!$A$1:$I$89,3,0)*VLOOKUP('Données projet'!$B$13,Paramètres!$A$1:$I$89,5,0)</f>
        <v>112.55399999999995</v>
      </c>
      <c r="CV55" s="13">
        <f t="shared" si="41"/>
        <v>29.931920700323165</v>
      </c>
      <c r="CW55" s="20">
        <f t="shared" si="13"/>
        <v>248.16297855306274</v>
      </c>
      <c r="CX55" s="59">
        <f t="shared" si="14"/>
        <v>541.49631188639603</v>
      </c>
      <c r="CY55" s="59">
        <f ca="1">AVERAGE(OFFSET($CX$3,0,0,'Données projet'!$E$13+1,1))-AVERAGE(OFFSET($H$3,0,0,'Données projet'!$E$13+1,1))</f>
        <v>226.0452828290525</v>
      </c>
      <c r="CZ55" s="59">
        <f t="shared" si="42"/>
        <v>179.89696397462069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5.8706154105595783</v>
      </c>
      <c r="DG55" s="21">
        <f>EXP(-LN(2)/25)*DG54+(1-EXP(-LN(2)/25))/(LN(2)/25)*Calculateur!DB55*Calculateur!DD55*VLOOKUP('Données projet'!$B$13,Paramètres!$A$1:$I$89,3,0)*0.475*44/12</f>
        <v>6.0592642213342955</v>
      </c>
      <c r="DH55" s="21">
        <f>EXP(-LN(2)/2)*DH54+(1-EXP(-LN(2)/2))/(LN(2)/2)*DB55*DE55*VLOOKUP('Données projet'!$B$13,Paramètres!$A$1:$I$89,3,0)*0.475*44/12</f>
        <v>5.3921526580070159E-3</v>
      </c>
      <c r="DI55" s="22">
        <f t="shared" si="15"/>
        <v>11.935271784551881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7.25</v>
      </c>
      <c r="DO55" s="12">
        <f>IF('Données projet'!$A$166&gt;35,DO54+DN55-DW54,IF(A55&lt;'Données projet'!$A$166,$DL$205^A55,IF(A55='Données projet'!$A$166,'Données projet'!$B$166,DO54+DN55-DW54)))</f>
        <v>387.50000000000011</v>
      </c>
      <c r="DP55" s="17">
        <f>DO55*VLOOKUP('Données projet'!$B$14,Paramètres!$A$1:$I$89,3,0)*VLOOKUP('Données projet'!$B$14,Paramètres!$A$1:$I$89,5,0)</f>
        <v>231.72500000000008</v>
      </c>
      <c r="DQ55" s="13">
        <f t="shared" si="43"/>
        <v>56.655504506153761</v>
      </c>
      <c r="DR55" s="20">
        <f t="shared" si="16"/>
        <v>502.26271201488458</v>
      </c>
      <c r="DS55" s="59">
        <f t="shared" si="17"/>
        <v>795.5960453482179</v>
      </c>
      <c r="DT55" s="59">
        <f ca="1">AVERAGE(OFFSET($DS$3,0,0,'Données projet'!$E$14+1,1))-AVERAGE(OFFSET($H$3,0,0,'Données projet'!$E$14+1,1))</f>
        <v>252.81045065813976</v>
      </c>
      <c r="DU55" s="59">
        <f t="shared" si="44"/>
        <v>254.36590349790589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11.677935208181452</v>
      </c>
      <c r="EB55" s="21">
        <f>EXP(-LN(2)/25)*EB54+(1-EXP(-LN(2)/25))/(LN(2)/25)*Calculateur!DW55*Calculateur!DY55*VLOOKUP('Données projet'!$B$14,Paramètres!$A$1:$I$89,3,0)*0.475*44/12</f>
        <v>8.7623525097022164</v>
      </c>
      <c r="EC55" s="21">
        <f>EXP(-LN(2)/2)*EC54+(1-EXP(-LN(2)/2))/(LN(2)/2)*DW55*DZ55*VLOOKUP('Données projet'!$B$14,Paramètres!$A$1:$I$89,3,0)*0.475*44/12</f>
        <v>2.8034100020205141E-3</v>
      </c>
      <c r="ED55" s="22">
        <f t="shared" si="18"/>
        <v>20.44309112788569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8.4</v>
      </c>
      <c r="EJ55" s="12">
        <f>IF('Données projet'!$A$192&gt;35,EJ54+EI55-ER54,IF(A55&lt;'Données projet'!$A$192,$EG$205^A55,IF(A55='Données projet'!$A$192,'Données projet'!$B$192,EJ54+EI55-ER54)))</f>
        <v>298.7999999999999</v>
      </c>
      <c r="EK55" s="17">
        <f>EJ55*VLOOKUP('Données projet'!$B$15,Paramètres!$A$1:$I$89,3,0)*VLOOKUP('Données projet'!$B$15,Paramètres!$A$1:$I$89,5,0)</f>
        <v>219.08015999999992</v>
      </c>
      <c r="EL55" s="13">
        <f t="shared" si="45"/>
        <v>53.914914316401685</v>
      </c>
      <c r="EM55" s="20">
        <f t="shared" si="19"/>
        <v>475.46642110106609</v>
      </c>
      <c r="EN55" s="59">
        <f t="shared" si="20"/>
        <v>768.79975443439935</v>
      </c>
      <c r="EO55" s="59">
        <f ca="1">AVERAGE(OFFSET($EN$3,0,0,'Données projet'!$E$15+1,1))-AVERAGE(OFFSET($H$3,0,0,'Données projet'!$E$15+1,1))</f>
        <v>296.91321813251051</v>
      </c>
      <c r="EP55" s="59">
        <f t="shared" si="46"/>
        <v>291.0718079639509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8.3735407540224518</v>
      </c>
      <c r="EW55" s="21">
        <f>EXP(-LN(2)/25)*EW54+(1-EXP(-LN(2)/25))/(LN(2)/25)*Calculateur!ER55*Calculateur!ET55*VLOOKUP('Données projet'!$B$15,Paramètres!$A$1:$I$89,3,0)*0.475*44/12</f>
        <v>8.4015981276035703</v>
      </c>
      <c r="EX55" s="21">
        <f>EXP(-LN(2)/2)*EX54+(1-EXP(-LN(2)/2))/(LN(2)/2)*ER55*EU55*VLOOKUP('Données projet'!$B$15,Paramètres!$A$1:$I$89,3,0)*0.475*44/12</f>
        <v>5.3231932502484664E-3</v>
      </c>
      <c r="EY55" s="22">
        <f t="shared" si="21"/>
        <v>16.780462074876269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10.199999999999999</v>
      </c>
      <c r="FE55" s="12">
        <f>IF('Données projet'!$A$218&gt;35,FE54+FD55-FM54,IF(A55&lt;'Données projet'!$A$218,$FB$205^A55,IF(A55='Données projet'!$A$218,'Données projet'!$B$218,FE54+FD55-FM54)))</f>
        <v>223.4</v>
      </c>
      <c r="FF55" s="17">
        <f>FE55*VLOOKUP('Données projet'!$B$16,Paramètres!$A$1:$I$89,3,0)*VLOOKUP('Données projet'!$B$16,Paramètres!$A$1:$I$89,5,0)</f>
        <v>226.52760000000001</v>
      </c>
      <c r="FG55" s="13">
        <f t="shared" si="47"/>
        <v>55.531204013656371</v>
      </c>
      <c r="FH55" s="20">
        <f t="shared" si="22"/>
        <v>491.25241699045142</v>
      </c>
      <c r="FI55" s="59">
        <f t="shared" si="23"/>
        <v>784.58575032378474</v>
      </c>
      <c r="FJ55" s="59">
        <f ca="1">AVERAGE(OFFSET($FI$3,0,0,'Données projet'!$E$16+1,1))-AVERAGE(OFFSET($H$3,0,0,'Données projet'!$E$16+1,1))</f>
        <v>356.65981389369125</v>
      </c>
      <c r="FK55" s="59">
        <f t="shared" si="48"/>
        <v>231.92898690465887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5.2977500570562093</v>
      </c>
      <c r="FR55" s="21">
        <f>EXP(-LN(2)/25)*FR54+(1-EXP(-LN(2)/25))/(LN(2)/25)*Calculateur!FM55*Calculateur!FO55*VLOOKUP('Données projet'!$B$16,Paramètres!$A$1:$I$89,3,0)*0.475*44/12</f>
        <v>5.70263930138643</v>
      </c>
      <c r="FS55" s="21">
        <f>EXP(-LN(2)/2)*FS54+(1-EXP(-LN(2)/2))/(LN(2)/2)*FM55*FP55*VLOOKUP('Données projet'!$B$16,Paramètres!$A$1:$I$89,3,0)*0.475*44/12</f>
        <v>4.6703606403804459E-3</v>
      </c>
      <c r="FT55" s="22">
        <f t="shared" si="24"/>
        <v>11.00505971908302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10.199999999999999</v>
      </c>
      <c r="FZ55" s="12">
        <f>IF('Données projet'!$A$244&gt;35,FZ54+FY55-GH54,IF(A55&lt;'Données projet'!$A$244,$FW$205^A55,IF(A55='Données projet'!$A$244,'Données projet'!$B$244,FZ54+FY55-GH54)))</f>
        <v>223.4</v>
      </c>
      <c r="GA55" s="17">
        <f>FZ55*VLOOKUP('Données projet'!$B$17,Paramètres!$A$1:$I$89,3,0)*VLOOKUP('Données projet'!$B$17,Paramètres!$A$1:$I$89,5,0)</f>
        <v>216.07248000000001</v>
      </c>
      <c r="GB55" s="13">
        <f t="shared" si="49"/>
        <v>53.260365780197098</v>
      </c>
      <c r="GC55" s="20">
        <f t="shared" si="25"/>
        <v>469.08803973384329</v>
      </c>
      <c r="GD55" s="59">
        <f t="shared" si="26"/>
        <v>762.42137306717655</v>
      </c>
      <c r="GE55" s="59">
        <f ca="1">AVERAGE(OFFSET($GD$3,0,0,'Données projet'!$E$17+1,1))-AVERAGE(OFFSET($H$3,0,0,'Données projet'!$E$17+1,1))</f>
        <v>337.76140497227715</v>
      </c>
      <c r="GF55" s="59">
        <f t="shared" si="50"/>
        <v>219.76562717496353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5.053238515961306</v>
      </c>
      <c r="GM55" s="21">
        <f>EXP(-LN(2)/25)*GM54+(1-EXP(-LN(2)/25))/(LN(2)/25)*Calculateur!GH55*Calculateur!GJ55*VLOOKUP('Données projet'!$B$17,Paramètres!$A$1:$I$89,3,0)*0.475*44/12</f>
        <v>5.4394405643993631</v>
      </c>
      <c r="GN55" s="21">
        <f>EXP(-LN(2)/2)*GN54+(1-EXP(-LN(2)/2))/(LN(2)/2)*GH55*GK55*VLOOKUP('Données projet'!$B$17,Paramètres!$A$1:$I$89,3,0)*0.475*44/12</f>
        <v>4.4548055339013494E-3</v>
      </c>
      <c r="GO55" s="21">
        <f t="shared" si="27"/>
        <v>10.497133885894572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233.6</v>
      </c>
      <c r="O56" s="13">
        <f>N56*VLOOKUP('Données projet'!$B$9,Paramètres!$A$1:$I$89,3,0)*VLOOKUP('Données projet'!$B$9,Paramètres!$A$1:$I$89,5,0)</f>
        <v>211.36127999999999</v>
      </c>
      <c r="P56" s="13">
        <f t="shared" si="33"/>
        <v>52.232947669705631</v>
      </c>
      <c r="Q56" s="20">
        <f t="shared" si="53"/>
        <v>459.09327985807062</v>
      </c>
      <c r="R56" s="59">
        <f t="shared" si="0"/>
        <v>752.42661319140393</v>
      </c>
      <c r="S56" s="59">
        <f ca="1">AVERAGE(OFFSET($R$3,0,0,'Données projet'!$E$9+1,1))-AVERAGE(OFFSET($H$3,0,0,'Données projet'!$E$9+1,1))</f>
        <v>312.53389584272878</v>
      </c>
      <c r="T56" s="59">
        <f t="shared" si="34"/>
        <v>203.5274665601915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4.6345251656193316</v>
      </c>
      <c r="AA56" s="21">
        <f>EXP(-LN(2)/25)*AA55+(1-EXP(-LN(2)/25))/(LN(2)/25)*Calculateur!V56*Calculateur!X56*VLOOKUP('Données projet'!$B$9,Paramètres!$A$1:$I$89,3,0)*0.475*44/12</f>
        <v>4.9493633712072675</v>
      </c>
      <c r="AB56" s="21">
        <f>EXP(-LN(2)/2)*AB55+(1-EXP(-LN(2)/2))/(LN(2)/2)*V56*Y56*VLOOKUP('Données projet'!$B$9,Paramètres!$A$1:$I$89,3,0)*0.475*44/12</f>
        <v>2.9467958985413241E-3</v>
      </c>
      <c r="AC56" s="22">
        <f t="shared" si="3"/>
        <v>9.5868353327251405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8.6</v>
      </c>
      <c r="AI56" s="13">
        <f>IF('Données projet'!$A$62&gt;35,AI55+AH56-AQ55,IF(A56&lt;'Données projet'!$A$62,$AF$205^A56,IF(A56='Données projet'!$A$62,'Données projet'!$B$62,AI55+AH56-AQ55)))</f>
        <v>240.80000000000007</v>
      </c>
      <c r="AJ56" s="13">
        <f>AI56*VLOOKUP('Données projet'!$B$10,Paramètres!$A$1:$I$89,3,0)*VLOOKUP('Données projet'!$B$10,Paramètres!$A$1:$I$89,5,0)</f>
        <v>210.36288000000008</v>
      </c>
      <c r="AK56" s="13">
        <f t="shared" si="35"/>
        <v>52.014876138342963</v>
      </c>
      <c r="AL56" s="20">
        <f t="shared" si="4"/>
        <v>456.97459194094745</v>
      </c>
      <c r="AM56" s="59">
        <f t="shared" si="5"/>
        <v>750.30792527428071</v>
      </c>
      <c r="AN56" s="59">
        <f ca="1">AVERAGE(OFFSET($AM$3,0,0,'Données projet'!$E$10+1,1))-AVERAGE(OFFSET($H$3,0,0,'Données projet'!$E$10+1,1))</f>
        <v>243.05628303465238</v>
      </c>
      <c r="AO56" s="59">
        <f t="shared" si="36"/>
        <v>352.47096767658394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5.0063762941112326</v>
      </c>
      <c r="AV56" s="21">
        <f>EXP(-LN(2)/25)*AV55+(1-EXP(-LN(2)/25))/(LN(2)/25)*Calculateur!AQ56*Calculateur!AS56*VLOOKUP('Données projet'!$B$10,Paramètres!$A$1:$I$89,3,0)*0.475*44/12</f>
        <v>9.5755670182291155</v>
      </c>
      <c r="AW56" s="21">
        <f>EXP(-LN(2)/2)*AW55+(1-EXP(-LN(2)/2))/(LN(2)/2)*AQ56*AT56*VLOOKUP('Données projet'!$B$10,Paramètres!$A$1:$I$89,3,0)*0.475*44/12</f>
        <v>3.8922527722672798E-3</v>
      </c>
      <c r="AX56" s="21">
        <f t="shared" si="6"/>
        <v>14.585835565112616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8.4</v>
      </c>
      <c r="BD56" s="12">
        <f>IF('Données projet'!$A$88&gt;35,BD55+BC56-BL55,IF(A56&lt;'Données projet'!$A$88,$BA$205^A56,IF(A56='Données projet'!$A$88,'Données projet'!$B$88,BD55+BC56-BL55)))</f>
        <v>307.19999999999987</v>
      </c>
      <c r="BE56" s="13">
        <f>BD56*VLOOKUP('Données projet'!$B$11,Paramètres!$A$1:$I$89,3,0)*VLOOKUP('Données projet'!$B$11,Paramètres!$A$1:$I$89,5,0)</f>
        <v>244.40831999999992</v>
      </c>
      <c r="BF56" s="13">
        <f t="shared" si="37"/>
        <v>59.38699493610541</v>
      </c>
      <c r="BG56" s="20">
        <f t="shared" si="7"/>
        <v>529.11017351371675</v>
      </c>
      <c r="BH56" s="59">
        <f t="shared" si="8"/>
        <v>822.44350684705</v>
      </c>
      <c r="BI56" s="59">
        <f ca="1">AVERAGE(OFFSET($BH$3,0,0,'Données projet'!$E$11+1,1))-AVERAGE(OFFSET($H$3,0,0,'Données projet'!$E$11+1,1))</f>
        <v>325.72928944930294</v>
      </c>
      <c r="BJ56" s="59">
        <f t="shared" si="38"/>
        <v>318.38876834819752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10.979637795942082</v>
      </c>
      <c r="BQ56" s="21">
        <f>EXP(-LN(2)/25)*BQ55+(1-EXP(-LN(2)/25))/(LN(2)/25)*Calculateur!BL56*Calculateur!BN56*VLOOKUP('Données projet'!$B$11,Paramètres!$A$1:$I$89,3,0)*0.475*44/12</f>
        <v>10.929503576155444</v>
      </c>
      <c r="BR56" s="21">
        <f>EXP(-LN(2)/2)*BR55+(1-EXP(-LN(2)/2))/(LN(2)/2)*BL56*BO56*VLOOKUP('Données projet'!$B$11,Paramètres!$A$1:$I$89,3,0)*0.475*44/12</f>
        <v>4.0844120911845607E-3</v>
      </c>
      <c r="BS56" s="22">
        <f t="shared" si="9"/>
        <v>21.913225784188711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15.4</v>
      </c>
      <c r="BY56" s="12">
        <f>IF('Données projet'!$A$114&gt;35,BY55+BX56-CG55,IF(A56&lt;'Données projet'!$A$114,$BV$205^A56,IF(A56='Données projet'!$A$114,'Données projet'!$B$114,BY55+BX56-CG55)))</f>
        <v>708.19999999999948</v>
      </c>
      <c r="BZ56" s="13">
        <f>BY56*VLOOKUP('Données projet'!$B$12,Paramètres!$A$1:$I$89,3,0)*VLOOKUP('Données projet'!$B$12,Paramètres!$A$1:$I$89,5,0)</f>
        <v>395.88379999999972</v>
      </c>
      <c r="CA56" s="13">
        <f t="shared" si="39"/>
        <v>90.941667130422957</v>
      </c>
      <c r="CB56" s="20">
        <f t="shared" si="10"/>
        <v>847.8876885854861</v>
      </c>
      <c r="CC56" s="59">
        <f t="shared" si="11"/>
        <v>1141.2210219188194</v>
      </c>
      <c r="CD56" s="59">
        <f ca="1">AVERAGE(OFFSET($CC$3,0,0,'Données projet'!$E$12+1,1))-AVERAGE(OFFSET($H$3,0,0,'Données projet'!$E$12+1,1))</f>
        <v>475.54809021014017</v>
      </c>
      <c r="CE56" s="59">
        <f t="shared" si="40"/>
        <v>593.51433014569966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4.6553854776685073</v>
      </c>
      <c r="CL56" s="21">
        <f>EXP(-LN(2)/25)*CL55+(1-EXP(-LN(2)/25))/(LN(2)/25)*Calculateur!CG56*Calculateur!CI56*VLOOKUP('Données projet'!$B$12,Paramètres!$A$1:$I$89,3,0)*0.475*44/12</f>
        <v>22.520944538654767</v>
      </c>
      <c r="CM56" s="21">
        <f>EXP(-LN(2)/2)*CM55+(1-EXP(-LN(2)/2))/(LN(2)/2)*CG56*CJ56*VLOOKUP('Données projet'!$B$12,Paramètres!$A$1:$I$89,3,0)*0.475*44/12</f>
        <v>4.9780447784703238E-3</v>
      </c>
      <c r="CN56" s="22">
        <f t="shared" si="12"/>
        <v>27.181308061101745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13.5</v>
      </c>
      <c r="CT56" s="12">
        <f>IF('Données projet'!$A$140&gt;35,CT55+CS56-DB55,IF(A56&lt;'Données projet'!$A$140,$CQ$205^A56,IF(A56='Données projet'!$A$140,'Données projet'!$B$140,CT55+CS56-DB55)))</f>
        <v>253.99999999999989</v>
      </c>
      <c r="CU56" s="17">
        <f>CT56*VLOOKUP('Données projet'!$B$13,Paramètres!$A$1:$I$89,3,0)*VLOOKUP('Données projet'!$B$13,Paramètres!$A$1:$I$89,5,0)</f>
        <v>118.87199999999994</v>
      </c>
      <c r="CV56" s="13">
        <f t="shared" si="41"/>
        <v>31.411767382096219</v>
      </c>
      <c r="CW56" s="20">
        <f t="shared" si="13"/>
        <v>261.74422819048414</v>
      </c>
      <c r="CX56" s="59">
        <f t="shared" si="14"/>
        <v>555.07756152381739</v>
      </c>
      <c r="CY56" s="59">
        <f ca="1">AVERAGE(OFFSET($CX$3,0,0,'Données projet'!$E$13+1,1))-AVERAGE(OFFSET($H$3,0,0,'Données projet'!$E$13+1,1))</f>
        <v>226.0452828290525</v>
      </c>
      <c r="CZ56" s="59">
        <f t="shared" si="42"/>
        <v>179.89696397462069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5.7554962230803381</v>
      </c>
      <c r="DG56" s="21">
        <f>EXP(-LN(2)/25)*DG55+(1-EXP(-LN(2)/25))/(LN(2)/25)*Calculateur!DB56*Calculateur!DD56*VLOOKUP('Données projet'!$B$13,Paramètres!$A$1:$I$89,3,0)*0.475*44/12</f>
        <v>5.8935733225590523</v>
      </c>
      <c r="DH56" s="21">
        <f>EXP(-LN(2)/2)*DH55+(1-EXP(-LN(2)/2))/(LN(2)/2)*DB56*DE56*VLOOKUP('Données projet'!$B$13,Paramètres!$A$1:$I$89,3,0)*0.475*44/12</f>
        <v>3.8128277096698281E-3</v>
      </c>
      <c r="DI56" s="22">
        <f t="shared" si="15"/>
        <v>11.65288237334906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7.25</v>
      </c>
      <c r="DO56" s="12">
        <f>IF('Données projet'!$A$166&gt;35,DO55+DN56-DW55,IF(A56&lt;'Données projet'!$A$166,$DL$205^A56,IF(A56='Données projet'!$A$166,'Données projet'!$B$166,DO55+DN56-DW55)))</f>
        <v>394.75000000000011</v>
      </c>
      <c r="DP56" s="17">
        <f>DO56*VLOOKUP('Données projet'!$B$14,Paramètres!$A$1:$I$89,3,0)*VLOOKUP('Données projet'!$B$14,Paramètres!$A$1:$I$89,5,0)</f>
        <v>236.0605000000001</v>
      </c>
      <c r="DQ56" s="13">
        <f t="shared" si="43"/>
        <v>57.591113137594334</v>
      </c>
      <c r="DR56" s="20">
        <f t="shared" si="16"/>
        <v>511.44322621464363</v>
      </c>
      <c r="DS56" s="59">
        <f t="shared" si="17"/>
        <v>804.77655954797694</v>
      </c>
      <c r="DT56" s="59">
        <f ca="1">AVERAGE(OFFSET($DS$3,0,0,'Données projet'!$E$14+1,1))-AVERAGE(OFFSET($H$3,0,0,'Données projet'!$E$14+1,1))</f>
        <v>252.81045065813976</v>
      </c>
      <c r="DU56" s="59">
        <f t="shared" si="44"/>
        <v>254.36590349790589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11.448938021586169</v>
      </c>
      <c r="EB56" s="21">
        <f>EXP(-LN(2)/25)*EB55+(1-EXP(-LN(2)/25))/(LN(2)/25)*Calculateur!DW56*Calculateur!DY56*VLOOKUP('Données projet'!$B$14,Paramètres!$A$1:$I$89,3,0)*0.475*44/12</f>
        <v>8.5227455195323181</v>
      </c>
      <c r="EC56" s="21">
        <f>EXP(-LN(2)/2)*EC55+(1-EXP(-LN(2)/2))/(LN(2)/2)*DW56*DZ56*VLOOKUP('Données projet'!$B$14,Paramètres!$A$1:$I$89,3,0)*0.475*44/12</f>
        <v>1.9823102228748984E-3</v>
      </c>
      <c r="ED56" s="22">
        <f t="shared" si="18"/>
        <v>19.973665851341362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8.4</v>
      </c>
      <c r="EJ56" s="12">
        <f>IF('Données projet'!$A$192&gt;35,EJ55+EI56-ER55,IF(A56&lt;'Données projet'!$A$192,$EG$205^A56,IF(A56='Données projet'!$A$192,'Données projet'!$B$192,EJ55+EI56-ER55)))</f>
        <v>307.19999999999987</v>
      </c>
      <c r="EK56" s="17">
        <f>EJ56*VLOOKUP('Données projet'!$B$15,Paramètres!$A$1:$I$89,3,0)*VLOOKUP('Données projet'!$B$15,Paramètres!$A$1:$I$89,5,0)</f>
        <v>225.2390399999999</v>
      </c>
      <c r="EL56" s="13">
        <f t="shared" si="45"/>
        <v>55.252000822487368</v>
      </c>
      <c r="EM56" s="20">
        <f t="shared" si="19"/>
        <v>488.5218960991653</v>
      </c>
      <c r="EN56" s="59">
        <f t="shared" si="20"/>
        <v>781.85522943249862</v>
      </c>
      <c r="EO56" s="59">
        <f ca="1">AVERAGE(OFFSET($EN$3,0,0,'Données projet'!$E$15+1,1))-AVERAGE(OFFSET($H$3,0,0,'Données projet'!$E$15+1,1))</f>
        <v>296.91321813251051</v>
      </c>
      <c r="EP56" s="59">
        <f t="shared" si="46"/>
        <v>291.0718079639509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8.2093407271916217</v>
      </c>
      <c r="EW56" s="21">
        <f>EXP(-LN(2)/25)*EW55+(1-EXP(-LN(2)/25))/(LN(2)/25)*Calculateur!ER56*Calculateur!ET56*VLOOKUP('Données projet'!$B$15,Paramètres!$A$1:$I$89,3,0)*0.475*44/12</f>
        <v>8.1718559849834076</v>
      </c>
      <c r="EX56" s="21">
        <f>EXP(-LN(2)/2)*EX55+(1-EXP(-LN(2)/2))/(LN(2)/2)*ER56*EU56*VLOOKUP('Données projet'!$B$15,Paramètres!$A$1:$I$89,3,0)*0.475*44/12</f>
        <v>3.7640660448171495E-3</v>
      </c>
      <c r="EY56" s="22">
        <f t="shared" si="21"/>
        <v>16.384960778219845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10.199999999999999</v>
      </c>
      <c r="FE56" s="12">
        <f>IF('Données projet'!$A$218&gt;35,FE55+FD56-FM55,IF(A56&lt;'Données projet'!$A$218,$FB$205^A56,IF(A56='Données projet'!$A$218,'Données projet'!$B$218,FE55+FD56-FM55)))</f>
        <v>233.6</v>
      </c>
      <c r="FF56" s="17">
        <f>FE56*VLOOKUP('Données projet'!$B$16,Paramètres!$A$1:$I$89,3,0)*VLOOKUP('Données projet'!$B$16,Paramètres!$A$1:$I$89,5,0)</f>
        <v>236.87040000000002</v>
      </c>
      <c r="FG56" s="13">
        <f t="shared" si="47"/>
        <v>57.765668276484661</v>
      </c>
      <c r="FH56" s="20">
        <f t="shared" si="22"/>
        <v>513.15781891487757</v>
      </c>
      <c r="FI56" s="59">
        <f t="shared" si="23"/>
        <v>806.49115224821094</v>
      </c>
      <c r="FJ56" s="59">
        <f ca="1">AVERAGE(OFFSET($FI$3,0,0,'Données projet'!$E$16+1,1))-AVERAGE(OFFSET($H$3,0,0,'Données projet'!$E$16+1,1))</f>
        <v>356.65981389369125</v>
      </c>
      <c r="FK56" s="59">
        <f t="shared" si="48"/>
        <v>231.92898690465887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5.1938644097458067</v>
      </c>
      <c r="FR56" s="21">
        <f>EXP(-LN(2)/25)*FR55+(1-EXP(-LN(2)/25))/(LN(2)/25)*Calculateur!FM56*Calculateur!FO56*VLOOKUP('Données projet'!$B$16,Paramètres!$A$1:$I$89,3,0)*0.475*44/12</f>
        <v>5.5467003298012507</v>
      </c>
      <c r="FS56" s="21">
        <f>EXP(-LN(2)/2)*FS55+(1-EXP(-LN(2)/2))/(LN(2)/2)*FM56*FP56*VLOOKUP('Données projet'!$B$16,Paramètres!$A$1:$I$89,3,0)*0.475*44/12</f>
        <v>3.3024436793997599E-3</v>
      </c>
      <c r="FT56" s="22">
        <f t="shared" si="24"/>
        <v>10.743867183226458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10.199999999999999</v>
      </c>
      <c r="FZ56" s="12">
        <f>IF('Données projet'!$A$244&gt;35,FZ55+FY56-GH55,IF(A56&lt;'Données projet'!$A$244,$FW$205^A56,IF(A56='Données projet'!$A$244,'Données projet'!$B$244,FZ55+FY56-GH55)))</f>
        <v>233.6</v>
      </c>
      <c r="GA56" s="17">
        <f>FZ56*VLOOKUP('Données projet'!$B$17,Paramètres!$A$1:$I$89,3,0)*VLOOKUP('Données projet'!$B$17,Paramètres!$A$1:$I$89,5,0)</f>
        <v>225.93791999999999</v>
      </c>
      <c r="GB56" s="13">
        <f t="shared" si="49"/>
        <v>55.403456067447962</v>
      </c>
      <c r="GC56" s="20">
        <f t="shared" si="25"/>
        <v>490.00289665080521</v>
      </c>
      <c r="GD56" s="59">
        <f t="shared" si="26"/>
        <v>783.33622998413853</v>
      </c>
      <c r="GE56" s="59">
        <f ca="1">AVERAGE(OFFSET($GD$3,0,0,'Données projet'!$E$17+1,1))-AVERAGE(OFFSET($H$3,0,0,'Données projet'!$E$17+1,1))</f>
        <v>337.76140497227715</v>
      </c>
      <c r="GF56" s="59">
        <f t="shared" si="50"/>
        <v>219.76562717496353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4.9541475908344603</v>
      </c>
      <c r="GM56" s="21">
        <f>EXP(-LN(2)/25)*GM55+(1-EXP(-LN(2)/25))/(LN(2)/25)*Calculateur!GH56*Calculateur!GJ56*VLOOKUP('Données projet'!$B$17,Paramètres!$A$1:$I$89,3,0)*0.475*44/12</f>
        <v>5.2906987761181155</v>
      </c>
      <c r="GN56" s="21">
        <f>EXP(-LN(2)/2)*GN55+(1-EXP(-LN(2)/2))/(LN(2)/2)*GH56*GK56*VLOOKUP('Données projet'!$B$17,Paramètres!$A$1:$I$89,3,0)*0.475*44/12</f>
        <v>3.1500232018890025E-3</v>
      </c>
      <c r="GO56" s="21">
        <f t="shared" si="27"/>
        <v>10.247996390154464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243.79999999999998</v>
      </c>
      <c r="O57" s="13">
        <f>N57*VLOOKUP('Données projet'!$B$9,Paramètres!$A$1:$I$89,3,0)*VLOOKUP('Données projet'!$B$9,Paramètres!$A$1:$I$89,5,0)</f>
        <v>220.59023999999997</v>
      </c>
      <c r="P57" s="13">
        <f t="shared" si="33"/>
        <v>54.24315145708789</v>
      </c>
      <c r="Q57" s="20">
        <f t="shared" si="53"/>
        <v>478.66815678776129</v>
      </c>
      <c r="R57" s="59">
        <f t="shared" si="0"/>
        <v>772.00149012109455</v>
      </c>
      <c r="S57" s="59">
        <f ca="1">AVERAGE(OFFSET($R$3,0,0,'Données projet'!$E$9+1,1))-AVERAGE(OFFSET($H$3,0,0,'Données projet'!$E$9+1,1))</f>
        <v>312.53389584272878</v>
      </c>
      <c r="T57" s="59">
        <f t="shared" si="34"/>
        <v>203.5274665601915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4.5436449539027661</v>
      </c>
      <c r="AA57" s="21">
        <f>EXP(-LN(2)/25)*AA56+(1-EXP(-LN(2)/25))/(LN(2)/25)*Calculateur!V57*Calculateur!X57*VLOOKUP('Données projet'!$B$9,Paramètres!$A$1:$I$89,3,0)*0.475*44/12</f>
        <v>4.8140227695458968</v>
      </c>
      <c r="AB57" s="21">
        <f>EXP(-LN(2)/2)*AB56+(1-EXP(-LN(2)/2))/(LN(2)/2)*V57*Y57*VLOOKUP('Données projet'!$B$9,Paramètres!$A$1:$I$89,3,0)*0.475*44/12</f>
        <v>2.0836993626312758E-3</v>
      </c>
      <c r="AC57" s="22">
        <f t="shared" si="3"/>
        <v>9.3597514228112946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8.6</v>
      </c>
      <c r="AI57" s="13">
        <f>IF('Données projet'!$A$62&gt;35,AI56+AH57-AQ56,IF(A57&lt;'Données projet'!$A$62,$AF$205^A57,IF(A57='Données projet'!$A$62,'Données projet'!$B$62,AI56+AH57-AQ56)))</f>
        <v>249.40000000000006</v>
      </c>
      <c r="AJ57" s="13">
        <f>AI57*VLOOKUP('Données projet'!$B$10,Paramètres!$A$1:$I$89,3,0)*VLOOKUP('Données projet'!$B$10,Paramètres!$A$1:$I$89,5,0)</f>
        <v>217.87584000000007</v>
      </c>
      <c r="AK57" s="13">
        <f t="shared" si="35"/>
        <v>53.652949670124926</v>
      </c>
      <c r="AL57" s="20">
        <f t="shared" si="4"/>
        <v>472.91264200880101</v>
      </c>
      <c r="AM57" s="59">
        <f t="shared" si="5"/>
        <v>766.24597534213433</v>
      </c>
      <c r="AN57" s="59">
        <f ca="1">AVERAGE(OFFSET($AM$3,0,0,'Données projet'!$E$10+1,1))-AVERAGE(OFFSET($H$3,0,0,'Données projet'!$E$10+1,1))</f>
        <v>243.05628303465238</v>
      </c>
      <c r="AO57" s="59">
        <f t="shared" si="36"/>
        <v>352.47096767658394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4.908204308571734</v>
      </c>
      <c r="AV57" s="21">
        <f>EXP(-LN(2)/25)*AV56+(1-EXP(-LN(2)/25))/(LN(2)/25)*Calculateur!AQ57*Calculateur!AS57*VLOOKUP('Données projet'!$B$10,Paramètres!$A$1:$I$89,3,0)*0.475*44/12</f>
        <v>9.3137226345584558</v>
      </c>
      <c r="AW57" s="21">
        <f>EXP(-LN(2)/2)*AW56+(1-EXP(-LN(2)/2))/(LN(2)/2)*AQ57*AT57*VLOOKUP('Données projet'!$B$10,Paramètres!$A$1:$I$89,3,0)*0.475*44/12</f>
        <v>2.7522383293623327E-3</v>
      </c>
      <c r="AX57" s="21">
        <f t="shared" si="6"/>
        <v>14.224679181459551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8.4</v>
      </c>
      <c r="BD57" s="12">
        <f>IF('Données projet'!$A$88&gt;35,BD56+BC57-BL56,IF(A57&lt;'Données projet'!$A$88,$BA$205^A57,IF(A57='Données projet'!$A$88,'Données projet'!$B$88,BD56+BC57-BL56)))</f>
        <v>315.59999999999985</v>
      </c>
      <c r="BE57" s="13">
        <f>BD57*VLOOKUP('Données projet'!$B$11,Paramètres!$A$1:$I$89,3,0)*VLOOKUP('Données projet'!$B$11,Paramètres!$A$1:$I$89,5,0)</f>
        <v>251.0913599999999</v>
      </c>
      <c r="BF57" s="13">
        <f t="shared" si="37"/>
        <v>60.81957989149403</v>
      </c>
      <c r="BG57" s="20">
        <f t="shared" si="7"/>
        <v>543.24488697768527</v>
      </c>
      <c r="BH57" s="59">
        <f t="shared" si="8"/>
        <v>836.57822031101864</v>
      </c>
      <c r="BI57" s="59">
        <f ca="1">AVERAGE(OFFSET($BH$3,0,0,'Données projet'!$E$11+1,1))-AVERAGE(OFFSET($H$3,0,0,'Données projet'!$E$11+1,1))</f>
        <v>325.72928944930294</v>
      </c>
      <c r="BJ57" s="59">
        <f t="shared" si="38"/>
        <v>318.38876834819752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10.764333795681448</v>
      </c>
      <c r="BQ57" s="21">
        <f>EXP(-LN(2)/25)*BQ56+(1-EXP(-LN(2)/25))/(LN(2)/25)*Calculateur!BL57*Calculateur!BN57*VLOOKUP('Données projet'!$B$11,Paramètres!$A$1:$I$89,3,0)*0.475*44/12</f>
        <v>10.63063572610786</v>
      </c>
      <c r="BR57" s="21">
        <f>EXP(-LN(2)/2)*BR56+(1-EXP(-LN(2)/2))/(LN(2)/2)*BL57*BO57*VLOOKUP('Données projet'!$B$11,Paramètres!$A$1:$I$89,3,0)*0.475*44/12</f>
        <v>2.8881154868369303E-3</v>
      </c>
      <c r="BS57" s="22">
        <f t="shared" si="9"/>
        <v>21.397857637276143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15.4</v>
      </c>
      <c r="BY57" s="12">
        <f>IF('Données projet'!$A$114&gt;35,BY56+BX57-CG56,IF(A57&lt;'Données projet'!$A$114,$BV$205^A57,IF(A57='Données projet'!$A$114,'Données projet'!$B$114,BY56+BX57-CG56)))</f>
        <v>723.59999999999945</v>
      </c>
      <c r="BZ57" s="13">
        <f>BY57*VLOOKUP('Données projet'!$B$12,Paramètres!$A$1:$I$89,3,0)*VLOOKUP('Données projet'!$B$12,Paramètres!$A$1:$I$89,5,0)</f>
        <v>404.49239999999969</v>
      </c>
      <c r="CA57" s="13">
        <f t="shared" si="39"/>
        <v>92.686837535548761</v>
      </c>
      <c r="CB57" s="20">
        <f t="shared" si="10"/>
        <v>865.92050537441344</v>
      </c>
      <c r="CC57" s="59">
        <f t="shared" si="11"/>
        <v>1159.2538387077468</v>
      </c>
      <c r="CD57" s="59">
        <f ca="1">AVERAGE(OFFSET($CC$3,0,0,'Données projet'!$E$12+1,1))-AVERAGE(OFFSET($H$3,0,0,'Données projet'!$E$12+1,1))</f>
        <v>475.54809021014017</v>
      </c>
      <c r="CE57" s="59">
        <f t="shared" si="40"/>
        <v>593.51433014569966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4.5640962079561911</v>
      </c>
      <c r="CL57" s="21">
        <f>EXP(-LN(2)/25)*CL56+(1-EXP(-LN(2)/25))/(LN(2)/25)*Calculateur!CG57*Calculateur!CI57*VLOOKUP('Données projet'!$B$12,Paramètres!$A$1:$I$89,3,0)*0.475*44/12</f>
        <v>21.90510812592025</v>
      </c>
      <c r="CM57" s="21">
        <f>EXP(-LN(2)/2)*CM56+(1-EXP(-LN(2)/2))/(LN(2)/2)*CG57*CJ57*VLOOKUP('Données projet'!$B$12,Paramètres!$A$1:$I$89,3,0)*0.475*44/12</f>
        <v>3.5200092199066508E-3</v>
      </c>
      <c r="CN57" s="22">
        <f t="shared" si="12"/>
        <v>26.472724343096349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13.5</v>
      </c>
      <c r="CT57" s="12">
        <f>IF('Données projet'!$A$140&gt;35,CT56+CS57-DB56,IF(A57&lt;'Données projet'!$A$140,$CQ$205^A57,IF(A57='Données projet'!$A$140,'Données projet'!$B$140,CT56+CS57-DB56)))</f>
        <v>267.49999999999989</v>
      </c>
      <c r="CU57" s="17">
        <f>CT57*VLOOKUP('Données projet'!$B$13,Paramètres!$A$1:$I$89,3,0)*VLOOKUP('Données projet'!$B$13,Paramètres!$A$1:$I$89,5,0)</f>
        <v>125.18999999999994</v>
      </c>
      <c r="CV57" s="13">
        <f t="shared" si="41"/>
        <v>32.882482546564304</v>
      </c>
      <c r="CW57" s="20">
        <f t="shared" si="13"/>
        <v>275.30957376859936</v>
      </c>
      <c r="CX57" s="59">
        <f t="shared" si="14"/>
        <v>568.64290710193268</v>
      </c>
      <c r="CY57" s="59">
        <f ca="1">AVERAGE(OFFSET($CX$3,0,0,'Données projet'!$E$13+1,1))-AVERAGE(OFFSET($H$3,0,0,'Données projet'!$E$13+1,1))</f>
        <v>226.0452828290525</v>
      </c>
      <c r="CZ57" s="59">
        <f t="shared" si="42"/>
        <v>179.89696397462069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5.6426344526517953</v>
      </c>
      <c r="DG57" s="21">
        <f>EXP(-LN(2)/25)*DG56+(1-EXP(-LN(2)/25))/(LN(2)/25)*Calculateur!DB57*Calculateur!DD57*VLOOKUP('Données projet'!$B$13,Paramètres!$A$1:$I$89,3,0)*0.475*44/12</f>
        <v>5.7324132501241243</v>
      </c>
      <c r="DH57" s="21">
        <f>EXP(-LN(2)/2)*DH56+(1-EXP(-LN(2)/2))/(LN(2)/2)*DB57*DE57*VLOOKUP('Données projet'!$B$13,Paramètres!$A$1:$I$89,3,0)*0.475*44/12</f>
        <v>2.6960763290035084E-3</v>
      </c>
      <c r="DI57" s="22">
        <f t="shared" si="15"/>
        <v>11.377743779104923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>
        <f>VLOOKUP(A57,'Données projet'!$A$165:$I$185,2,0)</f>
        <v>402</v>
      </c>
      <c r="DM57" s="12">
        <f>VLOOKUP(A57,'Données projet'!$A$165:$I$185,9,0)</f>
        <v>7.25</v>
      </c>
      <c r="DN57" s="12">
        <f t="array" ref="DN57">INDEX(DM:DM,MIN(IF(ISNUMBER(DM57:DM253),ROW(DM57:DM253),"")))</f>
        <v>7.25</v>
      </c>
      <c r="DO57" s="12">
        <f>IF('Données projet'!$A$166&gt;35,DO56+DN57-DW56,IF(A57&lt;'Données projet'!$A$166,$DL$205^A57,IF(A57='Données projet'!$A$166,'Données projet'!$B$166,DO56+DN57-DW56)))</f>
        <v>402.00000000000011</v>
      </c>
      <c r="DP57" s="17">
        <f>DO57*VLOOKUP('Données projet'!$B$14,Paramètres!$A$1:$I$89,3,0)*VLOOKUP('Données projet'!$B$14,Paramètres!$A$1:$I$89,5,0)</f>
        <v>240.3960000000001</v>
      </c>
      <c r="DQ57" s="13">
        <f t="shared" si="43"/>
        <v>58.524723634421655</v>
      </c>
      <c r="DR57" s="20">
        <f t="shared" si="16"/>
        <v>520.62026032995107</v>
      </c>
      <c r="DS57" s="59">
        <f t="shared" si="17"/>
        <v>813.95359366328444</v>
      </c>
      <c r="DT57" s="59">
        <f ca="1">AVERAGE(OFFSET($DS$3,0,0,'Données projet'!$E$14+1,1))-AVERAGE(OFFSET($H$3,0,0,'Données projet'!$E$14+1,1))</f>
        <v>252.81045065813976</v>
      </c>
      <c r="DU57" s="59">
        <f t="shared" si="44"/>
        <v>254.36590349790589</v>
      </c>
      <c r="DV57" s="15">
        <f>IF(ISNA(VLOOKUP(A57,'Données projet'!$A$165:$I$185,3,0)),0,VLOOKUP(A57,'Données projet'!$A$165:$I$185,3,0))</f>
        <v>9</v>
      </c>
      <c r="DW57" s="15">
        <f>IF(ISNA(VLOOKUP(A57,'Données projet'!$A$165:$I$185,4,0)),0,VLOOKUP(A57,'Données projet'!$A$165:$I$185,4,0))</f>
        <v>17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11.224431330145528</v>
      </c>
      <c r="EB57" s="21">
        <f>EXP(-LN(2)/25)*EB56+(1-EXP(-LN(2)/25))/(LN(2)/25)*Calculateur!DW57*Calculateur!DY57*VLOOKUP('Données projet'!$B$14,Paramètres!$A$1:$I$89,3,0)*0.475*44/12</f>
        <v>8.2896905951089987</v>
      </c>
      <c r="EC57" s="21">
        <f>EXP(-LN(2)/2)*EC56+(1-EXP(-LN(2)/2))/(LN(2)/2)*DW57*DZ57*VLOOKUP('Données projet'!$B$14,Paramètres!$A$1:$I$89,3,0)*0.475*44/12</f>
        <v>1.401705001010257E-3</v>
      </c>
      <c r="ED57" s="22">
        <f t="shared" si="18"/>
        <v>19.51552363025554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8.4</v>
      </c>
      <c r="EJ57" s="12">
        <f>IF('Données projet'!$A$192&gt;35,EJ56+EI57-ER56,IF(A57&lt;'Données projet'!$A$192,$EG$205^A57,IF(A57='Données projet'!$A$192,'Données projet'!$B$192,EJ56+EI57-ER56)))</f>
        <v>315.59999999999985</v>
      </c>
      <c r="EK57" s="17">
        <f>EJ57*VLOOKUP('Données projet'!$B$15,Paramètres!$A$1:$I$89,3,0)*VLOOKUP('Données projet'!$B$15,Paramètres!$A$1:$I$89,5,0)</f>
        <v>231.39791999999986</v>
      </c>
      <c r="EL57" s="13">
        <f t="shared" si="45"/>
        <v>56.584837838715806</v>
      </c>
      <c r="EM57" s="20">
        <f t="shared" si="19"/>
        <v>501.5699699024297</v>
      </c>
      <c r="EN57" s="59">
        <f t="shared" si="20"/>
        <v>794.90330323576302</v>
      </c>
      <c r="EO57" s="59">
        <f ca="1">AVERAGE(OFFSET($EN$3,0,0,'Données projet'!$E$15+1,1))-AVERAGE(OFFSET($H$3,0,0,'Données projet'!$E$15+1,1))</f>
        <v>296.91321813251051</v>
      </c>
      <c r="EP57" s="59">
        <f t="shared" si="46"/>
        <v>291.0718079639509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8.0483605627348176</v>
      </c>
      <c r="EW57" s="21">
        <f>EXP(-LN(2)/25)*EW56+(1-EXP(-LN(2)/25))/(LN(2)/25)*Calculateur!ER57*Calculateur!ET57*VLOOKUP('Données projet'!$B$15,Paramètres!$A$1:$I$89,3,0)*0.475*44/12</f>
        <v>7.9483961533348069</v>
      </c>
      <c r="EX57" s="21">
        <f>EXP(-LN(2)/2)*EX56+(1-EXP(-LN(2)/2))/(LN(2)/2)*ER57*EU57*VLOOKUP('Données projet'!$B$15,Paramètres!$A$1:$I$89,3,0)*0.475*44/12</f>
        <v>2.6615966251242336E-3</v>
      </c>
      <c r="EY57" s="22">
        <f t="shared" si="21"/>
        <v>15.999418312694749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10.199999999999999</v>
      </c>
      <c r="FE57" s="12">
        <f>IF('Données projet'!$A$218&gt;35,FE56+FD57-FM56,IF(A57&lt;'Données projet'!$A$218,$FB$205^A57,IF(A57='Données projet'!$A$218,'Données projet'!$B$218,FE56+FD57-FM56)))</f>
        <v>243.79999999999998</v>
      </c>
      <c r="FF57" s="17">
        <f>FE57*VLOOKUP('Données projet'!$B$16,Paramètres!$A$1:$I$89,3,0)*VLOOKUP('Données projet'!$B$16,Paramètres!$A$1:$I$89,5,0)</f>
        <v>247.2132</v>
      </c>
      <c r="FG57" s="13">
        <f t="shared" si="47"/>
        <v>59.988800807398761</v>
      </c>
      <c r="FH57" s="20">
        <f t="shared" si="22"/>
        <v>535.04348473955281</v>
      </c>
      <c r="FI57" s="59">
        <f t="shared" si="23"/>
        <v>828.37681807288618</v>
      </c>
      <c r="FJ57" s="59">
        <f ca="1">AVERAGE(OFFSET($FI$3,0,0,'Données projet'!$E$16+1,1))-AVERAGE(OFFSET($H$3,0,0,'Données projet'!$E$16+1,1))</f>
        <v>356.65981389369125</v>
      </c>
      <c r="FK57" s="59">
        <f t="shared" si="48"/>
        <v>231.92898690465887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5.0920158966151732</v>
      </c>
      <c r="FR57" s="21">
        <f>EXP(-LN(2)/25)*FR56+(1-EXP(-LN(2)/25))/(LN(2)/25)*Calculateur!FM57*Calculateur!FO57*VLOOKUP('Données projet'!$B$16,Paramètres!$A$1:$I$89,3,0)*0.475*44/12</f>
        <v>5.3950255175945427</v>
      </c>
      <c r="FS57" s="21">
        <f>EXP(-LN(2)/2)*FS56+(1-EXP(-LN(2)/2))/(LN(2)/2)*FM57*FP57*VLOOKUP('Données projet'!$B$16,Paramètres!$A$1:$I$89,3,0)*0.475*44/12</f>
        <v>2.3351803201902229E-3</v>
      </c>
      <c r="FT57" s="22">
        <f t="shared" si="24"/>
        <v>10.489376594529906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10.199999999999999</v>
      </c>
      <c r="FZ57" s="12">
        <f>IF('Données projet'!$A$244&gt;35,FZ56+FY57-GH56,IF(A57&lt;'Données projet'!$A$244,$FW$205^A57,IF(A57='Données projet'!$A$244,'Données projet'!$B$244,FZ56+FY57-GH56)))</f>
        <v>243.79999999999998</v>
      </c>
      <c r="GA57" s="17">
        <f>FZ57*VLOOKUP('Données projet'!$B$17,Paramètres!$A$1:$I$89,3,0)*VLOOKUP('Données projet'!$B$17,Paramètres!$A$1:$I$89,5,0)</f>
        <v>235.80335999999997</v>
      </c>
      <c r="GB57" s="13">
        <f t="shared" si="49"/>
        <v>57.53567801144218</v>
      </c>
      <c r="GC57" s="20">
        <f t="shared" si="25"/>
        <v>510.89882453659499</v>
      </c>
      <c r="GD57" s="59">
        <f t="shared" si="26"/>
        <v>804.2321578699283</v>
      </c>
      <c r="GE57" s="59">
        <f ca="1">AVERAGE(OFFSET($GD$3,0,0,'Données projet'!$E$17+1,1))-AVERAGE(OFFSET($H$3,0,0,'Données projet'!$E$17+1,1))</f>
        <v>337.76140497227715</v>
      </c>
      <c r="GF57" s="59">
        <f t="shared" si="50"/>
        <v>219.76562717496353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4.8569997783098557</v>
      </c>
      <c r="GM57" s="21">
        <f>EXP(-LN(2)/25)*GM56+(1-EXP(-LN(2)/25))/(LN(2)/25)*Calculateur!GH57*Calculateur!GJ57*VLOOKUP('Données projet'!$B$17,Paramètres!$A$1:$I$89,3,0)*0.475*44/12</f>
        <v>5.1460243398594088</v>
      </c>
      <c r="GN57" s="21">
        <f>EXP(-LN(2)/2)*GN56+(1-EXP(-LN(2)/2))/(LN(2)/2)*GH57*GK57*VLOOKUP('Données projet'!$B$17,Paramètres!$A$1:$I$89,3,0)*0.475*44/12</f>
        <v>2.2274027669506747E-3</v>
      </c>
      <c r="GO57" s="21">
        <f t="shared" si="27"/>
        <v>10.005251520936215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253.99999999999997</v>
      </c>
      <c r="O58" s="13">
        <f>N58*VLOOKUP('Données projet'!$B$9,Paramètres!$A$1:$I$89,3,0)*VLOOKUP('Données projet'!$B$9,Paramètres!$A$1:$I$89,5,0)</f>
        <v>229.81919999999997</v>
      </c>
      <c r="P58" s="13">
        <f t="shared" si="33"/>
        <v>56.243586554989342</v>
      </c>
      <c r="Q58" s="20">
        <f t="shared" si="53"/>
        <v>498.22601991660639</v>
      </c>
      <c r="R58" s="59">
        <f t="shared" si="0"/>
        <v>791.5593532499397</v>
      </c>
      <c r="S58" s="59">
        <f ca="1">AVERAGE(OFFSET($R$3,0,0,'Données projet'!$E$9+1,1))-AVERAGE(OFFSET($H$3,0,0,'Données projet'!$E$9+1,1))</f>
        <v>312.53389584272878</v>
      </c>
      <c r="T58" s="59">
        <f t="shared" si="34"/>
        <v>203.5274665601915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4.4545468477065064</v>
      </c>
      <c r="AA58" s="21">
        <f>EXP(-LN(2)/25)*AA57+(1-EXP(-LN(2)/25))/(LN(2)/25)*Calculateur!V58*Calculateur!X58*VLOOKUP('Données projet'!$B$9,Paramètres!$A$1:$I$89,3,0)*0.475*44/12</f>
        <v>4.6823830637542097</v>
      </c>
      <c r="AB58" s="21">
        <f>EXP(-LN(2)/2)*AB57+(1-EXP(-LN(2)/2))/(LN(2)/2)*V58*Y58*VLOOKUP('Données projet'!$B$9,Paramètres!$A$1:$I$89,3,0)*0.475*44/12</f>
        <v>1.4733979492706621E-3</v>
      </c>
      <c r="AC58" s="22">
        <f t="shared" si="3"/>
        <v>9.1384033094099859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258</v>
      </c>
      <c r="AG58" s="12">
        <f>VLOOKUP(A58,'Données projet'!$A$61:$I$81,9,0)</f>
        <v>8.6</v>
      </c>
      <c r="AH58" s="12">
        <f t="array" ref="AH58">INDEX(AG:AG,MIN(IF(ISNUMBER(AG58:AG254),ROW(AG58:AG254),"")))</f>
        <v>8.6</v>
      </c>
      <c r="AI58" s="13">
        <f>IF('Données projet'!$A$62&gt;35,AI57+AH58-AQ57,IF(A58&lt;'Données projet'!$A$62,$AF$205^A58,IF(A58='Données projet'!$A$62,'Données projet'!$B$62,AI57+AH58-AQ57)))</f>
        <v>258.00000000000006</v>
      </c>
      <c r="AJ58" s="13">
        <f>AI58*VLOOKUP('Données projet'!$B$10,Paramètres!$A$1:$I$89,3,0)*VLOOKUP('Données projet'!$B$10,Paramètres!$A$1:$I$89,5,0)</f>
        <v>225.38880000000009</v>
      </c>
      <c r="AK58" s="13">
        <f t="shared" si="35"/>
        <v>55.284460117161593</v>
      </c>
      <c r="AL58" s="20">
        <f t="shared" si="4"/>
        <v>488.83926137072331</v>
      </c>
      <c r="AM58" s="59">
        <f t="shared" si="5"/>
        <v>782.17259470405656</v>
      </c>
      <c r="AN58" s="59">
        <f ca="1">AVERAGE(OFFSET($AM$3,0,0,'Données projet'!$E$10+1,1))-AVERAGE(OFFSET($H$3,0,0,'Données projet'!$E$10+1,1))</f>
        <v>243.05628303465238</v>
      </c>
      <c r="AO58" s="59">
        <f t="shared" si="36"/>
        <v>352.47096767658394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258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4.8119574157896663</v>
      </c>
      <c r="AV58" s="21">
        <f>EXP(-LN(2)/25)*AV57+(1-EXP(-LN(2)/25))/(LN(2)/25)*Calculateur!AQ58*Calculateur!AS58*VLOOKUP('Données projet'!$B$10,Paramètres!$A$1:$I$89,3,0)*0.475*44/12</f>
        <v>9.0590383993290686</v>
      </c>
      <c r="AW58" s="21">
        <f>EXP(-LN(2)/2)*AW57+(1-EXP(-LN(2)/2))/(LN(2)/2)*AQ58*AT58*VLOOKUP('Données projet'!$B$10,Paramètres!$A$1:$I$89,3,0)*0.475*44/12</f>
        <v>1.9461263861336403E-3</v>
      </c>
      <c r="AX58" s="21">
        <f t="shared" si="6"/>
        <v>13.87294194150487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324</v>
      </c>
      <c r="BB58" s="12">
        <f>VLOOKUP(A58,'Données projet'!$A$87:$I$107,9,0)</f>
        <v>8.4</v>
      </c>
      <c r="BC58" s="12">
        <f t="array" ref="BC58">INDEX(BB:BB,MIN(IF(ISNUMBER(BB58:BB254),ROW(BB58:BB254),"")))</f>
        <v>8.4</v>
      </c>
      <c r="BD58" s="12">
        <f>IF('Données projet'!$A$88&gt;35,BD57+BC58-BL57,IF(A58&lt;'Données projet'!$A$88,$BA$205^A58,IF(A58='Données projet'!$A$88,'Données projet'!$B$88,BD57+BC58-BL57)))</f>
        <v>323.99999999999983</v>
      </c>
      <c r="BE58" s="13">
        <f>BD58*VLOOKUP('Données projet'!$B$11,Paramètres!$A$1:$I$89,3,0)*VLOOKUP('Données projet'!$B$11,Paramètres!$A$1:$I$89,5,0)</f>
        <v>257.7743999999999</v>
      </c>
      <c r="BF58" s="13">
        <f t="shared" si="37"/>
        <v>62.247732872134243</v>
      </c>
      <c r="BG58" s="20">
        <f t="shared" si="7"/>
        <v>557.37188141896695</v>
      </c>
      <c r="BH58" s="59">
        <f t="shared" si="8"/>
        <v>850.70521475230021</v>
      </c>
      <c r="BI58" s="59">
        <f ca="1">AVERAGE(OFFSET($BH$3,0,0,'Données projet'!$E$11+1,1))-AVERAGE(OFFSET($H$3,0,0,'Données projet'!$E$11+1,1))</f>
        <v>325.72928944930294</v>
      </c>
      <c r="BJ58" s="59">
        <f t="shared" si="38"/>
        <v>318.38876834819752</v>
      </c>
      <c r="BK58" s="15">
        <f>IF(ISNA(VLOOKUP(A58,'Données projet'!$A$87:$I$107,3,0)),0,VLOOKUP(A58,'Données projet'!$A$87:$I$107,3,0))</f>
        <v>10</v>
      </c>
      <c r="BL58" s="15">
        <f>IF(ISNA(VLOOKUP(A58,'Données projet'!$A$87:$I$107,4,0)),0,VLOOKUP(A58,'Données projet'!$A$87:$I$107,4,0))</f>
        <v>18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10.553251775543451</v>
      </c>
      <c r="BQ58" s="21">
        <f>EXP(-LN(2)/25)*BQ57+(1-EXP(-LN(2)/25))/(LN(2)/25)*Calculateur!BL58*Calculateur!BN58*VLOOKUP('Données projet'!$B$11,Paramètres!$A$1:$I$89,3,0)*0.475*44/12</f>
        <v>10.339940433136604</v>
      </c>
      <c r="BR58" s="21">
        <f>EXP(-LN(2)/2)*BR57+(1-EXP(-LN(2)/2))/(LN(2)/2)*BL58*BO58*VLOOKUP('Données projet'!$B$11,Paramètres!$A$1:$I$89,3,0)*0.475*44/12</f>
        <v>2.0422060455922804E-3</v>
      </c>
      <c r="BS58" s="22">
        <f t="shared" si="9"/>
        <v>20.895234414725646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739</v>
      </c>
      <c r="BW58" s="12">
        <f>VLOOKUP(A58,'Données projet'!$A$113:$I$133,9,0)</f>
        <v>15.4</v>
      </c>
      <c r="BX58" s="12">
        <f t="array" ref="BX58">INDEX(BW:BW,MIN(IF(ISNUMBER(BW58:BW254),ROW(BW58:BW254),"")))</f>
        <v>15.4</v>
      </c>
      <c r="BY58" s="12">
        <f>IF('Données projet'!$A$114&gt;35,BY57+BX58-CG57,IF(A58&lt;'Données projet'!$A$114,$BV$205^A58,IF(A58='Données projet'!$A$114,'Données projet'!$B$114,BY57+BX58-CG57)))</f>
        <v>738.99999999999943</v>
      </c>
      <c r="BZ58" s="13">
        <f>BY58*VLOOKUP('Données projet'!$B$12,Paramètres!$A$1:$I$89,3,0)*VLOOKUP('Données projet'!$B$12,Paramètres!$A$1:$I$89,5,0)</f>
        <v>413.10099999999971</v>
      </c>
      <c r="CA58" s="13">
        <f t="shared" si="39"/>
        <v>94.427689670462271</v>
      </c>
      <c r="CB58" s="20">
        <f t="shared" si="10"/>
        <v>883.94580117605472</v>
      </c>
      <c r="CC58" s="59">
        <f t="shared" si="11"/>
        <v>1177.2791345093881</v>
      </c>
      <c r="CD58" s="59">
        <f ca="1">AVERAGE(OFFSET($CC$3,0,0,'Données projet'!$E$12+1,1))-AVERAGE(OFFSET($H$3,0,0,'Données projet'!$E$12+1,1))</f>
        <v>475.54809021014017</v>
      </c>
      <c r="CE58" s="59">
        <f t="shared" si="40"/>
        <v>593.51433014569966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46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4.4745970651419773</v>
      </c>
      <c r="CL58" s="21">
        <f>EXP(-LN(2)/25)*CL57+(1-EXP(-LN(2)/25))/(LN(2)/25)*Calculateur!CG58*Calculateur!CI58*VLOOKUP('Données projet'!$B$12,Paramètres!$A$1:$I$89,3,0)*0.475*44/12</f>
        <v>21.306111792277388</v>
      </c>
      <c r="CM58" s="21">
        <f>EXP(-LN(2)/2)*CM57+(1-EXP(-LN(2)/2))/(LN(2)/2)*CG58*CJ58*VLOOKUP('Données projet'!$B$12,Paramètres!$A$1:$I$89,3,0)*0.475*44/12</f>
        <v>2.4890223892351619E-3</v>
      </c>
      <c r="CN58" s="22">
        <f t="shared" si="12"/>
        <v>25.783197879808601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13.5</v>
      </c>
      <c r="CT58" s="12">
        <f>IF('Données projet'!$A$140&gt;35,CT57+CS58-DB57,IF(A58&lt;'Données projet'!$A$140,$CQ$205^A58,IF(A58='Données projet'!$A$140,'Données projet'!$B$140,CT57+CS58-DB57)))</f>
        <v>280.99999999999989</v>
      </c>
      <c r="CU58" s="17">
        <f>CT58*VLOOKUP('Données projet'!$B$13,Paramètres!$A$1:$I$89,3,0)*VLOOKUP('Données projet'!$B$13,Paramètres!$A$1:$I$89,5,0)</f>
        <v>131.50799999999995</v>
      </c>
      <c r="CV58" s="13">
        <f t="shared" si="41"/>
        <v>34.344579617082481</v>
      </c>
      <c r="CW58" s="20">
        <f t="shared" si="13"/>
        <v>288.85990949975189</v>
      </c>
      <c r="CX58" s="59">
        <f t="shared" si="14"/>
        <v>582.19324283308515</v>
      </c>
      <c r="CY58" s="59">
        <f ca="1">AVERAGE(OFFSET($CX$3,0,0,'Données projet'!$E$13+1,1))-AVERAGE(OFFSET($H$3,0,0,'Données projet'!$E$13+1,1))</f>
        <v>226.0452828290525</v>
      </c>
      <c r="CZ58" s="59">
        <f t="shared" si="42"/>
        <v>179.89696397462069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5.5319858327024729</v>
      </c>
      <c r="DG58" s="21">
        <f>EXP(-LN(2)/25)*DG57+(1-EXP(-LN(2)/25))/(LN(2)/25)*Calculateur!DB58*Calculateur!DD58*VLOOKUP('Données projet'!$B$13,Paramètres!$A$1:$I$89,3,0)*0.475*44/12</f>
        <v>5.5756601083449686</v>
      </c>
      <c r="DH58" s="21">
        <f>EXP(-LN(2)/2)*DH57+(1-EXP(-LN(2)/2))/(LN(2)/2)*DB58*DE58*VLOOKUP('Données projet'!$B$13,Paramètres!$A$1:$I$89,3,0)*0.475*44/12</f>
        <v>1.9064138548349143E-3</v>
      </c>
      <c r="DI58" s="22">
        <f t="shared" si="15"/>
        <v>11.109552354902275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3</v>
      </c>
      <c r="DO58" s="12">
        <f>IF('Données projet'!$A$166&gt;35,DO57+DN58-DW57,IF(A58&lt;'Données projet'!$A$166,$DL$205^A58,IF(A58='Données projet'!$A$166,'Données projet'!$B$166,DO57+DN58-DW57)))</f>
        <v>388.00000000000011</v>
      </c>
      <c r="DP58" s="17">
        <f>DO58*VLOOKUP('Données projet'!$B$14,Paramètres!$A$1:$I$89,3,0)*VLOOKUP('Données projet'!$B$14,Paramètres!$A$1:$I$89,5,0)</f>
        <v>232.02400000000006</v>
      </c>
      <c r="DQ58" s="13">
        <f t="shared" si="43"/>
        <v>56.720094243161071</v>
      </c>
      <c r="DR58" s="20">
        <f t="shared" si="16"/>
        <v>502.89596414017234</v>
      </c>
      <c r="DS58" s="59">
        <f t="shared" si="17"/>
        <v>796.22929747350565</v>
      </c>
      <c r="DT58" s="59">
        <f ca="1">AVERAGE(OFFSET($DS$3,0,0,'Données projet'!$E$14+1,1))-AVERAGE(OFFSET($H$3,0,0,'Données projet'!$E$14+1,1))</f>
        <v>252.81045065813976</v>
      </c>
      <c r="DU58" s="59">
        <f t="shared" si="44"/>
        <v>254.36590349790589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11.004327077988476</v>
      </c>
      <c r="EB58" s="21">
        <f>EXP(-LN(2)/25)*EB57+(1-EXP(-LN(2)/25))/(LN(2)/25)*Calculateur!DW58*Calculateur!DY58*VLOOKUP('Données projet'!$B$14,Paramètres!$A$1:$I$89,3,0)*0.475*44/12</f>
        <v>8.0630085698498615</v>
      </c>
      <c r="EC58" s="21">
        <f>EXP(-LN(2)/2)*EC57+(1-EXP(-LN(2)/2))/(LN(2)/2)*DW58*DZ58*VLOOKUP('Données projet'!$B$14,Paramètres!$A$1:$I$89,3,0)*0.475*44/12</f>
        <v>9.9115511143744919E-4</v>
      </c>
      <c r="ED58" s="22">
        <f t="shared" si="18"/>
        <v>19.068326802949777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324</v>
      </c>
      <c r="EH58" s="12">
        <f>VLOOKUP(A58,'Données projet'!$A$191:$I$211,9,0)</f>
        <v>8.4</v>
      </c>
      <c r="EI58" s="12">
        <f t="array" ref="EI58">INDEX(EH:EH,MIN(IF(ISNUMBER(EH58:EH254),ROW(EH58:EH254),"")))</f>
        <v>8.4</v>
      </c>
      <c r="EJ58" s="12">
        <f>IF('Données projet'!$A$192&gt;35,EJ57+EI58-ER57,IF(A58&lt;'Données projet'!$A$192,$EG$205^A58,IF(A58='Données projet'!$A$192,'Données projet'!$B$192,EJ57+EI58-ER57)))</f>
        <v>323.99999999999983</v>
      </c>
      <c r="EK58" s="17">
        <f>EJ58*VLOOKUP('Données projet'!$B$15,Paramètres!$A$1:$I$89,3,0)*VLOOKUP('Données projet'!$B$15,Paramètres!$A$1:$I$89,5,0)</f>
        <v>237.55679999999987</v>
      </c>
      <c r="EL58" s="13">
        <f t="shared" si="45"/>
        <v>57.913551469467308</v>
      </c>
      <c r="EM58" s="20">
        <f t="shared" si="19"/>
        <v>514.61086214265526</v>
      </c>
      <c r="EN58" s="59">
        <f t="shared" si="20"/>
        <v>807.94419547598864</v>
      </c>
      <c r="EO58" s="59">
        <f ca="1">AVERAGE(OFFSET($EN$3,0,0,'Données projet'!$E$15+1,1))-AVERAGE(OFFSET($H$3,0,0,'Données projet'!$E$15+1,1))</f>
        <v>296.91321813251051</v>
      </c>
      <c r="EP58" s="59">
        <f t="shared" si="46"/>
        <v>291.0718079639509</v>
      </c>
      <c r="EQ58" s="15">
        <f>IF(ISNA(VLOOKUP(A58,'Données projet'!$A$191:$I$211,3,0)),0,VLOOKUP(A58,'Données projet'!$A$191:$I$211,3,0))</f>
        <v>10</v>
      </c>
      <c r="ER58" s="15">
        <f>IF(ISNA(VLOOKUP(A58,'Données projet'!$A$191:$I$211,4,0)),0,VLOOKUP(A58,'Données projet'!$A$191:$I$211,4,0))</f>
        <v>18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7.8905371211148063</v>
      </c>
      <c r="EW58" s="21">
        <f>EXP(-LN(2)/25)*EW57+(1-EXP(-LN(2)/25))/(LN(2)/25)*Calculateur!ER58*Calculateur!ET58*VLOOKUP('Données projet'!$B$15,Paramètres!$A$1:$I$89,3,0)*0.475*44/12</f>
        <v>7.7310468425338792</v>
      </c>
      <c r="EX58" s="21">
        <f>EXP(-LN(2)/2)*EX57+(1-EXP(-LN(2)/2))/(LN(2)/2)*ER58*EU58*VLOOKUP('Données projet'!$B$15,Paramètres!$A$1:$I$89,3,0)*0.475*44/12</f>
        <v>1.882033022408575E-3</v>
      </c>
      <c r="EY58" s="22">
        <f t="shared" si="21"/>
        <v>15.623465996671094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254</v>
      </c>
      <c r="FC58" s="12">
        <f>VLOOKUP(A58,'Données projet'!$A$217:$I$237,9,0)</f>
        <v>10.199999999999999</v>
      </c>
      <c r="FD58" s="12">
        <f t="array" ref="FD58">INDEX(FC:FC,MIN(IF(ISNUMBER(FC58:FC254),ROW(FC58:FC254),"")))</f>
        <v>10.199999999999999</v>
      </c>
      <c r="FE58" s="12">
        <f>IF('Données projet'!$A$218&gt;35,FE57+FD58-FM57,IF(A58&lt;'Données projet'!$A$218,$FB$205^A58,IF(A58='Données projet'!$A$218,'Données projet'!$B$218,FE57+FD58-FM57)))</f>
        <v>253.99999999999997</v>
      </c>
      <c r="FF58" s="17">
        <f>FE58*VLOOKUP('Données projet'!$B$16,Paramètres!$A$1:$I$89,3,0)*VLOOKUP('Données projet'!$B$16,Paramètres!$A$1:$I$89,5,0)</f>
        <v>257.55599999999998</v>
      </c>
      <c r="FG58" s="13">
        <f t="shared" si="47"/>
        <v>62.201129910568184</v>
      </c>
      <c r="FH58" s="20">
        <f t="shared" si="22"/>
        <v>556.91033459423954</v>
      </c>
      <c r="FI58" s="59">
        <f t="shared" si="23"/>
        <v>850.24366792757291</v>
      </c>
      <c r="FJ58" s="59">
        <f ca="1">AVERAGE(OFFSET($FI$3,0,0,'Données projet'!$E$16+1,1))-AVERAGE(OFFSET($H$3,0,0,'Données projet'!$E$16+1,1))</f>
        <v>356.65981389369125</v>
      </c>
      <c r="FK58" s="59">
        <f t="shared" si="48"/>
        <v>231.92898690465887</v>
      </c>
      <c r="FL58" s="15">
        <f>IF(ISNA(VLOOKUP(A58,'Données projet'!$A$217:$I$237,3,0)),0,VLOOKUP(A58,'Données projet'!$A$217:$I$237,3,0))</f>
        <v>8</v>
      </c>
      <c r="FM58" s="15">
        <f>IF(ISNA(VLOOKUP(A58,'Données projet'!$A$217:$I$237,4,0)),0,VLOOKUP(A58,'Données projet'!$A$217:$I$237,4,0))</f>
        <v>28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4.9921645707055724</v>
      </c>
      <c r="FR58" s="21">
        <f>EXP(-LN(2)/25)*FR57+(1-EXP(-LN(2)/25))/(LN(2)/25)*Calculateur!FM58*Calculateur!FO58*VLOOKUP('Données projet'!$B$16,Paramètres!$A$1:$I$89,3,0)*0.475*44/12</f>
        <v>5.2474982611038588</v>
      </c>
      <c r="FS58" s="21">
        <f>EXP(-LN(2)/2)*FS57+(1-EXP(-LN(2)/2))/(LN(2)/2)*FM58*FP58*VLOOKUP('Données projet'!$B$16,Paramètres!$A$1:$I$89,3,0)*0.475*44/12</f>
        <v>1.65122183969988E-3</v>
      </c>
      <c r="FT58" s="22">
        <f t="shared" si="24"/>
        <v>10.24131405364913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254</v>
      </c>
      <c r="FX58" s="12">
        <f>VLOOKUP(A58,'Données projet'!$A$243:$I$263,9,0)</f>
        <v>10.199999999999999</v>
      </c>
      <c r="FY58" s="12">
        <f t="array" ref="FY58">INDEX(FX:FX,MIN(IF(ISNUMBER(FX58:FX254),ROW(FX58:FX254),"")))</f>
        <v>10.199999999999999</v>
      </c>
      <c r="FZ58" s="12">
        <f>IF('Données projet'!$A$244&gt;35,FZ57+FY58-GH57,IF(A58&lt;'Données projet'!$A$244,$FW$205^A58,IF(A58='Données projet'!$A$244,'Données projet'!$B$244,FZ57+FY58-GH57)))</f>
        <v>253.99999999999997</v>
      </c>
      <c r="GA58" s="17">
        <f>FZ58*VLOOKUP('Données projet'!$B$17,Paramètres!$A$1:$I$89,3,0)*VLOOKUP('Données projet'!$B$17,Paramètres!$A$1:$I$89,5,0)</f>
        <v>245.6688</v>
      </c>
      <c r="GB58" s="13">
        <f t="shared" si="49"/>
        <v>59.657538312400263</v>
      </c>
      <c r="GC58" s="20">
        <f t="shared" si="25"/>
        <v>531.77670589409706</v>
      </c>
      <c r="GD58" s="59">
        <f t="shared" si="26"/>
        <v>825.11003922743043</v>
      </c>
      <c r="GE58" s="59">
        <f ca="1">AVERAGE(OFFSET($GD$3,0,0,'Données projet'!$E$17+1,1))-AVERAGE(OFFSET($H$3,0,0,'Données projet'!$E$17+1,1))</f>
        <v>337.76140497227715</v>
      </c>
      <c r="GF58" s="59">
        <f t="shared" si="50"/>
        <v>219.76562717496353</v>
      </c>
      <c r="GG58" s="15">
        <f>IF(ISNA(VLOOKUP(A58,'Données projet'!$A$243:$I$263,3,0)),0,VLOOKUP(A58,'Données projet'!$A$243:$I$263,3,0))</f>
        <v>8</v>
      </c>
      <c r="GH58" s="15">
        <f>IF(ISNA(VLOOKUP(A58,'Données projet'!$A$243:$I$263,4,0)),0,VLOOKUP(A58,'Données projet'!$A$243:$I$263,4,0))</f>
        <v>28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4.7617569751345439</v>
      </c>
      <c r="GM58" s="21">
        <f>EXP(-LN(2)/25)*GM57+(1-EXP(-LN(2)/25))/(LN(2)/25)*Calculateur!GH58*Calculateur!GJ58*VLOOKUP('Données projet'!$B$17,Paramètres!$A$1:$I$89,3,0)*0.475*44/12</f>
        <v>5.0053060336682949</v>
      </c>
      <c r="GN58" s="21">
        <f>EXP(-LN(2)/2)*GN57+(1-EXP(-LN(2)/2))/(LN(2)/2)*GH58*GK58*VLOOKUP('Données projet'!$B$17,Paramètres!$A$1:$I$89,3,0)*0.475*44/12</f>
        <v>1.5750116009445013E-3</v>
      </c>
      <c r="GO58" s="21">
        <f t="shared" si="27"/>
        <v>9.7686380204037846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235.39999999999998</v>
      </c>
      <c r="O59" s="13">
        <f>N59*VLOOKUP('Données projet'!$B$9,Paramètres!$A$1:$I$89,3,0)*VLOOKUP('Données projet'!$B$9,Paramètres!$A$1:$I$89,5,0)</f>
        <v>212.98991999999998</v>
      </c>
      <c r="P59" s="13">
        <f t="shared" si="33"/>
        <v>52.588419883221171</v>
      </c>
      <c r="Q59" s="20">
        <f t="shared" si="53"/>
        <v>462.54894196327677</v>
      </c>
      <c r="R59" s="59">
        <f t="shared" si="0"/>
        <v>755.88227529661003</v>
      </c>
      <c r="S59" s="59">
        <f ca="1">AVERAGE(OFFSET($R$3,0,0,'Données projet'!$E$9+1,1))-AVERAGE(OFFSET($H$3,0,0,'Données projet'!$E$9+1,1))</f>
        <v>312.53389584272878</v>
      </c>
      <c r="T59" s="59">
        <f t="shared" si="34"/>
        <v>203.5274665601915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4.3671959010282766</v>
      </c>
      <c r="AA59" s="21">
        <f>EXP(-LN(2)/25)*AA58+(1-EXP(-LN(2)/25))/(LN(2)/25)*Calculateur!V59*Calculateur!X59*VLOOKUP('Données projet'!$B$9,Paramètres!$A$1:$I$89,3,0)*0.475*44/12</f>
        <v>4.5543430526400268</v>
      </c>
      <c r="AB59" s="21">
        <f>EXP(-LN(2)/2)*AB58+(1-EXP(-LN(2)/2))/(LN(2)/2)*V59*Y59*VLOOKUP('Données projet'!$B$9,Paramètres!$A$1:$I$89,3,0)*0.475*44/12</f>
        <v>1.0418496813156379E-3</v>
      </c>
      <c r="AC59" s="22">
        <f t="shared" si="3"/>
        <v>8.9225808033496197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5.6843418860808015E-14</v>
      </c>
      <c r="AJ59" s="13">
        <f>AI59*VLOOKUP('Données projet'!$B$10,Paramètres!$A$1:$I$89,3,0)*VLOOKUP('Données projet'!$B$10,Paramètres!$A$1:$I$89,5,0)</f>
        <v>4.9658410716801891E-14</v>
      </c>
      <c r="AK59" s="13">
        <f t="shared" si="35"/>
        <v>8.0934058173791862E-13</v>
      </c>
      <c r="AL59" s="20">
        <f t="shared" si="4"/>
        <v>1.4960899118586383E-12</v>
      </c>
      <c r="AM59" s="59">
        <f t="shared" si="5"/>
        <v>293.33333333333479</v>
      </c>
      <c r="AN59" s="59">
        <f ca="1">AVERAGE(OFFSET($AM$3,0,0,'Données projet'!$E$10+1,1))-AVERAGE(OFFSET($H$3,0,0,'Données projet'!$E$10+1,1))</f>
        <v>243.05628303465238</v>
      </c>
      <c r="AO59" s="59">
        <f t="shared" si="36"/>
        <v>352.47096767658394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4.7175978658702471</v>
      </c>
      <c r="AV59" s="21">
        <f>EXP(-LN(2)/25)*AV58+(1-EXP(-LN(2)/25))/(LN(2)/25)*Calculateur!AQ59*Calculateur!AS59*VLOOKUP('Données projet'!$B$10,Paramètres!$A$1:$I$89,3,0)*0.475*44/12</f>
        <v>8.8113185179052902</v>
      </c>
      <c r="AW59" s="21">
        <f>EXP(-LN(2)/2)*AW58+(1-EXP(-LN(2)/2))/(LN(2)/2)*AQ59*AT59*VLOOKUP('Données projet'!$B$10,Paramètres!$A$1:$I$89,3,0)*0.475*44/12</f>
        <v>1.3761191646811666E-3</v>
      </c>
      <c r="AX59" s="21">
        <f t="shared" si="6"/>
        <v>13.530292502940219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7.4</v>
      </c>
      <c r="BD59" s="12">
        <f>IF('Données projet'!$A$88&gt;35,BD58+BC59-BL58,IF(A59&lt;'Données projet'!$A$88,$BA$205^A59,IF(A59='Données projet'!$A$88,'Données projet'!$B$88,BD58+BC59-BL58)))</f>
        <v>313.39999999999981</v>
      </c>
      <c r="BE59" s="13">
        <f>BD59*VLOOKUP('Données projet'!$B$11,Paramètres!$A$1:$I$89,3,0)*VLOOKUP('Données projet'!$B$11,Paramètres!$A$1:$I$89,5,0)</f>
        <v>249.34103999999988</v>
      </c>
      <c r="BF59" s="13">
        <f t="shared" si="37"/>
        <v>60.444812818312201</v>
      </c>
      <c r="BG59" s="20">
        <f t="shared" si="7"/>
        <v>539.54369365856019</v>
      </c>
      <c r="BH59" s="59">
        <f t="shared" si="8"/>
        <v>832.87702699189344</v>
      </c>
      <c r="BI59" s="59">
        <f ca="1">AVERAGE(OFFSET($BH$3,0,0,'Données projet'!$E$11+1,1))-AVERAGE(OFFSET($H$3,0,0,'Données projet'!$E$11+1,1))</f>
        <v>325.72928944930294</v>
      </c>
      <c r="BJ59" s="59">
        <f t="shared" si="38"/>
        <v>318.38876834819752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10.346308945073041</v>
      </c>
      <c r="BQ59" s="21">
        <f>EXP(-LN(2)/25)*BQ58+(1-EXP(-LN(2)/25))/(LN(2)/25)*Calculateur!BL59*Calculateur!BN59*VLOOKUP('Données projet'!$B$11,Paramètres!$A$1:$I$89,3,0)*0.475*44/12</f>
        <v>10.057194218238649</v>
      </c>
      <c r="BR59" s="21">
        <f>EXP(-LN(2)/2)*BR58+(1-EXP(-LN(2)/2))/(LN(2)/2)*BL59*BO59*VLOOKUP('Données projet'!$B$11,Paramètres!$A$1:$I$89,3,0)*0.475*44/12</f>
        <v>1.4440577434184651E-3</v>
      </c>
      <c r="BS59" s="22">
        <f t="shared" si="9"/>
        <v>20.40494722105511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12.2</v>
      </c>
      <c r="BY59" s="12">
        <f>IF('Données projet'!$A$114&gt;35,BY58+BX59-CG58,IF(A59&lt;'Données projet'!$A$114,$BV$205^A59,IF(A59='Données projet'!$A$114,'Données projet'!$B$114,BY58+BX59-CG58)))</f>
        <v>705.19999999999948</v>
      </c>
      <c r="BZ59" s="13">
        <f>BY59*VLOOKUP('Données projet'!$B$12,Paramètres!$A$1:$I$89,3,0)*VLOOKUP('Données projet'!$B$12,Paramètres!$A$1:$I$89,5,0)</f>
        <v>394.2067999999997</v>
      </c>
      <c r="CA59" s="13">
        <f t="shared" si="39"/>
        <v>90.601187466199292</v>
      </c>
      <c r="CB59" s="20">
        <f t="shared" si="10"/>
        <v>844.37391150362998</v>
      </c>
      <c r="CC59" s="59">
        <f t="shared" si="11"/>
        <v>1137.7072448369634</v>
      </c>
      <c r="CD59" s="59">
        <f ca="1">AVERAGE(OFFSET($CC$3,0,0,'Données projet'!$E$12+1,1))-AVERAGE(OFFSET($H$3,0,0,'Données projet'!$E$12+1,1))</f>
        <v>475.54809021014017</v>
      </c>
      <c r="CE59" s="59">
        <f t="shared" si="40"/>
        <v>593.51433014569966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4.3868529459292631</v>
      </c>
      <c r="CL59" s="21">
        <f>EXP(-LN(2)/25)*CL58+(1-EXP(-LN(2)/25))/(LN(2)/25)*Calculateur!CG59*Calculateur!CI59*VLOOKUP('Données projet'!$B$12,Paramètres!$A$1:$I$89,3,0)*0.475*44/12</f>
        <v>20.72349504487784</v>
      </c>
      <c r="CM59" s="21">
        <f>EXP(-LN(2)/2)*CM58+(1-EXP(-LN(2)/2))/(LN(2)/2)*CG59*CJ59*VLOOKUP('Données projet'!$B$12,Paramètres!$A$1:$I$89,3,0)*0.475*44/12</f>
        <v>1.7600046099533254E-3</v>
      </c>
      <c r="CN59" s="22">
        <f t="shared" si="12"/>
        <v>25.112107995417055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13.5</v>
      </c>
      <c r="CT59" s="12">
        <f>IF('Données projet'!$A$140&gt;35,CT58+CS59-DB58,IF(A59&lt;'Données projet'!$A$140,$CQ$205^A59,IF(A59='Données projet'!$A$140,'Données projet'!$B$140,CT58+CS59-DB58)))</f>
        <v>294.49999999999989</v>
      </c>
      <c r="CU59" s="17">
        <f>CT59*VLOOKUP('Données projet'!$B$13,Paramètres!$A$1:$I$89,3,0)*VLOOKUP('Données projet'!$B$13,Paramètres!$A$1:$I$89,5,0)</f>
        <v>137.82599999999994</v>
      </c>
      <c r="CV59" s="13">
        <f t="shared" si="41"/>
        <v>35.798519897115497</v>
      </c>
      <c r="CW59" s="20">
        <f t="shared" si="13"/>
        <v>302.39603882080934</v>
      </c>
      <c r="CX59" s="59">
        <f t="shared" si="14"/>
        <v>595.72937215414265</v>
      </c>
      <c r="CY59" s="59">
        <f ca="1">AVERAGE(OFFSET($CX$3,0,0,'Données projet'!$E$13+1,1))-AVERAGE(OFFSET($H$3,0,0,'Données projet'!$E$13+1,1))</f>
        <v>226.0452828290525</v>
      </c>
      <c r="CZ59" s="59">
        <f t="shared" si="42"/>
        <v>179.89696397462069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5.423506964701363</v>
      </c>
      <c r="DG59" s="21">
        <f>EXP(-LN(2)/25)*DG58+(1-EXP(-LN(2)/25))/(LN(2)/25)*Calculateur!DB59*Calculateur!DD59*VLOOKUP('Données projet'!$B$13,Paramètres!$A$1:$I$89,3,0)*0.475*44/12</f>
        <v>5.423193389471054</v>
      </c>
      <c r="DH59" s="21">
        <f>EXP(-LN(2)/2)*DH58+(1-EXP(-LN(2)/2))/(LN(2)/2)*DB59*DE59*VLOOKUP('Données projet'!$B$13,Paramètres!$A$1:$I$89,3,0)*0.475*44/12</f>
        <v>1.3480381645017544E-3</v>
      </c>
      <c r="DI59" s="22">
        <f t="shared" si="15"/>
        <v>10.848048392336917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3</v>
      </c>
      <c r="DO59" s="12">
        <f>IF('Données projet'!$A$166&gt;35,DO58+DN59-DW58,IF(A59&lt;'Données projet'!$A$166,$DL$205^A59,IF(A59='Données projet'!$A$166,'Données projet'!$B$166,DO58+DN59-DW58)))</f>
        <v>391.00000000000011</v>
      </c>
      <c r="DP59" s="17">
        <f>DO59*VLOOKUP('Données projet'!$B$14,Paramètres!$A$1:$I$89,3,0)*VLOOKUP('Données projet'!$B$14,Paramètres!$A$1:$I$89,5,0)</f>
        <v>233.8180000000001</v>
      </c>
      <c r="DQ59" s="13">
        <f t="shared" si="43"/>
        <v>57.107429708554143</v>
      </c>
      <c r="DR59" s="20">
        <f t="shared" si="16"/>
        <v>506.69512340906527</v>
      </c>
      <c r="DS59" s="59">
        <f t="shared" si="17"/>
        <v>800.02845674239859</v>
      </c>
      <c r="DT59" s="59">
        <f ca="1">AVERAGE(OFFSET($DS$3,0,0,'Données projet'!$E$14+1,1))-AVERAGE(OFFSET($H$3,0,0,'Données projet'!$E$14+1,1))</f>
        <v>252.81045065813976</v>
      </c>
      <c r="DU59" s="59">
        <f t="shared" si="44"/>
        <v>254.36590349790589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10.788538935965887</v>
      </c>
      <c r="EB59" s="21">
        <f>EXP(-LN(2)/25)*EB58+(1-EXP(-LN(2)/25))/(LN(2)/25)*Calculateur!DW59*Calculateur!DY59*VLOOKUP('Données projet'!$B$14,Paramètres!$A$1:$I$89,3,0)*0.475*44/12</f>
        <v>7.8425251764921242</v>
      </c>
      <c r="EC59" s="21">
        <f>EXP(-LN(2)/2)*EC58+(1-EXP(-LN(2)/2))/(LN(2)/2)*DW59*DZ59*VLOOKUP('Données projet'!$B$14,Paramètres!$A$1:$I$89,3,0)*0.475*44/12</f>
        <v>7.0085250050512852E-4</v>
      </c>
      <c r="ED59" s="22">
        <f t="shared" si="18"/>
        <v>18.631764964958517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7.4</v>
      </c>
      <c r="EJ59" s="12">
        <f>IF('Données projet'!$A$192&gt;35,EJ58+EI59-ER58,IF(A59&lt;'Données projet'!$A$192,$EG$205^A59,IF(A59='Données projet'!$A$192,'Données projet'!$B$192,EJ58+EI59-ER58)))</f>
        <v>313.39999999999981</v>
      </c>
      <c r="EK59" s="17">
        <f>EJ59*VLOOKUP('Données projet'!$B$15,Paramètres!$A$1:$I$89,3,0)*VLOOKUP('Données projet'!$B$15,Paramètres!$A$1:$I$89,5,0)</f>
        <v>229.78487999999984</v>
      </c>
      <c r="EL59" s="13">
        <f t="shared" si="45"/>
        <v>56.236165024777975</v>
      </c>
      <c r="EM59" s="20">
        <f t="shared" si="19"/>
        <v>498.15332008482136</v>
      </c>
      <c r="EN59" s="59">
        <f t="shared" si="20"/>
        <v>791.48665341815467</v>
      </c>
      <c r="EO59" s="59">
        <f ca="1">AVERAGE(OFFSET($EN$3,0,0,'Données projet'!$E$15+1,1))-AVERAGE(OFFSET($H$3,0,0,'Données projet'!$E$15+1,1))</f>
        <v>296.91321813251051</v>
      </c>
      <c r="EP59" s="59">
        <f t="shared" si="46"/>
        <v>291.0718079639509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7.7358085009221691</v>
      </c>
      <c r="EW59" s="21">
        <f>EXP(-LN(2)/25)*EW58+(1-EXP(-LN(2)/25))/(LN(2)/25)*Calculateur!ER59*Calculateur!ET59*VLOOKUP('Données projet'!$B$15,Paramètres!$A$1:$I$89,3,0)*0.475*44/12</f>
        <v>7.519640960066706</v>
      </c>
      <c r="EX59" s="21">
        <f>EXP(-LN(2)/2)*EX58+(1-EXP(-LN(2)/2))/(LN(2)/2)*ER59*EU59*VLOOKUP('Données projet'!$B$15,Paramètres!$A$1:$I$89,3,0)*0.475*44/12</f>
        <v>1.330798312562117E-3</v>
      </c>
      <c r="EY59" s="22">
        <f t="shared" si="21"/>
        <v>15.256780259301436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9.4</v>
      </c>
      <c r="FE59" s="12">
        <f>IF('Données projet'!$A$218&gt;35,FE58+FD59-FM58,IF(A59&lt;'Données projet'!$A$218,$FB$205^A59,IF(A59='Données projet'!$A$218,'Données projet'!$B$218,FE58+FD59-FM58)))</f>
        <v>235.39999999999998</v>
      </c>
      <c r="FF59" s="17">
        <f>FE59*VLOOKUP('Données projet'!$B$16,Paramètres!$A$1:$I$89,3,0)*VLOOKUP('Données projet'!$B$16,Paramètres!$A$1:$I$89,5,0)</f>
        <v>238.69559999999998</v>
      </c>
      <c r="FG59" s="13">
        <f t="shared" si="47"/>
        <v>58.158793514165929</v>
      </c>
      <c r="FH59" s="20">
        <f t="shared" si="22"/>
        <v>517.02140203717238</v>
      </c>
      <c r="FI59" s="59">
        <f t="shared" si="23"/>
        <v>810.35473537050575</v>
      </c>
      <c r="FJ59" s="59">
        <f ca="1">AVERAGE(OFFSET($FI$3,0,0,'Données projet'!$E$16+1,1))-AVERAGE(OFFSET($H$3,0,0,'Données projet'!$E$16+1,1))</f>
        <v>356.65981389369125</v>
      </c>
      <c r="FK59" s="59">
        <f t="shared" si="48"/>
        <v>231.92898690465887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4.894271268393763</v>
      </c>
      <c r="FR59" s="21">
        <f>EXP(-LN(2)/25)*FR58+(1-EXP(-LN(2)/25))/(LN(2)/25)*Calculateur!FM59*Calculateur!FO59*VLOOKUP('Données projet'!$B$16,Paramètres!$A$1:$I$89,3,0)*0.475*44/12</f>
        <v>5.1040051452000332</v>
      </c>
      <c r="FS59" s="21">
        <f>EXP(-LN(2)/2)*FS58+(1-EXP(-LN(2)/2))/(LN(2)/2)*FM59*FP59*VLOOKUP('Données projet'!$B$16,Paramètres!$A$1:$I$89,3,0)*0.475*44/12</f>
        <v>1.1675901600951115E-3</v>
      </c>
      <c r="FT59" s="22">
        <f t="shared" si="24"/>
        <v>9.9994440037538919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9.4</v>
      </c>
      <c r="FZ59" s="12">
        <f>IF('Données projet'!$A$244&gt;35,FZ58+FY59-GH58,IF(A59&lt;'Données projet'!$A$244,$FW$205^A59,IF(A59='Données projet'!$A$244,'Données projet'!$B$244,FZ58+FY59-GH58)))</f>
        <v>235.39999999999998</v>
      </c>
      <c r="GA59" s="17">
        <f>FZ59*VLOOKUP('Données projet'!$B$17,Paramètres!$A$1:$I$89,3,0)*VLOOKUP('Données projet'!$B$17,Paramètres!$A$1:$I$89,5,0)</f>
        <v>227.67887999999996</v>
      </c>
      <c r="GB59" s="13">
        <f t="shared" si="49"/>
        <v>55.780505229774469</v>
      </c>
      <c r="GC59" s="20">
        <f t="shared" si="25"/>
        <v>493.69176260852379</v>
      </c>
      <c r="GD59" s="59">
        <f t="shared" si="26"/>
        <v>787.0250959418571</v>
      </c>
      <c r="GE59" s="59">
        <f ca="1">AVERAGE(OFFSET($GD$3,0,0,'Données projet'!$E$17+1,1))-AVERAGE(OFFSET($H$3,0,0,'Données projet'!$E$17+1,1))</f>
        <v>337.76140497227715</v>
      </c>
      <c r="GF59" s="59">
        <f t="shared" si="50"/>
        <v>219.76562717496353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4.6683818252371259</v>
      </c>
      <c r="GM59" s="21">
        <f>EXP(-LN(2)/25)*GM58+(1-EXP(-LN(2)/25))/(LN(2)/25)*Calculateur!GH59*Calculateur!GJ59*VLOOKUP('Données projet'!$B$17,Paramètres!$A$1:$I$89,3,0)*0.475*44/12</f>
        <v>4.868435676960031</v>
      </c>
      <c r="GN59" s="21">
        <f>EXP(-LN(2)/2)*GN58+(1-EXP(-LN(2)/2))/(LN(2)/2)*GH59*GK59*VLOOKUP('Données projet'!$B$17,Paramètres!$A$1:$I$89,3,0)*0.475*44/12</f>
        <v>1.1137013834753373E-3</v>
      </c>
      <c r="GO59" s="21">
        <f t="shared" si="27"/>
        <v>9.5379312035806318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244.79999999999998</v>
      </c>
      <c r="O60" s="13">
        <f>N60*VLOOKUP('Données projet'!$B$9,Paramètres!$A$1:$I$89,3,0)*VLOOKUP('Données projet'!$B$9,Paramètres!$A$1:$I$89,5,0)</f>
        <v>221.49503999999999</v>
      </c>
      <c r="P60" s="13">
        <f t="shared" si="33"/>
        <v>54.439697086174412</v>
      </c>
      <c r="Q60" s="20">
        <f t="shared" si="53"/>
        <v>480.58633375842032</v>
      </c>
      <c r="R60" s="59">
        <f t="shared" si="0"/>
        <v>773.91966709175358</v>
      </c>
      <c r="S60" s="59">
        <f ca="1">AVERAGE(OFFSET($R$3,0,0,'Données projet'!$E$9+1,1))-AVERAGE(OFFSET($H$3,0,0,'Données projet'!$E$9+1,1))</f>
        <v>312.53389584272878</v>
      </c>
      <c r="T60" s="59">
        <f t="shared" si="34"/>
        <v>203.5274665601915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4.2815578531355909</v>
      </c>
      <c r="AA60" s="21">
        <f>EXP(-LN(2)/25)*AA59+(1-EXP(-LN(2)/25))/(LN(2)/25)*Calculateur!V60*Calculateur!X60*VLOOKUP('Données projet'!$B$9,Paramètres!$A$1:$I$89,3,0)*0.475*44/12</f>
        <v>4.4298043023630935</v>
      </c>
      <c r="AB60" s="21">
        <f>EXP(-LN(2)/2)*AB59+(1-EXP(-LN(2)/2))/(LN(2)/2)*V60*Y60*VLOOKUP('Données projet'!$B$9,Paramètres!$A$1:$I$89,3,0)*0.475*44/12</f>
        <v>7.3669897463533103E-4</v>
      </c>
      <c r="AC60" s="22">
        <f t="shared" si="3"/>
        <v>8.712098854473318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5.6843418860808015E-14</v>
      </c>
      <c r="AJ60" s="13">
        <f>AI60*VLOOKUP('Données projet'!$B$10,Paramètres!$A$1:$I$89,3,0)*VLOOKUP('Données projet'!$B$10,Paramètres!$A$1:$I$89,5,0)</f>
        <v>4.9658410716801891E-14</v>
      </c>
      <c r="AK60" s="13">
        <f t="shared" si="35"/>
        <v>8.0934058173791862E-13</v>
      </c>
      <c r="AL60" s="20">
        <f t="shared" si="4"/>
        <v>1.4960899118586383E-12</v>
      </c>
      <c r="AM60" s="59">
        <f t="shared" si="5"/>
        <v>293.33333333333479</v>
      </c>
      <c r="AN60" s="59">
        <f ca="1">AVERAGE(OFFSET($AM$3,0,0,'Données projet'!$E$10+1,1))-AVERAGE(OFFSET($H$3,0,0,'Données projet'!$E$10+1,1))</f>
        <v>243.05628303465238</v>
      </c>
      <c r="AO60" s="59">
        <f t="shared" si="36"/>
        <v>352.47096767658394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4.6250886491711052</v>
      </c>
      <c r="AV60" s="21">
        <f>EXP(-LN(2)/25)*AV59+(1-EXP(-LN(2)/25))/(LN(2)/25)*Calculateur!AQ60*Calculateur!AS60*VLOOKUP('Données projet'!$B$10,Paramètres!$A$1:$I$89,3,0)*0.475*44/12</f>
        <v>8.5703725496660681</v>
      </c>
      <c r="AW60" s="21">
        <f>EXP(-LN(2)/2)*AW59+(1-EXP(-LN(2)/2))/(LN(2)/2)*AQ60*AT60*VLOOKUP('Données projet'!$B$10,Paramètres!$A$1:$I$89,3,0)*0.475*44/12</f>
        <v>9.7306319306682027E-4</v>
      </c>
      <c r="AX60" s="21">
        <f t="shared" si="6"/>
        <v>13.196434262030239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7.4</v>
      </c>
      <c r="BD60" s="12">
        <f>IF('Données projet'!$A$88&gt;35,BD59+BC60-BL59,IF(A60&lt;'Données projet'!$A$88,$BA$205^A60,IF(A60='Données projet'!$A$88,'Données projet'!$B$88,BD59+BC60-BL59)))</f>
        <v>320.79999999999978</v>
      </c>
      <c r="BE60" s="13">
        <f>BD60*VLOOKUP('Données projet'!$B$11,Paramètres!$A$1:$I$89,3,0)*VLOOKUP('Données projet'!$B$11,Paramètres!$A$1:$I$89,5,0)</f>
        <v>255.22847999999985</v>
      </c>
      <c r="BF60" s="13">
        <f t="shared" si="37"/>
        <v>61.704188876103551</v>
      </c>
      <c r="BG60" s="20">
        <f t="shared" si="7"/>
        <v>551.99106495921342</v>
      </c>
      <c r="BH60" s="59">
        <f t="shared" si="8"/>
        <v>845.32439829254668</v>
      </c>
      <c r="BI60" s="59">
        <f ca="1">AVERAGE(OFFSET($BH$3,0,0,'Données projet'!$E$11+1,1))-AVERAGE(OFFSET($H$3,0,0,'Données projet'!$E$11+1,1))</f>
        <v>325.72928944930294</v>
      </c>
      <c r="BJ60" s="59">
        <f t="shared" si="38"/>
        <v>318.38876834819752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10.143424137285493</v>
      </c>
      <c r="BQ60" s="21">
        <f>EXP(-LN(2)/25)*BQ59+(1-EXP(-LN(2)/25))/(LN(2)/25)*Calculateur!BL60*Calculateur!BN60*VLOOKUP('Données projet'!$B$11,Paramètres!$A$1:$I$89,3,0)*0.475*44/12</f>
        <v>9.7821797134560562</v>
      </c>
      <c r="BR60" s="21">
        <f>EXP(-LN(2)/2)*BR59+(1-EXP(-LN(2)/2))/(LN(2)/2)*BL60*BO60*VLOOKUP('Données projet'!$B$11,Paramètres!$A$1:$I$89,3,0)*0.475*44/12</f>
        <v>1.0211030227961402E-3</v>
      </c>
      <c r="BS60" s="22">
        <f t="shared" si="9"/>
        <v>19.926624953764346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12.2</v>
      </c>
      <c r="BY60" s="12">
        <f>IF('Données projet'!$A$114&gt;35,BY59+BX60-CG59,IF(A60&lt;'Données projet'!$A$114,$BV$205^A60,IF(A60='Données projet'!$A$114,'Données projet'!$B$114,BY59+BX60-CG59)))</f>
        <v>717.39999999999952</v>
      </c>
      <c r="BZ60" s="13">
        <f>BY60*VLOOKUP('Données projet'!$B$12,Paramètres!$A$1:$I$89,3,0)*VLOOKUP('Données projet'!$B$12,Paramètres!$A$1:$I$89,5,0)</f>
        <v>401.02659999999975</v>
      </c>
      <c r="CA60" s="13">
        <f t="shared" si="39"/>
        <v>91.984761558101539</v>
      </c>
      <c r="CB60" s="20">
        <f t="shared" si="10"/>
        <v>858.66145471369293</v>
      </c>
      <c r="CC60" s="59">
        <f t="shared" si="11"/>
        <v>1151.9947880470263</v>
      </c>
      <c r="CD60" s="59">
        <f ca="1">AVERAGE(OFFSET($CC$3,0,0,'Données projet'!$E$12+1,1))-AVERAGE(OFFSET($H$3,0,0,'Données projet'!$E$12+1,1))</f>
        <v>475.54809021014017</v>
      </c>
      <c r="CE60" s="59">
        <f t="shared" si="40"/>
        <v>593.51433014569966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4.3008294353756824</v>
      </c>
      <c r="CL60" s="21">
        <f>EXP(-LN(2)/25)*CL59+(1-EXP(-LN(2)/25))/(LN(2)/25)*Calculateur!CG60*Calculateur!CI60*VLOOKUP('Données projet'!$B$12,Paramètres!$A$1:$I$89,3,0)*0.475*44/12</f>
        <v>20.156809983074414</v>
      </c>
      <c r="CM60" s="21">
        <f>EXP(-LN(2)/2)*CM59+(1-EXP(-LN(2)/2))/(LN(2)/2)*CG60*CJ60*VLOOKUP('Données projet'!$B$12,Paramètres!$A$1:$I$89,3,0)*0.475*44/12</f>
        <v>1.244511194617581E-3</v>
      </c>
      <c r="CN60" s="22">
        <f t="shared" si="12"/>
        <v>24.458883929644713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13.5</v>
      </c>
      <c r="CT60" s="12">
        <f>IF('Données projet'!$A$140&gt;35,CT59+CS60-DB59,IF(A60&lt;'Données projet'!$A$140,$CQ$205^A60,IF(A60='Données projet'!$A$140,'Données projet'!$B$140,CT59+CS60-DB59)))</f>
        <v>307.99999999999989</v>
      </c>
      <c r="CU60" s="17">
        <f>CT60*VLOOKUP('Données projet'!$B$13,Paramètres!$A$1:$I$89,3,0)*VLOOKUP('Données projet'!$B$13,Paramètres!$A$1:$I$89,5,0)</f>
        <v>144.14399999999995</v>
      </c>
      <c r="CV60" s="13">
        <f t="shared" si="41"/>
        <v>37.244720006976216</v>
      </c>
      <c r="CW60" s="20">
        <f t="shared" si="13"/>
        <v>315.91868734548348</v>
      </c>
      <c r="CX60" s="59">
        <f t="shared" si="14"/>
        <v>609.25202067881673</v>
      </c>
      <c r="CY60" s="59">
        <f ca="1">AVERAGE(OFFSET($CX$3,0,0,'Données projet'!$E$13+1,1))-AVERAGE(OFFSET($H$3,0,0,'Données projet'!$E$13+1,1))</f>
        <v>226.0452828290525</v>
      </c>
      <c r="CZ60" s="59">
        <f t="shared" si="42"/>
        <v>179.89696397462069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5.3171553011361787</v>
      </c>
      <c r="DG60" s="21">
        <f>EXP(-LN(2)/25)*DG59+(1-EXP(-LN(2)/25))/(LN(2)/25)*Calculateur!DB60*Calculateur!DD60*VLOOKUP('Données projet'!$B$13,Paramètres!$A$1:$I$89,3,0)*0.475*44/12</f>
        <v>5.2748958810426227</v>
      </c>
      <c r="DH60" s="21">
        <f>EXP(-LN(2)/2)*DH59+(1-EXP(-LN(2)/2))/(LN(2)/2)*DB60*DE60*VLOOKUP('Données projet'!$B$13,Paramètres!$A$1:$I$89,3,0)*0.475*44/12</f>
        <v>9.5320692741745724E-4</v>
      </c>
      <c r="DI60" s="22">
        <f t="shared" si="15"/>
        <v>10.59300438910622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3</v>
      </c>
      <c r="DO60" s="12">
        <f>IF('Données projet'!$A$166&gt;35,DO59+DN60-DW59,IF(A60&lt;'Données projet'!$A$166,$DL$205^A60,IF(A60='Données projet'!$A$166,'Données projet'!$B$166,DO59+DN60-DW59)))</f>
        <v>394.00000000000011</v>
      </c>
      <c r="DP60" s="17">
        <f>DO60*VLOOKUP('Données projet'!$B$14,Paramètres!$A$1:$I$89,3,0)*VLOOKUP('Données projet'!$B$14,Paramètres!$A$1:$I$89,5,0)</f>
        <v>235.61200000000008</v>
      </c>
      <c r="DQ60" s="13">
        <f t="shared" si="43"/>
        <v>57.494419397561693</v>
      </c>
      <c r="DR60" s="20">
        <f t="shared" si="16"/>
        <v>510.49368045075335</v>
      </c>
      <c r="DS60" s="59">
        <f t="shared" si="17"/>
        <v>803.8270137840866</v>
      </c>
      <c r="DT60" s="59">
        <f ca="1">AVERAGE(OFFSET($DS$3,0,0,'Données projet'!$E$14+1,1))-AVERAGE(OFFSET($H$3,0,0,'Données projet'!$E$14+1,1))</f>
        <v>252.81045065813976</v>
      </c>
      <c r="DU60" s="59">
        <f t="shared" si="44"/>
        <v>254.36590349790589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10.576982267790591</v>
      </c>
      <c r="EB60" s="21">
        <f>EXP(-LN(2)/25)*EB59+(1-EXP(-LN(2)/25))/(LN(2)/25)*Calculateur!DW60*Calculateur!DY60*VLOOKUP('Données projet'!$B$14,Paramètres!$A$1:$I$89,3,0)*0.475*44/12</f>
        <v>7.6280709131204727</v>
      </c>
      <c r="EC60" s="21">
        <f>EXP(-LN(2)/2)*EC59+(1-EXP(-LN(2)/2))/(LN(2)/2)*DW60*DZ60*VLOOKUP('Données projet'!$B$14,Paramètres!$A$1:$I$89,3,0)*0.475*44/12</f>
        <v>4.9557755571872459E-4</v>
      </c>
      <c r="ED60" s="22">
        <f t="shared" si="18"/>
        <v>18.205548758466783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7.4</v>
      </c>
      <c r="EJ60" s="12">
        <f>IF('Données projet'!$A$192&gt;35,EJ59+EI60-ER59,IF(A60&lt;'Données projet'!$A$192,$EG$205^A60,IF(A60='Données projet'!$A$192,'Données projet'!$B$192,EJ59+EI60-ER59)))</f>
        <v>320.79999999999978</v>
      </c>
      <c r="EK60" s="17">
        <f>EJ60*VLOOKUP('Données projet'!$B$15,Paramètres!$A$1:$I$89,3,0)*VLOOKUP('Données projet'!$B$15,Paramètres!$A$1:$I$89,5,0)</f>
        <v>235.21055999999984</v>
      </c>
      <c r="EL60" s="13">
        <f t="shared" si="45"/>
        <v>57.407853322119394</v>
      </c>
      <c r="EM60" s="20">
        <f t="shared" si="19"/>
        <v>509.64373653602433</v>
      </c>
      <c r="EN60" s="59">
        <f t="shared" si="20"/>
        <v>802.97706986935759</v>
      </c>
      <c r="EO60" s="59">
        <f ca="1">AVERAGE(OFFSET($EN$3,0,0,'Données projet'!$E$15+1,1))-AVERAGE(OFFSET($H$3,0,0,'Données projet'!$E$15+1,1))</f>
        <v>296.91321813251051</v>
      </c>
      <c r="EP60" s="59">
        <f t="shared" si="46"/>
        <v>291.0718079639509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7.5841140145963699</v>
      </c>
      <c r="EW60" s="21">
        <f>EXP(-LN(2)/25)*EW59+(1-EXP(-LN(2)/25))/(LN(2)/25)*Calculateur!ER60*Calculateur!ET60*VLOOKUP('Données projet'!$B$15,Paramètres!$A$1:$I$89,3,0)*0.475*44/12</f>
        <v>7.3140159825729505</v>
      </c>
      <c r="EX60" s="21">
        <f>EXP(-LN(2)/2)*EX59+(1-EXP(-LN(2)/2))/(LN(2)/2)*ER60*EU60*VLOOKUP('Données projet'!$B$15,Paramètres!$A$1:$I$89,3,0)*0.475*44/12</f>
        <v>9.4101651120428759E-4</v>
      </c>
      <c r="EY60" s="22">
        <f t="shared" si="21"/>
        <v>14.899071013680524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9.4</v>
      </c>
      <c r="FE60" s="12">
        <f>IF('Données projet'!$A$218&gt;35,FE59+FD60-FM59,IF(A60&lt;'Données projet'!$A$218,$FB$205^A60,IF(A60='Données projet'!$A$218,'Données projet'!$B$218,FE59+FD60-FM59)))</f>
        <v>244.79999999999998</v>
      </c>
      <c r="FF60" s="17">
        <f>FE60*VLOOKUP('Données projet'!$B$16,Paramètres!$A$1:$I$89,3,0)*VLOOKUP('Données projet'!$B$16,Paramètres!$A$1:$I$89,5,0)</f>
        <v>248.22720000000001</v>
      </c>
      <c r="FG60" s="13">
        <f t="shared" si="47"/>
        <v>60.20616532763993</v>
      </c>
      <c r="FH60" s="20">
        <f t="shared" si="22"/>
        <v>537.18811127897277</v>
      </c>
      <c r="FI60" s="59">
        <f t="shared" si="23"/>
        <v>830.52144461230614</v>
      </c>
      <c r="FJ60" s="59">
        <f ca="1">AVERAGE(OFFSET($FI$3,0,0,'Données projet'!$E$16+1,1))-AVERAGE(OFFSET($H$3,0,0,'Données projet'!$E$16+1,1))</f>
        <v>356.65981389369125</v>
      </c>
      <c r="FK60" s="59">
        <f t="shared" si="48"/>
        <v>231.92898690465887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4.7982975940312702</v>
      </c>
      <c r="FR60" s="21">
        <f>EXP(-LN(2)/25)*FR59+(1-EXP(-LN(2)/25))/(LN(2)/25)*Calculateur!FM60*Calculateur!FO60*VLOOKUP('Données projet'!$B$16,Paramètres!$A$1:$I$89,3,0)*0.475*44/12</f>
        <v>4.9644358560965731</v>
      </c>
      <c r="FS60" s="21">
        <f>EXP(-LN(2)/2)*FS59+(1-EXP(-LN(2)/2))/(LN(2)/2)*FM60*FP60*VLOOKUP('Données projet'!$B$16,Paramètres!$A$1:$I$89,3,0)*0.475*44/12</f>
        <v>8.2561091984993998E-4</v>
      </c>
      <c r="FT60" s="22">
        <f t="shared" si="24"/>
        <v>9.7635590610476939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9.4</v>
      </c>
      <c r="FZ60" s="12">
        <f>IF('Données projet'!$A$244&gt;35,FZ59+FY60-GH59,IF(A60&lt;'Données projet'!$A$244,$FW$205^A60,IF(A60='Données projet'!$A$244,'Données projet'!$B$244,FZ59+FY60-GH59)))</f>
        <v>244.79999999999998</v>
      </c>
      <c r="GA60" s="17">
        <f>FZ60*VLOOKUP('Données projet'!$B$17,Paramètres!$A$1:$I$89,3,0)*VLOOKUP('Données projet'!$B$17,Paramètres!$A$1:$I$89,5,0)</f>
        <v>236.77055999999999</v>
      </c>
      <c r="GB60" s="13">
        <f t="shared" si="49"/>
        <v>57.744153841586929</v>
      </c>
      <c r="GC60" s="20">
        <f t="shared" si="25"/>
        <v>512.94645994076382</v>
      </c>
      <c r="GD60" s="59">
        <f t="shared" si="26"/>
        <v>806.27979327409707</v>
      </c>
      <c r="GE60" s="59">
        <f ca="1">AVERAGE(OFFSET($GD$3,0,0,'Données projet'!$E$17+1,1))-AVERAGE(OFFSET($H$3,0,0,'Données projet'!$E$17+1,1))</f>
        <v>337.76140497227715</v>
      </c>
      <c r="GF60" s="59">
        <f t="shared" si="50"/>
        <v>219.76562717496353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4.5768377050759783</v>
      </c>
      <c r="GM60" s="21">
        <f>EXP(-LN(2)/25)*GM59+(1-EXP(-LN(2)/25))/(LN(2)/25)*Calculateur!GH60*Calculateur!GJ60*VLOOKUP('Données projet'!$B$17,Paramètres!$A$1:$I$89,3,0)*0.475*44/12</f>
        <v>4.7353080473536533</v>
      </c>
      <c r="GN60" s="21">
        <f>EXP(-LN(2)/2)*GN59+(1-EXP(-LN(2)/2))/(LN(2)/2)*GH60*GK60*VLOOKUP('Données projet'!$B$17,Paramètres!$A$1:$I$89,3,0)*0.475*44/12</f>
        <v>7.8750580047225063E-4</v>
      </c>
      <c r="GO60" s="21">
        <f t="shared" si="27"/>
        <v>9.312933258230105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254.2</v>
      </c>
      <c r="O61" s="13">
        <f>N61*VLOOKUP('Données projet'!$B$9,Paramètres!$A$1:$I$89,3,0)*VLOOKUP('Données projet'!$B$9,Paramètres!$A$1:$I$89,5,0)</f>
        <v>230.00015999999997</v>
      </c>
      <c r="P61" s="13">
        <f t="shared" si="33"/>
        <v>56.282716126880423</v>
      </c>
      <c r="Q61" s="20">
        <f t="shared" si="53"/>
        <v>498.60934258765002</v>
      </c>
      <c r="R61" s="59">
        <f t="shared" si="0"/>
        <v>791.94267592098333</v>
      </c>
      <c r="S61" s="59">
        <f ca="1">AVERAGE(OFFSET($R$3,0,0,'Données projet'!$E$9+1,1))-AVERAGE(OFFSET($H$3,0,0,'Données projet'!$E$9+1,1))</f>
        <v>312.53389584272878</v>
      </c>
      <c r="T61" s="59">
        <f t="shared" si="34"/>
        <v>203.5274665601915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4.1975991151280292</v>
      </c>
      <c r="AA61" s="21">
        <f>EXP(-LN(2)/25)*AA60+(1-EXP(-LN(2)/25))/(LN(2)/25)*Calculateur!V61*Calculateur!X61*VLOOKUP('Données projet'!$B$9,Paramètres!$A$1:$I$89,3,0)*0.475*44/12</f>
        <v>4.3086710707616911</v>
      </c>
      <c r="AB61" s="21">
        <f>EXP(-LN(2)/2)*AB60+(1-EXP(-LN(2)/2))/(LN(2)/2)*V61*Y61*VLOOKUP('Données projet'!$B$9,Paramètres!$A$1:$I$89,3,0)*0.475*44/12</f>
        <v>5.2092484065781894E-4</v>
      </c>
      <c r="AC61" s="22">
        <f t="shared" si="3"/>
        <v>8.5067911107303775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5.6843418860808015E-14</v>
      </c>
      <c r="AJ61" s="13">
        <f>AI61*VLOOKUP('Données projet'!$B$10,Paramètres!$A$1:$I$89,3,0)*VLOOKUP('Données projet'!$B$10,Paramètres!$A$1:$I$89,5,0)</f>
        <v>4.9658410716801891E-14</v>
      </c>
      <c r="AK61" s="13">
        <f t="shared" si="35"/>
        <v>8.0934058173791862E-13</v>
      </c>
      <c r="AL61" s="20">
        <f t="shared" si="4"/>
        <v>1.4960899118586383E-12</v>
      </c>
      <c r="AM61" s="59">
        <f t="shared" si="5"/>
        <v>293.33333333333479</v>
      </c>
      <c r="AN61" s="59">
        <f ca="1">AVERAGE(OFFSET($AM$3,0,0,'Données projet'!$E$10+1,1))-AVERAGE(OFFSET($H$3,0,0,'Données projet'!$E$10+1,1))</f>
        <v>243.05628303465238</v>
      </c>
      <c r="AO61" s="59">
        <f t="shared" si="36"/>
        <v>352.47096767658394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4.5343934817863829</v>
      </c>
      <c r="AV61" s="21">
        <f>EXP(-LN(2)/25)*AV60+(1-EXP(-LN(2)/25))/(LN(2)/25)*Calculateur!AQ61*Calculateur!AS61*VLOOKUP('Données projet'!$B$10,Paramètres!$A$1:$I$89,3,0)*0.475*44/12</f>
        <v>8.3360152615991456</v>
      </c>
      <c r="AW61" s="21">
        <f>EXP(-LN(2)/2)*AW60+(1-EXP(-LN(2)/2))/(LN(2)/2)*AQ61*AT61*VLOOKUP('Données projet'!$B$10,Paramètres!$A$1:$I$89,3,0)*0.475*44/12</f>
        <v>6.880595823405834E-4</v>
      </c>
      <c r="AX61" s="21">
        <f t="shared" si="6"/>
        <v>12.87109680296787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7.4</v>
      </c>
      <c r="BD61" s="12">
        <f>IF('Données projet'!$A$88&gt;35,BD60+BC61-BL60,IF(A61&lt;'Données projet'!$A$88,$BA$205^A61,IF(A61='Données projet'!$A$88,'Données projet'!$B$88,BD60+BC61-BL60)))</f>
        <v>328.19999999999976</v>
      </c>
      <c r="BE61" s="13">
        <f>BD61*VLOOKUP('Données projet'!$B$11,Paramètres!$A$1:$I$89,3,0)*VLOOKUP('Données projet'!$B$11,Paramètres!$A$1:$I$89,5,0)</f>
        <v>261.11591999999985</v>
      </c>
      <c r="BF61" s="13">
        <f t="shared" si="37"/>
        <v>62.960187681145797</v>
      </c>
      <c r="BG61" s="20">
        <f t="shared" si="7"/>
        <v>564.43255421132858</v>
      </c>
      <c r="BH61" s="59">
        <f t="shared" si="8"/>
        <v>857.76588754466184</v>
      </c>
      <c r="BI61" s="59">
        <f ca="1">AVERAGE(OFFSET($BH$3,0,0,'Données projet'!$E$11+1,1))-AVERAGE(OFFSET($H$3,0,0,'Données projet'!$E$11+1,1))</f>
        <v>325.72928944930294</v>
      </c>
      <c r="BJ61" s="59">
        <f t="shared" si="38"/>
        <v>318.38876834819752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9.9445177768311446</v>
      </c>
      <c r="BQ61" s="21">
        <f>EXP(-LN(2)/25)*BQ60+(1-EXP(-LN(2)/25))/(LN(2)/25)*Calculateur!BL61*Calculateur!BN61*VLOOKUP('Données projet'!$B$11,Paramètres!$A$1:$I$89,3,0)*0.475*44/12</f>
        <v>9.5146854947691271</v>
      </c>
      <c r="BR61" s="21">
        <f>EXP(-LN(2)/2)*BR60+(1-EXP(-LN(2)/2))/(LN(2)/2)*BL61*BO61*VLOOKUP('Données projet'!$B$11,Paramètres!$A$1:$I$89,3,0)*0.475*44/12</f>
        <v>7.2202887170923257E-4</v>
      </c>
      <c r="BS61" s="22">
        <f t="shared" si="9"/>
        <v>19.459925300471983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12.2</v>
      </c>
      <c r="BY61" s="12">
        <f>IF('Données projet'!$A$114&gt;35,BY60+BX61-CG60,IF(A61&lt;'Données projet'!$A$114,$BV$205^A61,IF(A61='Données projet'!$A$114,'Données projet'!$B$114,BY60+BX61-CG60)))</f>
        <v>729.59999999999957</v>
      </c>
      <c r="BZ61" s="13">
        <f>BY61*VLOOKUP('Données projet'!$B$12,Paramètres!$A$1:$I$89,3,0)*VLOOKUP('Données projet'!$B$12,Paramètres!$A$1:$I$89,5,0)</f>
        <v>407.84639999999973</v>
      </c>
      <c r="CA61" s="13">
        <f t="shared" si="39"/>
        <v>93.365599460181741</v>
      </c>
      <c r="CB61" s="20">
        <f t="shared" si="10"/>
        <v>872.94423239314926</v>
      </c>
      <c r="CC61" s="59">
        <f t="shared" si="11"/>
        <v>1166.2775657264826</v>
      </c>
      <c r="CD61" s="59">
        <f ca="1">AVERAGE(OFFSET($CC$3,0,0,'Données projet'!$E$12+1,1))-AVERAGE(OFFSET($H$3,0,0,'Données projet'!$E$12+1,1))</f>
        <v>475.54809021014017</v>
      </c>
      <c r="CE61" s="59">
        <f t="shared" si="40"/>
        <v>593.51433014569966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4.216492793394897</v>
      </c>
      <c r="CL61" s="21">
        <f>EXP(-LN(2)/25)*CL60+(1-EXP(-LN(2)/25))/(LN(2)/25)*Calculateur!CG61*Calculateur!CI61*VLOOKUP('Données projet'!$B$12,Paramètres!$A$1:$I$89,3,0)*0.475*44/12</f>
        <v>19.605620954086675</v>
      </c>
      <c r="CM61" s="21">
        <f>EXP(-LN(2)/2)*CM60+(1-EXP(-LN(2)/2))/(LN(2)/2)*CG61*CJ61*VLOOKUP('Données projet'!$B$12,Paramètres!$A$1:$I$89,3,0)*0.475*44/12</f>
        <v>8.8000230497666269E-4</v>
      </c>
      <c r="CN61" s="22">
        <f t="shared" si="12"/>
        <v>23.822993749786551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13.5</v>
      </c>
      <c r="CT61" s="12">
        <f>IF('Données projet'!$A$140&gt;35,CT60+CS61-DB60,IF(A61&lt;'Données projet'!$A$140,$CQ$205^A61,IF(A61='Données projet'!$A$140,'Données projet'!$B$140,CT60+CS61-DB60)))</f>
        <v>321.49999999999989</v>
      </c>
      <c r="CU61" s="17">
        <f>CT61*VLOOKUP('Données projet'!$B$13,Paramètres!$A$1:$I$89,3,0)*VLOOKUP('Données projet'!$B$13,Paramètres!$A$1:$I$89,5,0)</f>
        <v>150.46199999999993</v>
      </c>
      <c r="CV61" s="13">
        <f t="shared" si="41"/>
        <v>38.683557979918994</v>
      </c>
      <c r="CW61" s="20">
        <f t="shared" si="13"/>
        <v>329.42851348169211</v>
      </c>
      <c r="CX61" s="59">
        <f t="shared" si="14"/>
        <v>622.76184681502536</v>
      </c>
      <c r="CY61" s="59">
        <f ca="1">AVERAGE(OFFSET($CX$3,0,0,'Données projet'!$E$13+1,1))-AVERAGE(OFFSET($H$3,0,0,'Données projet'!$E$13+1,1))</f>
        <v>226.0452828290525</v>
      </c>
      <c r="CZ61" s="59">
        <f t="shared" si="42"/>
        <v>179.89696397462069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5.212889128825398</v>
      </c>
      <c r="DG61" s="21">
        <f>EXP(-LN(2)/25)*DG60+(1-EXP(-LN(2)/25))/(LN(2)/25)*Calculateur!DB61*Calculateur!DD61*VLOOKUP('Données projet'!$B$13,Paramètres!$A$1:$I$89,3,0)*0.475*44/12</f>
        <v>5.1306535757807934</v>
      </c>
      <c r="DH61" s="21">
        <f>EXP(-LN(2)/2)*DH60+(1-EXP(-LN(2)/2))/(LN(2)/2)*DB61*DE61*VLOOKUP('Données projet'!$B$13,Paramètres!$A$1:$I$89,3,0)*0.475*44/12</f>
        <v>6.7401908225087732E-4</v>
      </c>
      <c r="DI61" s="22">
        <f t="shared" si="15"/>
        <v>10.344216723688442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3</v>
      </c>
      <c r="DO61" s="12">
        <f>IF('Données projet'!$A$166&gt;35,DO60+DN61-DW60,IF(A61&lt;'Données projet'!$A$166,$DL$205^A61,IF(A61='Données projet'!$A$166,'Données projet'!$B$166,DO60+DN61-DW60)))</f>
        <v>397.00000000000011</v>
      </c>
      <c r="DP61" s="17">
        <f>DO61*VLOOKUP('Données projet'!$B$14,Paramètres!$A$1:$I$89,3,0)*VLOOKUP('Données projet'!$B$14,Paramètres!$A$1:$I$89,5,0)</f>
        <v>237.40600000000009</v>
      </c>
      <c r="DQ61" s="13">
        <f t="shared" si="43"/>
        <v>57.881066248213493</v>
      </c>
      <c r="DR61" s="20">
        <f t="shared" si="16"/>
        <v>514.29164038230522</v>
      </c>
      <c r="DS61" s="59">
        <f t="shared" si="17"/>
        <v>807.62497371563859</v>
      </c>
      <c r="DT61" s="59">
        <f ca="1">AVERAGE(OFFSET($DS$3,0,0,'Données projet'!$E$14+1,1))-AVERAGE(OFFSET($H$3,0,0,'Données projet'!$E$14+1,1))</f>
        <v>252.81045065813976</v>
      </c>
      <c r="DU61" s="59">
        <f t="shared" si="44"/>
        <v>254.36590349790589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10.369574096841385</v>
      </c>
      <c r="EB61" s="21">
        <f>EXP(-LN(2)/25)*EB60+(1-EXP(-LN(2)/25))/(LN(2)/25)*Calculateur!DW61*Calculateur!DY61*VLOOKUP('Données projet'!$B$14,Paramètres!$A$1:$I$89,3,0)*0.475*44/12</f>
        <v>7.4194809128583783</v>
      </c>
      <c r="EC61" s="21">
        <f>EXP(-LN(2)/2)*EC60+(1-EXP(-LN(2)/2))/(LN(2)/2)*DW61*DZ61*VLOOKUP('Données projet'!$B$14,Paramètres!$A$1:$I$89,3,0)*0.475*44/12</f>
        <v>3.5042625025256426E-4</v>
      </c>
      <c r="ED61" s="22">
        <f t="shared" si="18"/>
        <v>17.789405435950016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7.4</v>
      </c>
      <c r="EJ61" s="12">
        <f>IF('Données projet'!$A$192&gt;35,EJ60+EI61-ER60,IF(A61&lt;'Données projet'!$A$192,$EG$205^A61,IF(A61='Données projet'!$A$192,'Données projet'!$B$192,EJ60+EI61-ER60)))</f>
        <v>328.19999999999976</v>
      </c>
      <c r="EK61" s="17">
        <f>EJ61*VLOOKUP('Données projet'!$B$15,Paramètres!$A$1:$I$89,3,0)*VLOOKUP('Données projet'!$B$15,Paramètres!$A$1:$I$89,5,0)</f>
        <v>240.63623999999982</v>
      </c>
      <c r="EL61" s="13">
        <f t="shared" si="45"/>
        <v>58.576399517863109</v>
      </c>
      <c r="EM61" s="20">
        <f t="shared" si="19"/>
        <v>521.12868049361134</v>
      </c>
      <c r="EN61" s="59">
        <f t="shared" si="20"/>
        <v>814.46201382694471</v>
      </c>
      <c r="EO61" s="59">
        <f ca="1">AVERAGE(OFFSET($EN$3,0,0,'Données projet'!$E$15+1,1))-AVERAGE(OFFSET($H$3,0,0,'Données projet'!$E$15+1,1))</f>
        <v>296.91321813251051</v>
      </c>
      <c r="EP61" s="59">
        <f t="shared" si="46"/>
        <v>291.0718079639509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7.4353941646229194</v>
      </c>
      <c r="EW61" s="21">
        <f>EXP(-LN(2)/25)*EW60+(1-EXP(-LN(2)/25))/(LN(2)/25)*Calculateur!ER61*Calculateur!ET61*VLOOKUP('Données projet'!$B$15,Paramètres!$A$1:$I$89,3,0)*0.475*44/12</f>
        <v>7.1140138309021088</v>
      </c>
      <c r="EX61" s="21">
        <f>EXP(-LN(2)/2)*EX60+(1-EXP(-LN(2)/2))/(LN(2)/2)*ER61*EU61*VLOOKUP('Données projet'!$B$15,Paramètres!$A$1:$I$89,3,0)*0.475*44/12</f>
        <v>6.6539915628105863E-4</v>
      </c>
      <c r="EY61" s="22">
        <f t="shared" si="21"/>
        <v>14.550073394681309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9.4</v>
      </c>
      <c r="FE61" s="12">
        <f>IF('Données projet'!$A$218&gt;35,FE60+FD61-FM60,IF(A61&lt;'Données projet'!$A$218,$FB$205^A61,IF(A61='Données projet'!$A$218,'Données projet'!$B$218,FE60+FD61-FM60)))</f>
        <v>254.2</v>
      </c>
      <c r="FF61" s="17">
        <f>FE61*VLOOKUP('Données projet'!$B$16,Paramètres!$A$1:$I$89,3,0)*VLOOKUP('Données projet'!$B$16,Paramètres!$A$1:$I$89,5,0)</f>
        <v>257.75880000000001</v>
      </c>
      <c r="FG61" s="13">
        <f t="shared" si="47"/>
        <v>62.244404241627407</v>
      </c>
      <c r="FH61" s="20">
        <f t="shared" si="22"/>
        <v>557.33891405416773</v>
      </c>
      <c r="FI61" s="59">
        <f t="shared" si="23"/>
        <v>850.6722473875011</v>
      </c>
      <c r="FJ61" s="59">
        <f ca="1">AVERAGE(OFFSET($FI$3,0,0,'Données projet'!$E$16+1,1))-AVERAGE(OFFSET($H$3,0,0,'Données projet'!$E$16+1,1))</f>
        <v>356.65981389369125</v>
      </c>
      <c r="FK61" s="59">
        <f t="shared" si="48"/>
        <v>231.92898690465887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4.7042059048848648</v>
      </c>
      <c r="FR61" s="21">
        <f>EXP(-LN(2)/25)*FR60+(1-EXP(-LN(2)/25))/(LN(2)/25)*Calculateur!FM61*Calculateur!FO61*VLOOKUP('Données projet'!$B$16,Paramètres!$A$1:$I$89,3,0)*0.475*44/12</f>
        <v>4.8286830965432772</v>
      </c>
      <c r="FS61" s="21">
        <f>EXP(-LN(2)/2)*FS60+(1-EXP(-LN(2)/2))/(LN(2)/2)*FM61*FP61*VLOOKUP('Données projet'!$B$16,Paramètres!$A$1:$I$89,3,0)*0.475*44/12</f>
        <v>5.8379508004755573E-4</v>
      </c>
      <c r="FT61" s="22">
        <f t="shared" si="24"/>
        <v>9.5334727965081889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9.4</v>
      </c>
      <c r="FZ61" s="12">
        <f>IF('Données projet'!$A$244&gt;35,FZ60+FY61-GH60,IF(A61&lt;'Données projet'!$A$244,$FW$205^A61,IF(A61='Données projet'!$A$244,'Données projet'!$B$244,FZ60+FY61-GH60)))</f>
        <v>254.2</v>
      </c>
      <c r="GA61" s="17">
        <f>FZ61*VLOOKUP('Données projet'!$B$17,Paramètres!$A$1:$I$89,3,0)*VLOOKUP('Données projet'!$B$17,Paramètres!$A$1:$I$89,5,0)</f>
        <v>245.86223999999999</v>
      </c>
      <c r="GB61" s="13">
        <f t="shared" si="49"/>
        <v>59.699043025687963</v>
      </c>
      <c r="GC61" s="20">
        <f t="shared" si="25"/>
        <v>532.18590126973982</v>
      </c>
      <c r="GD61" s="59">
        <f t="shared" si="26"/>
        <v>825.51923460307307</v>
      </c>
      <c r="GE61" s="59">
        <f ca="1">AVERAGE(OFFSET($GD$3,0,0,'Données projet'!$E$17+1,1))-AVERAGE(OFFSET($H$3,0,0,'Données projet'!$E$17+1,1))</f>
        <v>337.76140497227715</v>
      </c>
      <c r="GF61" s="59">
        <f t="shared" si="50"/>
        <v>219.76562717496353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4.4870887092747918</v>
      </c>
      <c r="GM61" s="21">
        <f>EXP(-LN(2)/25)*GM60+(1-EXP(-LN(2)/25))/(LN(2)/25)*Calculateur!GH61*Calculateur!GJ61*VLOOKUP('Données projet'!$B$17,Paramètres!$A$1:$I$89,3,0)*0.475*44/12</f>
        <v>4.6058207997797398</v>
      </c>
      <c r="GN61" s="21">
        <f>EXP(-LN(2)/2)*GN60+(1-EXP(-LN(2)/2))/(LN(2)/2)*GH61*GK61*VLOOKUP('Données projet'!$B$17,Paramètres!$A$1:$I$89,3,0)*0.475*44/12</f>
        <v>5.5685069173766867E-4</v>
      </c>
      <c r="GO61" s="21">
        <f t="shared" si="27"/>
        <v>9.0934663597462695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263.59999999999997</v>
      </c>
      <c r="O62" s="13">
        <f>N62*VLOOKUP('Données projet'!$B$9,Paramètres!$A$1:$I$89,3,0)*VLOOKUP('Données projet'!$B$9,Paramètres!$A$1:$I$89,5,0)</f>
        <v>238.50527999999997</v>
      </c>
      <c r="P62" s="13">
        <f t="shared" si="33"/>
        <v>58.117817352909881</v>
      </c>
      <c r="Q62" s="20">
        <f t="shared" si="53"/>
        <v>516.61856122298457</v>
      </c>
      <c r="R62" s="59">
        <f t="shared" si="0"/>
        <v>809.95189455631794</v>
      </c>
      <c r="S62" s="59">
        <f ca="1">AVERAGE(OFFSET($R$3,0,0,'Données projet'!$E$9+1,1))-AVERAGE(OFFSET($H$3,0,0,'Données projet'!$E$9+1,1))</f>
        <v>312.53389584272878</v>
      </c>
      <c r="T62" s="59">
        <f t="shared" si="34"/>
        <v>203.5274665601915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4.1152867567630222</v>
      </c>
      <c r="AA62" s="21">
        <f>EXP(-LN(2)/25)*AA61+(1-EXP(-LN(2)/25))/(LN(2)/25)*Calculateur!V62*Calculateur!X62*VLOOKUP('Données projet'!$B$9,Paramètres!$A$1:$I$89,3,0)*0.475*44/12</f>
        <v>4.1908502337485487</v>
      </c>
      <c r="AB62" s="21">
        <f>EXP(-LN(2)/2)*AB61+(1-EXP(-LN(2)/2))/(LN(2)/2)*V62*Y62*VLOOKUP('Données projet'!$B$9,Paramètres!$A$1:$I$89,3,0)*0.475*44/12</f>
        <v>3.6834948731766552E-4</v>
      </c>
      <c r="AC62" s="22">
        <f t="shared" si="3"/>
        <v>8.3065053399988891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5.6843418860808015E-14</v>
      </c>
      <c r="AJ62" s="13">
        <f>AI62*VLOOKUP('Données projet'!$B$10,Paramètres!$A$1:$I$89,3,0)*VLOOKUP('Données projet'!$B$10,Paramètres!$A$1:$I$89,5,0)</f>
        <v>4.9658410716801891E-14</v>
      </c>
      <c r="AK62" s="13">
        <f t="shared" si="35"/>
        <v>8.0934058173791862E-13</v>
      </c>
      <c r="AL62" s="20">
        <f t="shared" si="4"/>
        <v>1.4960899118586383E-12</v>
      </c>
      <c r="AM62" s="59">
        <f t="shared" si="5"/>
        <v>293.33333333333479</v>
      </c>
      <c r="AN62" s="59">
        <f ca="1">AVERAGE(OFFSET($AM$3,0,0,'Données projet'!$E$10+1,1))-AVERAGE(OFFSET($H$3,0,0,'Données projet'!$E$10+1,1))</f>
        <v>243.05628303465238</v>
      </c>
      <c r="AO62" s="59">
        <f t="shared" si="36"/>
        <v>352.47096767658394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4.4454767913154853</v>
      </c>
      <c r="AV62" s="21">
        <f>EXP(-LN(2)/25)*AV61+(1-EXP(-LN(2)/25))/(LN(2)/25)*Calculateur!AQ62*Calculateur!AS62*VLOOKUP('Données projet'!$B$10,Paramètres!$A$1:$I$89,3,0)*0.475*44/12</f>
        <v>8.1080664858987266</v>
      </c>
      <c r="AW62" s="21">
        <f>EXP(-LN(2)/2)*AW61+(1-EXP(-LN(2)/2))/(LN(2)/2)*AQ62*AT62*VLOOKUP('Données projet'!$B$10,Paramètres!$A$1:$I$89,3,0)*0.475*44/12</f>
        <v>4.8653159653341024E-4</v>
      </c>
      <c r="AX62" s="21">
        <f t="shared" si="6"/>
        <v>12.554029808810744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7.4</v>
      </c>
      <c r="BD62" s="12">
        <f>IF('Données projet'!$A$88&gt;35,BD61+BC62-BL61,IF(A62&lt;'Données projet'!$A$88,$BA$205^A62,IF(A62='Données projet'!$A$88,'Données projet'!$B$88,BD61+BC62-BL61)))</f>
        <v>335.59999999999974</v>
      </c>
      <c r="BE62" s="13">
        <f>BD62*VLOOKUP('Données projet'!$B$11,Paramètres!$A$1:$I$89,3,0)*VLOOKUP('Données projet'!$B$11,Paramètres!$A$1:$I$89,5,0)</f>
        <v>267.00335999999982</v>
      </c>
      <c r="BF62" s="13">
        <f t="shared" si="37"/>
        <v>64.212894147794728</v>
      </c>
      <c r="BG62" s="20">
        <f t="shared" si="7"/>
        <v>576.86830930740882</v>
      </c>
      <c r="BH62" s="59">
        <f t="shared" si="8"/>
        <v>870.20164264074219</v>
      </c>
      <c r="BI62" s="59">
        <f ca="1">AVERAGE(OFFSET($BH$3,0,0,'Données projet'!$E$11+1,1))-AVERAGE(OFFSET($H$3,0,0,'Données projet'!$E$11+1,1))</f>
        <v>325.72928944930294</v>
      </c>
      <c r="BJ62" s="59">
        <f t="shared" si="38"/>
        <v>318.38876834819752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9.7495118487844064</v>
      </c>
      <c r="BQ62" s="21">
        <f>EXP(-LN(2)/25)*BQ61+(1-EXP(-LN(2)/25))/(LN(2)/25)*Calculateur!BL62*Calculateur!BN62*VLOOKUP('Données projet'!$B$11,Paramètres!$A$1:$I$89,3,0)*0.475*44/12</f>
        <v>9.2545059195591008</v>
      </c>
      <c r="BR62" s="21">
        <f>EXP(-LN(2)/2)*BR61+(1-EXP(-LN(2)/2))/(LN(2)/2)*BL62*BO62*VLOOKUP('Données projet'!$B$11,Paramètres!$A$1:$I$89,3,0)*0.475*44/12</f>
        <v>5.1055151139807009E-4</v>
      </c>
      <c r="BS62" s="22">
        <f t="shared" si="9"/>
        <v>19.004528319854906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12.2</v>
      </c>
      <c r="BY62" s="12">
        <f>IF('Données projet'!$A$114&gt;35,BY61+BX62-CG61,IF(A62&lt;'Données projet'!$A$114,$BV$205^A62,IF(A62='Données projet'!$A$114,'Données projet'!$B$114,BY61+BX62-CG61)))</f>
        <v>741.79999999999961</v>
      </c>
      <c r="BZ62" s="13">
        <f>BY62*VLOOKUP('Données projet'!$B$12,Paramètres!$A$1:$I$89,3,0)*VLOOKUP('Données projet'!$B$12,Paramètres!$A$1:$I$89,5,0)</f>
        <v>414.66619999999978</v>
      </c>
      <c r="CA62" s="13">
        <f t="shared" si="39"/>
        <v>94.743752206399009</v>
      </c>
      <c r="CB62" s="20">
        <f t="shared" si="10"/>
        <v>887.22233342614447</v>
      </c>
      <c r="CC62" s="59">
        <f t="shared" si="11"/>
        <v>1180.5556667594778</v>
      </c>
      <c r="CD62" s="59">
        <f ca="1">AVERAGE(OFFSET($CC$3,0,0,'Données projet'!$E$12+1,1))-AVERAGE(OFFSET($H$3,0,0,'Données projet'!$E$12+1,1))</f>
        <v>475.54809021014017</v>
      </c>
      <c r="CE62" s="59">
        <f t="shared" si="40"/>
        <v>593.51433014569966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4.133809941523082</v>
      </c>
      <c r="CL62" s="21">
        <f>EXP(-LN(2)/25)*CL61+(1-EXP(-LN(2)/25))/(LN(2)/25)*Calculateur!CG62*Calculateur!CI62*VLOOKUP('Données projet'!$B$12,Paramètres!$A$1:$I$89,3,0)*0.475*44/12</f>
        <v>19.069504218082379</v>
      </c>
      <c r="CM62" s="21">
        <f>EXP(-LN(2)/2)*CM61+(1-EXP(-LN(2)/2))/(LN(2)/2)*CG62*CJ62*VLOOKUP('Données projet'!$B$12,Paramètres!$A$1:$I$89,3,0)*0.475*44/12</f>
        <v>6.2225559730879048E-4</v>
      </c>
      <c r="CN62" s="22">
        <f t="shared" si="12"/>
        <v>23.203936415202772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13.5</v>
      </c>
      <c r="CT62" s="12">
        <f>IF('Données projet'!$A$140&gt;35,CT61+CS62-DB61,IF(A62&lt;'Données projet'!$A$140,$CQ$205^A62,IF(A62='Données projet'!$A$140,'Données projet'!$B$140,CT61+CS62-DB61)))</f>
        <v>334.99999999999989</v>
      </c>
      <c r="CU62" s="17">
        <f>CT62*VLOOKUP('Données projet'!$B$13,Paramètres!$A$1:$I$89,3,0)*VLOOKUP('Données projet'!$B$13,Paramètres!$A$1:$I$89,5,0)</f>
        <v>156.77999999999994</v>
      </c>
      <c r="CV62" s="13">
        <f t="shared" si="41"/>
        <v>40.115378305457938</v>
      </c>
      <c r="CW62" s="20">
        <f t="shared" si="13"/>
        <v>342.92611721533916</v>
      </c>
      <c r="CX62" s="59">
        <f t="shared" si="14"/>
        <v>636.25945054867248</v>
      </c>
      <c r="CY62" s="59">
        <f ca="1">AVERAGE(OFFSET($CX$3,0,0,'Données projet'!$E$13+1,1))-AVERAGE(OFFSET($H$3,0,0,'Données projet'!$E$13+1,1))</f>
        <v>226.0452828290525</v>
      </c>
      <c r="CZ62" s="59">
        <f t="shared" si="42"/>
        <v>179.89696397462069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5.1106675525575458</v>
      </c>
      <c r="DG62" s="21">
        <f>EXP(-LN(2)/25)*DG61+(1-EXP(-LN(2)/25))/(LN(2)/25)*Calculateur!DB62*Calculateur!DD62*VLOOKUP('Données projet'!$B$13,Paramètres!$A$1:$I$89,3,0)*0.475*44/12</f>
        <v>4.9903555839417226</v>
      </c>
      <c r="DH62" s="21">
        <f>EXP(-LN(2)/2)*DH61+(1-EXP(-LN(2)/2))/(LN(2)/2)*DB62*DE62*VLOOKUP('Données projet'!$B$13,Paramètres!$A$1:$I$89,3,0)*0.475*44/12</f>
        <v>4.7660346370872873E-4</v>
      </c>
      <c r="DI62" s="22">
        <f t="shared" si="15"/>
        <v>10.101499739962977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3</v>
      </c>
      <c r="DO62" s="12">
        <f>IF('Données projet'!$A$166&gt;35,DO61+DN62-DW61,IF(A62&lt;'Données projet'!$A$166,$DL$205^A62,IF(A62='Données projet'!$A$166,'Données projet'!$B$166,DO61+DN62-DW61)))</f>
        <v>400.00000000000011</v>
      </c>
      <c r="DP62" s="17">
        <f>DO62*VLOOKUP('Données projet'!$B$14,Paramètres!$A$1:$I$89,3,0)*VLOOKUP('Données projet'!$B$14,Paramètres!$A$1:$I$89,5,0)</f>
        <v>239.20000000000007</v>
      </c>
      <c r="DQ62" s="13">
        <f t="shared" si="43"/>
        <v>58.267373151570702</v>
      </c>
      <c r="DR62" s="20">
        <f t="shared" si="16"/>
        <v>518.08900823898568</v>
      </c>
      <c r="DS62" s="59">
        <f t="shared" si="17"/>
        <v>811.42234157231906</v>
      </c>
      <c r="DT62" s="59">
        <f ca="1">AVERAGE(OFFSET($DS$3,0,0,'Données projet'!$E$14+1,1))-AVERAGE(OFFSET($H$3,0,0,'Données projet'!$E$14+1,1))</f>
        <v>252.81045065813976</v>
      </c>
      <c r="DU62" s="59">
        <f t="shared" si="44"/>
        <v>254.36590349790589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10.166233073618001</v>
      </c>
      <c r="EB62" s="21">
        <f>EXP(-LN(2)/25)*EB61+(1-EXP(-LN(2)/25))/(LN(2)/25)*Calculateur!DW62*Calculateur!DY62*VLOOKUP('Données projet'!$B$14,Paramètres!$A$1:$I$89,3,0)*0.475*44/12</f>
        <v>7.2165948171227221</v>
      </c>
      <c r="EC62" s="21">
        <f>EXP(-LN(2)/2)*EC61+(1-EXP(-LN(2)/2))/(LN(2)/2)*DW62*DZ62*VLOOKUP('Données projet'!$B$14,Paramètres!$A$1:$I$89,3,0)*0.475*44/12</f>
        <v>2.477887778593623E-4</v>
      </c>
      <c r="ED62" s="22">
        <f t="shared" si="18"/>
        <v>17.38307567951858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7.4</v>
      </c>
      <c r="EJ62" s="12">
        <f>IF('Données projet'!$A$192&gt;35,EJ61+EI62-ER61,IF(A62&lt;'Données projet'!$A$192,$EG$205^A62,IF(A62='Données projet'!$A$192,'Données projet'!$B$192,EJ61+EI62-ER61)))</f>
        <v>335.59999999999974</v>
      </c>
      <c r="EK62" s="17">
        <f>EJ62*VLOOKUP('Données projet'!$B$15,Paramètres!$A$1:$I$89,3,0)*VLOOKUP('Données projet'!$B$15,Paramètres!$A$1:$I$89,5,0)</f>
        <v>246.06191999999979</v>
      </c>
      <c r="EL62" s="13">
        <f t="shared" si="45"/>
        <v>59.741882613953308</v>
      </c>
      <c r="EM62" s="20">
        <f t="shared" si="19"/>
        <v>532.60828955263503</v>
      </c>
      <c r="EN62" s="59">
        <f t="shared" si="20"/>
        <v>825.9416228859684</v>
      </c>
      <c r="EO62" s="59">
        <f ca="1">AVERAGE(OFFSET($EN$3,0,0,'Données projet'!$E$15+1,1))-AVERAGE(OFFSET($H$3,0,0,'Données projet'!$E$15+1,1))</f>
        <v>296.91321813251051</v>
      </c>
      <c r="EP62" s="59">
        <f t="shared" si="46"/>
        <v>291.0718079639509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7.2895906201972958</v>
      </c>
      <c r="EW62" s="21">
        <f>EXP(-LN(2)/25)*EW61+(1-EXP(-LN(2)/25))/(LN(2)/25)*Calculateur!ER62*Calculateur!ET62*VLOOKUP('Données projet'!$B$15,Paramètres!$A$1:$I$89,3,0)*0.475*44/12</f>
        <v>6.9194807485863628</v>
      </c>
      <c r="EX62" s="21">
        <f>EXP(-LN(2)/2)*EX61+(1-EXP(-LN(2)/2))/(LN(2)/2)*ER62*EU62*VLOOKUP('Données projet'!$B$15,Paramètres!$A$1:$I$89,3,0)*0.475*44/12</f>
        <v>4.705082556021439E-4</v>
      </c>
      <c r="EY62" s="22">
        <f t="shared" si="21"/>
        <v>14.209541877039261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9.4</v>
      </c>
      <c r="FE62" s="12">
        <f>IF('Données projet'!$A$218&gt;35,FE61+FD62-FM61,IF(A62&lt;'Données projet'!$A$218,$FB$205^A62,IF(A62='Données projet'!$A$218,'Données projet'!$B$218,FE61+FD62-FM61)))</f>
        <v>263.59999999999997</v>
      </c>
      <c r="FF62" s="17">
        <f>FE62*VLOOKUP('Données projet'!$B$16,Paramètres!$A$1:$I$89,3,0)*VLOOKUP('Données projet'!$B$16,Paramètres!$A$1:$I$89,5,0)</f>
        <v>267.29039999999998</v>
      </c>
      <c r="FG62" s="13">
        <f t="shared" si="47"/>
        <v>64.273886654661325</v>
      </c>
      <c r="FH62" s="20">
        <f t="shared" si="22"/>
        <v>577.47446592353515</v>
      </c>
      <c r="FI62" s="59">
        <f t="shared" si="23"/>
        <v>870.80779925686852</v>
      </c>
      <c r="FJ62" s="59">
        <f ca="1">AVERAGE(OFFSET($FI$3,0,0,'Données projet'!$E$16+1,1))-AVERAGE(OFFSET($H$3,0,0,'Données projet'!$E$16+1,1))</f>
        <v>356.65981389369125</v>
      </c>
      <c r="FK62" s="59">
        <f t="shared" si="48"/>
        <v>231.92898690465887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4.6119592963723566</v>
      </c>
      <c r="FR62" s="21">
        <f>EXP(-LN(2)/25)*FR61+(1-EXP(-LN(2)/25))/(LN(2)/25)*Calculateur!FM62*Calculateur!FO62*VLOOKUP('Données projet'!$B$16,Paramètres!$A$1:$I$89,3,0)*0.475*44/12</f>
        <v>4.696642503338893</v>
      </c>
      <c r="FS62" s="21">
        <f>EXP(-LN(2)/2)*FS61+(1-EXP(-LN(2)/2))/(LN(2)/2)*FM62*FP62*VLOOKUP('Données projet'!$B$16,Paramètres!$A$1:$I$89,3,0)*0.475*44/12</f>
        <v>4.1280545992496999E-4</v>
      </c>
      <c r="FT62" s="22">
        <f t="shared" si="24"/>
        <v>9.3090146051711748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9.4</v>
      </c>
      <c r="FZ62" s="12">
        <f>IF('Données projet'!$A$244&gt;35,FZ61+FY62-GH61,IF(A62&lt;'Données projet'!$A$244,$FW$205^A62,IF(A62='Données projet'!$A$244,'Données projet'!$B$244,FZ61+FY62-GH61)))</f>
        <v>263.59999999999997</v>
      </c>
      <c r="GA62" s="17">
        <f>FZ62*VLOOKUP('Données projet'!$B$17,Paramètres!$A$1:$I$89,3,0)*VLOOKUP('Données projet'!$B$17,Paramètres!$A$1:$I$89,5,0)</f>
        <v>254.95391999999998</v>
      </c>
      <c r="GB62" s="13">
        <f t="shared" si="49"/>
        <v>61.645533788540583</v>
      </c>
      <c r="GC62" s="20">
        <f t="shared" si="25"/>
        <v>551.41071534837477</v>
      </c>
      <c r="GD62" s="59">
        <f t="shared" si="26"/>
        <v>844.74404868170814</v>
      </c>
      <c r="GE62" s="59">
        <f ca="1">AVERAGE(OFFSET($GD$3,0,0,'Données projet'!$E$17+1,1))-AVERAGE(OFFSET($H$3,0,0,'Données projet'!$E$17+1,1))</f>
        <v>337.76140497227715</v>
      </c>
      <c r="GF62" s="59">
        <f t="shared" si="50"/>
        <v>219.76562717496353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4.3990996365397841</v>
      </c>
      <c r="GM62" s="21">
        <f>EXP(-LN(2)/25)*GM61+(1-EXP(-LN(2)/25))/(LN(2)/25)*Calculateur!GH62*Calculateur!GJ62*VLOOKUP('Données projet'!$B$17,Paramètres!$A$1:$I$89,3,0)*0.475*44/12</f>
        <v>4.4798743878001739</v>
      </c>
      <c r="GN62" s="21">
        <f>EXP(-LN(2)/2)*GN61+(1-EXP(-LN(2)/2))/(LN(2)/2)*GH62*GK62*VLOOKUP('Données projet'!$B$17,Paramètres!$A$1:$I$89,3,0)*0.475*44/12</f>
        <v>3.9375290023612532E-4</v>
      </c>
      <c r="GO62" s="21">
        <f t="shared" si="27"/>
        <v>8.8793677772401924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272.99999999999994</v>
      </c>
      <c r="O63" s="13">
        <f>N63*VLOOKUP('Données projet'!$B$9,Paramètres!$A$1:$I$89,3,0)*VLOOKUP('Données projet'!$B$9,Paramètres!$A$1:$I$89,5,0)</f>
        <v>247.01039999999992</v>
      </c>
      <c r="P63" s="13">
        <f t="shared" si="33"/>
        <v>59.945315462121812</v>
      </c>
      <c r="Q63" s="20">
        <f t="shared" si="53"/>
        <v>534.61453776319524</v>
      </c>
      <c r="R63" s="59">
        <f t="shared" si="0"/>
        <v>827.94787109652862</v>
      </c>
      <c r="S63" s="59">
        <f ca="1">AVERAGE(OFFSET($R$3,0,0,'Données projet'!$E$9+1,1))-AVERAGE(OFFSET($H$3,0,0,'Données projet'!$E$9+1,1))</f>
        <v>312.53389584272878</v>
      </c>
      <c r="T63" s="59">
        <f t="shared" si="34"/>
        <v>203.5274665601915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4.0345884935399718</v>
      </c>
      <c r="AA63" s="21">
        <f>EXP(-LN(2)/25)*AA62+(1-EXP(-LN(2)/25))/(LN(2)/25)*Calculateur!V63*Calculateur!X63*VLOOKUP('Données projet'!$B$9,Paramètres!$A$1:$I$89,3,0)*0.475*44/12</f>
        <v>4.0762512137194591</v>
      </c>
      <c r="AB63" s="21">
        <f>EXP(-LN(2)/2)*AB62+(1-EXP(-LN(2)/2))/(LN(2)/2)*V63*Y63*VLOOKUP('Données projet'!$B$9,Paramètres!$A$1:$I$89,3,0)*0.475*44/12</f>
        <v>2.6046242032890947E-4</v>
      </c>
      <c r="AC63" s="22">
        <f t="shared" si="3"/>
        <v>8.1111001696797587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5.6843418860808015E-14</v>
      </c>
      <c r="AJ63" s="13">
        <f>AI63*VLOOKUP('Données projet'!$B$10,Paramètres!$A$1:$I$89,3,0)*VLOOKUP('Données projet'!$B$10,Paramètres!$A$1:$I$89,5,0)</f>
        <v>4.9658410716801891E-14</v>
      </c>
      <c r="AK63" s="13">
        <f t="shared" si="35"/>
        <v>8.0934058173791862E-13</v>
      </c>
      <c r="AL63" s="20">
        <f t="shared" si="4"/>
        <v>1.4960899118586383E-12</v>
      </c>
      <c r="AM63" s="59">
        <f t="shared" si="5"/>
        <v>293.33333333333479</v>
      </c>
      <c r="AN63" s="59">
        <f ca="1">AVERAGE(OFFSET($AM$3,0,0,'Données projet'!$E$10+1,1))-AVERAGE(OFFSET($H$3,0,0,'Données projet'!$E$10+1,1))</f>
        <v>243.05628303465238</v>
      </c>
      <c r="AO63" s="59">
        <f t="shared" si="36"/>
        <v>352.47096767658394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4.358303702910896</v>
      </c>
      <c r="AV63" s="21">
        <f>EXP(-LN(2)/25)*AV62+(1-EXP(-LN(2)/25))/(LN(2)/25)*Calculateur!AQ63*Calculateur!AS63*VLOOKUP('Données projet'!$B$10,Paramètres!$A$1:$I$89,3,0)*0.475*44/12</f>
        <v>7.8863509814571406</v>
      </c>
      <c r="AW63" s="21">
        <f>EXP(-LN(2)/2)*AW62+(1-EXP(-LN(2)/2))/(LN(2)/2)*AQ63*AT63*VLOOKUP('Données projet'!$B$10,Paramètres!$A$1:$I$89,3,0)*0.475*44/12</f>
        <v>3.4402979117029175E-4</v>
      </c>
      <c r="AX63" s="21">
        <f t="shared" si="6"/>
        <v>12.244998714159207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343</v>
      </c>
      <c r="BB63" s="12">
        <f>VLOOKUP(A63,'Données projet'!$A$87:$I$107,9,0)</f>
        <v>7.4</v>
      </c>
      <c r="BC63" s="12">
        <f t="array" ref="BC63">INDEX(BB:BB,MIN(IF(ISNUMBER(BB63:BB259),ROW(BB63:BB259),"")))</f>
        <v>7.4</v>
      </c>
      <c r="BD63" s="12">
        <f>IF('Données projet'!$A$88&gt;35,BD62+BC63-BL62,IF(A63&lt;'Données projet'!$A$88,$BA$205^A63,IF(A63='Données projet'!$A$88,'Données projet'!$B$88,BD62+BC63-BL62)))</f>
        <v>342.99999999999972</v>
      </c>
      <c r="BE63" s="13">
        <f>BD63*VLOOKUP('Données projet'!$B$11,Paramètres!$A$1:$I$89,3,0)*VLOOKUP('Données projet'!$B$11,Paramètres!$A$1:$I$89,5,0)</f>
        <v>272.89079999999979</v>
      </c>
      <c r="BF63" s="13">
        <f t="shared" si="37"/>
        <v>65.462389231846373</v>
      </c>
      <c r="BG63" s="20">
        <f t="shared" si="7"/>
        <v>589.29847124546529</v>
      </c>
      <c r="BH63" s="59">
        <f t="shared" si="8"/>
        <v>882.63180457879866</v>
      </c>
      <c r="BI63" s="59">
        <f ca="1">AVERAGE(OFFSET($BH$3,0,0,'Données projet'!$E$11+1,1))-AVERAGE(OFFSET($H$3,0,0,'Données projet'!$E$11+1,1))</f>
        <v>325.72928944930294</v>
      </c>
      <c r="BJ63" s="59">
        <f t="shared" si="38"/>
        <v>318.38876834819752</v>
      </c>
      <c r="BK63" s="15">
        <f>IF(ISNA(VLOOKUP(A63,'Données projet'!$A$87:$I$107,3,0)),0,VLOOKUP(A63,'Données projet'!$A$87:$I$107,3,0))</f>
        <v>11</v>
      </c>
      <c r="BL63" s="15">
        <f>IF(ISNA(VLOOKUP(A63,'Données projet'!$A$87:$I$107,4,0)),0,VLOOKUP(A63,'Données projet'!$A$87:$I$107,4,0))</f>
        <v>17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9.5583298680447921</v>
      </c>
      <c r="BQ63" s="21">
        <f>EXP(-LN(2)/25)*BQ62+(1-EXP(-LN(2)/25))/(LN(2)/25)*Calculateur!BL63*Calculateur!BN63*VLOOKUP('Données projet'!$B$11,Paramètres!$A$1:$I$89,3,0)*0.475*44/12</f>
        <v>9.0014409685154426</v>
      </c>
      <c r="BR63" s="21">
        <f>EXP(-LN(2)/2)*BR62+(1-EXP(-LN(2)/2))/(LN(2)/2)*BL63*BO63*VLOOKUP('Données projet'!$B$11,Paramètres!$A$1:$I$89,3,0)*0.475*44/12</f>
        <v>3.6101443585461628E-4</v>
      </c>
      <c r="BS63" s="22">
        <f t="shared" si="9"/>
        <v>18.560131850996086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754</v>
      </c>
      <c r="BW63" s="12">
        <f>VLOOKUP(A63,'Données projet'!$A$113:$I$133,9,0)</f>
        <v>12.2</v>
      </c>
      <c r="BX63" s="12">
        <f t="array" ref="BX63">INDEX(BW:BW,MIN(IF(ISNUMBER(BW63:BW259),ROW(BW63:BW259),"")))</f>
        <v>12.2</v>
      </c>
      <c r="BY63" s="12">
        <f>IF('Données projet'!$A$114&gt;35,BY62+BX63-CG62,IF(A63&lt;'Données projet'!$A$114,$BV$205^A63,IF(A63='Données projet'!$A$114,'Données projet'!$B$114,BY62+BX63-CG62)))</f>
        <v>753.99999999999966</v>
      </c>
      <c r="BZ63" s="13">
        <f>BY63*VLOOKUP('Données projet'!$B$12,Paramètres!$A$1:$I$89,3,0)*VLOOKUP('Données projet'!$B$12,Paramètres!$A$1:$I$89,5,0)</f>
        <v>421.48599999999982</v>
      </c>
      <c r="CA63" s="13">
        <f t="shared" si="39"/>
        <v>96.119269055816147</v>
      </c>
      <c r="CB63" s="20">
        <f t="shared" si="10"/>
        <v>901.49584360554616</v>
      </c>
      <c r="CC63" s="59">
        <f t="shared" si="11"/>
        <v>1194.8291769388795</v>
      </c>
      <c r="CD63" s="59">
        <f ca="1">AVERAGE(OFFSET($CC$3,0,0,'Données projet'!$E$12+1,1))-AVERAGE(OFFSET($H$3,0,0,'Données projet'!$E$12+1,1))</f>
        <v>475.54809021014017</v>
      </c>
      <c r="CE63" s="59">
        <f t="shared" si="40"/>
        <v>593.51433014569966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35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4.0527484499449136</v>
      </c>
      <c r="CL63" s="21">
        <f>EXP(-LN(2)/25)*CL62+(1-EXP(-LN(2)/25))/(LN(2)/25)*Calculateur!CG63*Calculateur!CI63*VLOOKUP('Données projet'!$B$12,Paramètres!$A$1:$I$89,3,0)*0.475*44/12</f>
        <v>18.548047622417272</v>
      </c>
      <c r="CM63" s="21">
        <f>EXP(-LN(2)/2)*CM62+(1-EXP(-LN(2)/2))/(LN(2)/2)*CG63*CJ63*VLOOKUP('Données projet'!$B$12,Paramètres!$A$1:$I$89,3,0)*0.475*44/12</f>
        <v>4.4000115248833135E-4</v>
      </c>
      <c r="CN63" s="22">
        <f t="shared" si="12"/>
        <v>22.601236073514674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348.5</v>
      </c>
      <c r="CR63" s="12">
        <f>VLOOKUP(A63,'Données projet'!$A$139:$I$159,9,0)</f>
        <v>13.5</v>
      </c>
      <c r="CS63" s="12">
        <f t="array" ref="CS63">INDEX(CR:CR,MIN(IF(ISNUMBER(CR63:CR259),ROW(CR63:CR259),"")))</f>
        <v>13.5</v>
      </c>
      <c r="CT63" s="12">
        <f>IF('Données projet'!$A$140&gt;35,CT62+CS63-DB62,IF(A63&lt;'Données projet'!$A$140,$CQ$205^A63,IF(A63='Données projet'!$A$140,'Données projet'!$B$140,CT62+CS63-DB62)))</f>
        <v>348.49999999999989</v>
      </c>
      <c r="CU63" s="17">
        <f>CT63*VLOOKUP('Données projet'!$B$13,Paramètres!$A$1:$I$89,3,0)*VLOOKUP('Données projet'!$B$13,Paramètres!$A$1:$I$89,5,0)</f>
        <v>163.09799999999993</v>
      </c>
      <c r="CV63" s="13">
        <f t="shared" si="41"/>
        <v>41.540496136845142</v>
      </c>
      <c r="CW63" s="20">
        <f t="shared" si="13"/>
        <v>356.4120474383385</v>
      </c>
      <c r="CX63" s="59">
        <f t="shared" si="14"/>
        <v>649.74538077167176</v>
      </c>
      <c r="CY63" s="59">
        <f ca="1">AVERAGE(OFFSET($CX$3,0,0,'Données projet'!$E$13+1,1))-AVERAGE(OFFSET($H$3,0,0,'Données projet'!$E$13+1,1))</f>
        <v>226.0452828290525</v>
      </c>
      <c r="CZ63" s="59">
        <f t="shared" si="42"/>
        <v>179.89696397462069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80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5.0104504790513014</v>
      </c>
      <c r="DG63" s="21">
        <f>EXP(-LN(2)/25)*DG62+(1-EXP(-LN(2)/25))/(LN(2)/25)*Calculateur!DB63*Calculateur!DD63*VLOOKUP('Données projet'!$B$13,Paramètres!$A$1:$I$89,3,0)*0.475*44/12</f>
        <v>4.853894048067442</v>
      </c>
      <c r="DH63" s="21">
        <f>EXP(-LN(2)/2)*DH62+(1-EXP(-LN(2)/2))/(LN(2)/2)*DB63*DE63*VLOOKUP('Données projet'!$B$13,Paramètres!$A$1:$I$89,3,0)*0.475*44/12</f>
        <v>3.3700954112543871E-4</v>
      </c>
      <c r="DI63" s="22">
        <f t="shared" si="15"/>
        <v>9.8646815366598677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3</v>
      </c>
      <c r="DO63" s="12">
        <f>IF('Données projet'!$A$166&gt;35,DO62+DN63-DW62,IF(A63&lt;'Données projet'!$A$166,$DL$205^A63,IF(A63='Données projet'!$A$166,'Données projet'!$B$166,DO62+DN63-DW62)))</f>
        <v>403.00000000000011</v>
      </c>
      <c r="DP63" s="17">
        <f>DO63*VLOOKUP('Données projet'!$B$14,Paramètres!$A$1:$I$89,3,0)*VLOOKUP('Données projet'!$B$14,Paramètres!$A$1:$I$89,5,0)</f>
        <v>240.99400000000009</v>
      </c>
      <c r="DQ63" s="13">
        <f t="shared" si="43"/>
        <v>58.653342952823451</v>
      </c>
      <c r="DR63" s="20">
        <f t="shared" si="16"/>
        <v>521.88578897616765</v>
      </c>
      <c r="DS63" s="59">
        <f t="shared" si="17"/>
        <v>815.21912230950102</v>
      </c>
      <c r="DT63" s="59">
        <f ca="1">AVERAGE(OFFSET($DS$3,0,0,'Données projet'!$E$14+1,1))-AVERAGE(OFFSET($H$3,0,0,'Données projet'!$E$14+1,1))</f>
        <v>252.81045065813976</v>
      </c>
      <c r="DU63" s="59">
        <f t="shared" si="44"/>
        <v>254.36590349790589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9.9668794438342498</v>
      </c>
      <c r="EB63" s="21">
        <f>EXP(-LN(2)/25)*EB62+(1-EXP(-LN(2)/25))/(LN(2)/25)*Calculateur!DW63*Calculateur!DY63*VLOOKUP('Données projet'!$B$14,Paramètres!$A$1:$I$89,3,0)*0.475*44/12</f>
        <v>7.0192566523442732</v>
      </c>
      <c r="EC63" s="21">
        <f>EXP(-LN(2)/2)*EC62+(1-EXP(-LN(2)/2))/(LN(2)/2)*DW63*DZ63*VLOOKUP('Données projet'!$B$14,Paramètres!$A$1:$I$89,3,0)*0.475*44/12</f>
        <v>1.7521312512628213E-4</v>
      </c>
      <c r="ED63" s="22">
        <f t="shared" si="18"/>
        <v>16.986311309303648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343</v>
      </c>
      <c r="EH63" s="12">
        <f>VLOOKUP(A63,'Données projet'!$A$191:$I$211,9,0)</f>
        <v>7.4</v>
      </c>
      <c r="EI63" s="12">
        <f t="array" ref="EI63">INDEX(EH:EH,MIN(IF(ISNUMBER(EH63:EH259),ROW(EH63:EH259),"")))</f>
        <v>7.4</v>
      </c>
      <c r="EJ63" s="12">
        <f>IF('Données projet'!$A$192&gt;35,EJ62+EI63-ER62,IF(A63&lt;'Données projet'!$A$192,$EG$205^A63,IF(A63='Données projet'!$A$192,'Données projet'!$B$192,EJ62+EI63-ER62)))</f>
        <v>342.99999999999972</v>
      </c>
      <c r="EK63" s="17">
        <f>EJ63*VLOOKUP('Données projet'!$B$15,Paramètres!$A$1:$I$89,3,0)*VLOOKUP('Données projet'!$B$15,Paramètres!$A$1:$I$89,5,0)</f>
        <v>251.48759999999979</v>
      </c>
      <c r="EL63" s="13">
        <f t="shared" si="45"/>
        <v>60.904377929400603</v>
      </c>
      <c r="EM63" s="20">
        <f t="shared" si="19"/>
        <v>544.08269489370571</v>
      </c>
      <c r="EN63" s="59">
        <f t="shared" si="20"/>
        <v>837.41602822703908</v>
      </c>
      <c r="EO63" s="59">
        <f ca="1">AVERAGE(OFFSET($EN$3,0,0,'Données projet'!$E$15+1,1))-AVERAGE(OFFSET($H$3,0,0,'Données projet'!$E$15+1,1))</f>
        <v>296.91321813251051</v>
      </c>
      <c r="EP63" s="59">
        <f t="shared" si="46"/>
        <v>291.0718079639509</v>
      </c>
      <c r="EQ63" s="15">
        <f>IF(ISNA(VLOOKUP(A63,'Données projet'!$A$191:$I$211,3,0)),0,VLOOKUP(A63,'Données projet'!$A$191:$I$211,3,0))</f>
        <v>11</v>
      </c>
      <c r="ER63" s="15">
        <f>IF(ISNA(VLOOKUP(A63,'Données projet'!$A$191:$I$211,4,0)),0,VLOOKUP(A63,'Données projet'!$A$191:$I$211,4,0))</f>
        <v>17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7.1466461943464781</v>
      </c>
      <c r="EW63" s="21">
        <f>EXP(-LN(2)/25)*EW62+(1-EXP(-LN(2)/25))/(LN(2)/25)*Calculateur!ER63*Calculateur!ET63*VLOOKUP('Données projet'!$B$15,Paramètres!$A$1:$I$89,3,0)*0.475*44/12</f>
        <v>6.7302671836365908</v>
      </c>
      <c r="EX63" s="21">
        <f>EXP(-LN(2)/2)*EX62+(1-EXP(-LN(2)/2))/(LN(2)/2)*ER63*EU63*VLOOKUP('Données projet'!$B$15,Paramètres!$A$1:$I$89,3,0)*0.475*44/12</f>
        <v>3.3269957814052937E-4</v>
      </c>
      <c r="EY63" s="22">
        <f t="shared" si="21"/>
        <v>13.87724607756121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273</v>
      </c>
      <c r="FC63" s="12">
        <f>VLOOKUP(A63,'Données projet'!$A$217:$I$237,9,0)</f>
        <v>9.4</v>
      </c>
      <c r="FD63" s="12">
        <f t="array" ref="FD63">INDEX(FC:FC,MIN(IF(ISNUMBER(FC63:FC259),ROW(FC63:FC259),"")))</f>
        <v>9.4</v>
      </c>
      <c r="FE63" s="12">
        <f>IF('Données projet'!$A$218&gt;35,FE62+FD63-FM62,IF(A63&lt;'Données projet'!$A$218,$FB$205^A63,IF(A63='Données projet'!$A$218,'Données projet'!$B$218,FE62+FD63-FM62)))</f>
        <v>272.99999999999994</v>
      </c>
      <c r="FF63" s="17">
        <f>FE63*VLOOKUP('Données projet'!$B$16,Paramètres!$A$1:$I$89,3,0)*VLOOKUP('Données projet'!$B$16,Paramètres!$A$1:$I$89,5,0)</f>
        <v>276.82199999999995</v>
      </c>
      <c r="FG63" s="13">
        <f t="shared" si="47"/>
        <v>66.29496059864374</v>
      </c>
      <c r="FH63" s="20">
        <f t="shared" si="22"/>
        <v>597.59537304263779</v>
      </c>
      <c r="FI63" s="59">
        <f t="shared" si="23"/>
        <v>890.92870637597116</v>
      </c>
      <c r="FJ63" s="59">
        <f ca="1">AVERAGE(OFFSET($FI$3,0,0,'Données projet'!$E$16+1,1))-AVERAGE(OFFSET($H$3,0,0,'Données projet'!$E$16+1,1))</f>
        <v>356.65981389369125</v>
      </c>
      <c r="FK63" s="59">
        <f t="shared" si="48"/>
        <v>231.92898690465887</v>
      </c>
      <c r="FL63" s="15">
        <f>IF(ISNA(VLOOKUP(A63,'Données projet'!$A$217:$I$237,3,0)),0,VLOOKUP(A63,'Données projet'!$A$217:$I$237,3,0))</f>
        <v>9</v>
      </c>
      <c r="FM63" s="15">
        <f>IF(ISNA(VLOOKUP(A63,'Données projet'!$A$217:$I$237,4,0)),0,VLOOKUP(A63,'Données projet'!$A$217:$I$237,4,0))</f>
        <v>28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4.5215215875879027</v>
      </c>
      <c r="FR63" s="21">
        <f>EXP(-LN(2)/25)*FR62+(1-EXP(-LN(2)/25))/(LN(2)/25)*Calculateur!FM63*Calculateur!FO63*VLOOKUP('Données projet'!$B$16,Paramètres!$A$1:$I$89,3,0)*0.475*44/12</f>
        <v>4.5682125670993958</v>
      </c>
      <c r="FS63" s="21">
        <f>EXP(-LN(2)/2)*FS62+(1-EXP(-LN(2)/2))/(LN(2)/2)*FM63*FP63*VLOOKUP('Données projet'!$B$16,Paramètres!$A$1:$I$89,3,0)*0.475*44/12</f>
        <v>2.9189754002377787E-4</v>
      </c>
      <c r="FT63" s="22">
        <f t="shared" si="24"/>
        <v>9.0900260522273229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273</v>
      </c>
      <c r="FX63" s="12">
        <f>VLOOKUP(A63,'Données projet'!$A$243:$I$263,9,0)</f>
        <v>9.4</v>
      </c>
      <c r="FY63" s="12">
        <f t="array" ref="FY63">INDEX(FX:FX,MIN(IF(ISNUMBER(FX63:FX259),ROW(FX63:FX259),"")))</f>
        <v>9.4</v>
      </c>
      <c r="FZ63" s="12">
        <f>IF('Données projet'!$A$244&gt;35,FZ62+FY63-GH62,IF(A63&lt;'Données projet'!$A$244,$FW$205^A63,IF(A63='Données projet'!$A$244,'Données projet'!$B$244,FZ62+FY63-GH62)))</f>
        <v>272.99999999999994</v>
      </c>
      <c r="GA63" s="17">
        <f>FZ63*VLOOKUP('Données projet'!$B$17,Paramètres!$A$1:$I$89,3,0)*VLOOKUP('Données projet'!$B$17,Paramètres!$A$1:$I$89,5,0)</f>
        <v>264.04559999999992</v>
      </c>
      <c r="GB63" s="13">
        <f t="shared" si="49"/>
        <v>63.58395992997368</v>
      </c>
      <c r="GC63" s="20">
        <f t="shared" si="25"/>
        <v>570.62148354470401</v>
      </c>
      <c r="GD63" s="59">
        <f t="shared" si="26"/>
        <v>863.95481687803726</v>
      </c>
      <c r="GE63" s="59">
        <f ca="1">AVERAGE(OFFSET($GD$3,0,0,'Données projet'!$E$17+1,1))-AVERAGE(OFFSET($H$3,0,0,'Données projet'!$E$17+1,1))</f>
        <v>337.76140497227715</v>
      </c>
      <c r="GF63" s="59">
        <f t="shared" si="50"/>
        <v>219.76562717496353</v>
      </c>
      <c r="GG63" s="15">
        <f>IF(ISNA(VLOOKUP(A63,'Données projet'!$A$243:$I$263,3,0)),0,VLOOKUP(A63,'Données projet'!$A$243:$I$263,3,0))</f>
        <v>9</v>
      </c>
      <c r="GH63" s="15">
        <f>IF(ISNA(VLOOKUP(A63,'Données projet'!$A$243:$I$263,4,0)),0,VLOOKUP(A63,'Données projet'!$A$243:$I$263,4,0))</f>
        <v>28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4.3128359758530745</v>
      </c>
      <c r="GM63" s="21">
        <f>EXP(-LN(2)/25)*GM62+(1-EXP(-LN(2)/25))/(LN(2)/25)*Calculateur!GH63*Calculateur!GJ63*VLOOKUP('Données projet'!$B$17,Paramètres!$A$1:$I$89,3,0)*0.475*44/12</f>
        <v>4.3573719870794232</v>
      </c>
      <c r="GN63" s="21">
        <f>EXP(-LN(2)/2)*GN62+(1-EXP(-LN(2)/2))/(LN(2)/2)*GH63*GK63*VLOOKUP('Données projet'!$B$17,Paramètres!$A$1:$I$89,3,0)*0.475*44/12</f>
        <v>2.7842534586883434E-4</v>
      </c>
      <c r="GO63" s="21">
        <f t="shared" si="27"/>
        <v>8.6704863882783663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253.79999999999995</v>
      </c>
      <c r="O64" s="13">
        <f>N64*VLOOKUP('Données projet'!$B$9,Paramètres!$A$1:$I$89,3,0)*VLOOKUP('Données projet'!$B$9,Paramètres!$A$1:$I$89,5,0)</f>
        <v>229.63823999999994</v>
      </c>
      <c r="P64" s="13">
        <f t="shared" si="33"/>
        <v>56.204453396569633</v>
      </c>
      <c r="Q64" s="20">
        <f t="shared" si="53"/>
        <v>497.84269099902531</v>
      </c>
      <c r="R64" s="59">
        <f t="shared" si="0"/>
        <v>791.17602433235857</v>
      </c>
      <c r="S64" s="59">
        <f ca="1">AVERAGE(OFFSET($R$3,0,0,'Données projet'!$E$9+1,1))-AVERAGE(OFFSET($H$3,0,0,'Données projet'!$E$9+1,1))</f>
        <v>312.53389584272878</v>
      </c>
      <c r="T64" s="59">
        <f t="shared" si="34"/>
        <v>203.5274665601915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3.9554726740376447</v>
      </c>
      <c r="AA64" s="21">
        <f>EXP(-LN(2)/25)*AA63+(1-EXP(-LN(2)/25))/(LN(2)/25)*Calculateur!V64*Calculateur!X64*VLOOKUP('Données projet'!$B$9,Paramètres!$A$1:$I$89,3,0)*0.475*44/12</f>
        <v>3.9647859099195655</v>
      </c>
      <c r="AB64" s="21">
        <f>EXP(-LN(2)/2)*AB63+(1-EXP(-LN(2)/2))/(LN(2)/2)*V64*Y64*VLOOKUP('Données projet'!$B$9,Paramètres!$A$1:$I$89,3,0)*0.475*44/12</f>
        <v>1.8417474365883276E-4</v>
      </c>
      <c r="AC64" s="22">
        <f t="shared" si="3"/>
        <v>7.9204427587008688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5.6843418860808015E-14</v>
      </c>
      <c r="AJ64" s="13">
        <f>AI64*VLOOKUP('Données projet'!$B$10,Paramètres!$A$1:$I$89,3,0)*VLOOKUP('Données projet'!$B$10,Paramètres!$A$1:$I$89,5,0)</f>
        <v>4.9658410716801891E-14</v>
      </c>
      <c r="AK64" s="13">
        <f t="shared" si="35"/>
        <v>8.0934058173791862E-13</v>
      </c>
      <c r="AL64" s="20">
        <f t="shared" si="4"/>
        <v>1.4960899118586383E-12</v>
      </c>
      <c r="AM64" s="59">
        <f t="shared" si="5"/>
        <v>293.33333333333479</v>
      </c>
      <c r="AN64" s="59">
        <f ca="1">AVERAGE(OFFSET($AM$3,0,0,'Données projet'!$E$10+1,1))-AVERAGE(OFFSET($H$3,0,0,'Données projet'!$E$10+1,1))</f>
        <v>243.05628303465238</v>
      </c>
      <c r="AO64" s="59">
        <f t="shared" si="36"/>
        <v>352.47096767658394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4.2728400255995869</v>
      </c>
      <c r="AV64" s="21">
        <f>EXP(-LN(2)/25)*AV63+(1-EXP(-LN(2)/25))/(LN(2)/25)*Calculateur!AQ64*Calculateur!AS64*VLOOKUP('Données projet'!$B$10,Paramètres!$A$1:$I$89,3,0)*0.475*44/12</f>
        <v>7.6706982991440213</v>
      </c>
      <c r="AW64" s="21">
        <f>EXP(-LN(2)/2)*AW63+(1-EXP(-LN(2)/2))/(LN(2)/2)*AQ64*AT64*VLOOKUP('Données projet'!$B$10,Paramètres!$A$1:$I$89,3,0)*0.475*44/12</f>
        <v>2.4326579826670515E-4</v>
      </c>
      <c r="AX64" s="21">
        <f t="shared" si="6"/>
        <v>11.943781590541874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</v>
      </c>
      <c r="BD64" s="12">
        <f>IF('Données projet'!$A$88&gt;35,BD63+BC64-BL63,IF(A64&lt;'Données projet'!$A$88,$BA$205^A64,IF(A64='Données projet'!$A$88,'Données projet'!$B$88,BD63+BC64-BL63)))</f>
        <v>331.99999999999972</v>
      </c>
      <c r="BE64" s="13">
        <f>BD64*VLOOKUP('Données projet'!$B$11,Paramètres!$A$1:$I$89,3,0)*VLOOKUP('Données projet'!$B$11,Paramètres!$A$1:$I$89,5,0)</f>
        <v>264.13919999999979</v>
      </c>
      <c r="BF64" s="13">
        <f t="shared" si="37"/>
        <v>63.60387543087441</v>
      </c>
      <c r="BG64" s="20">
        <f t="shared" si="7"/>
        <v>570.81918970877257</v>
      </c>
      <c r="BH64" s="59">
        <f t="shared" si="8"/>
        <v>864.15252304210594</v>
      </c>
      <c r="BI64" s="59">
        <f ca="1">AVERAGE(OFFSET($BH$3,0,0,'Données projet'!$E$11+1,1))-AVERAGE(OFFSET($H$3,0,0,'Données projet'!$E$11+1,1))</f>
        <v>325.72928944930294</v>
      </c>
      <c r="BJ64" s="59">
        <f t="shared" si="38"/>
        <v>318.38876834819752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9.3708968493379885</v>
      </c>
      <c r="BQ64" s="21">
        <f>EXP(-LN(2)/25)*BQ63+(1-EXP(-LN(2)/25))/(LN(2)/25)*Calculateur!BL64*Calculateur!BN64*VLOOKUP('Données projet'!$B$11,Paramètres!$A$1:$I$89,3,0)*0.475*44/12</f>
        <v>8.75529609186618</v>
      </c>
      <c r="BR64" s="21">
        <f>EXP(-LN(2)/2)*BR63+(1-EXP(-LN(2)/2))/(LN(2)/2)*BL64*BO64*VLOOKUP('Données projet'!$B$11,Paramètres!$A$1:$I$89,3,0)*0.475*44/12</f>
        <v>2.5527575569903504E-4</v>
      </c>
      <c r="BS64" s="22">
        <f t="shared" si="9"/>
        <v>18.126448216959865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10</v>
      </c>
      <c r="BY64" s="12">
        <f>IF('Données projet'!$A$114&gt;35,BY63+BX64-CG63,IF(A64&lt;'Données projet'!$A$114,$BV$205^A64,IF(A64='Données projet'!$A$114,'Données projet'!$B$114,BY63+BX64-CG63)))</f>
        <v>728.99999999999966</v>
      </c>
      <c r="BZ64" s="13">
        <f>BY64*VLOOKUP('Données projet'!$B$12,Paramètres!$A$1:$I$89,3,0)*VLOOKUP('Données projet'!$B$12,Paramètres!$A$1:$I$89,5,0)</f>
        <v>407.51099999999985</v>
      </c>
      <c r="CA64" s="13">
        <f t="shared" si="39"/>
        <v>93.297752590617137</v>
      </c>
      <c r="CB64" s="20">
        <f t="shared" si="10"/>
        <v>872.24191076199133</v>
      </c>
      <c r="CC64" s="59">
        <f t="shared" si="11"/>
        <v>1165.5752440953247</v>
      </c>
      <c r="CD64" s="59">
        <f ca="1">AVERAGE(OFFSET($CC$3,0,0,'Données projet'!$E$12+1,1))-AVERAGE(OFFSET($H$3,0,0,'Données projet'!$E$12+1,1))</f>
        <v>475.54809021014017</v>
      </c>
      <c r="CE64" s="59">
        <f t="shared" si="40"/>
        <v>593.51433014569966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3.9732765247739654</v>
      </c>
      <c r="CL64" s="21">
        <f>EXP(-LN(2)/25)*CL63+(1-EXP(-LN(2)/25))/(LN(2)/25)*Calculateur!CG64*Calculateur!CI64*VLOOKUP('Données projet'!$B$12,Paramètres!$A$1:$I$89,3,0)*0.475*44/12</f>
        <v>18.040850284782838</v>
      </c>
      <c r="CM64" s="21">
        <f>EXP(-LN(2)/2)*CM63+(1-EXP(-LN(2)/2))/(LN(2)/2)*CG64*CJ64*VLOOKUP('Données projet'!$B$12,Paramètres!$A$1:$I$89,3,0)*0.475*44/12</f>
        <v>3.1112779865439524E-4</v>
      </c>
      <c r="CN64" s="22">
        <f t="shared" si="12"/>
        <v>22.014437937355456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15.5</v>
      </c>
      <c r="CT64" s="12">
        <f>IF('Données projet'!$A$140&gt;35,CT63+CS64-DB63,IF(A64&lt;'Données projet'!$A$140,$CQ$205^A64,IF(A64='Données projet'!$A$140,'Données projet'!$B$140,CT63+CS64-DB63)))</f>
        <v>283.99999999999989</v>
      </c>
      <c r="CU64" s="17">
        <f>CT64*VLOOKUP('Données projet'!$B$13,Paramètres!$A$1:$I$89,3,0)*VLOOKUP('Données projet'!$B$13,Paramètres!$A$1:$I$89,5,0)</f>
        <v>132.91199999999995</v>
      </c>
      <c r="CV64" s="13">
        <f t="shared" si="41"/>
        <v>34.668367043546574</v>
      </c>
      <c r="CW64" s="20">
        <f t="shared" si="13"/>
        <v>291.86913926751021</v>
      </c>
      <c r="CX64" s="59">
        <f t="shared" si="14"/>
        <v>585.20247260084352</v>
      </c>
      <c r="CY64" s="59">
        <f ca="1">AVERAGE(OFFSET($CX$3,0,0,'Données projet'!$E$13+1,1))-AVERAGE(OFFSET($H$3,0,0,'Données projet'!$E$13+1,1))</f>
        <v>226.0452828290525</v>
      </c>
      <c r="CZ64" s="59">
        <f t="shared" si="42"/>
        <v>179.89696397462069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4.9121986012301351</v>
      </c>
      <c r="DG64" s="21">
        <f>EXP(-LN(2)/25)*DG63+(1-EXP(-LN(2)/25))/(LN(2)/25)*Calculateur!DB64*Calculateur!DD64*VLOOKUP('Données projet'!$B$13,Paramètres!$A$1:$I$89,3,0)*0.475*44/12</f>
        <v>4.7211640600678431</v>
      </c>
      <c r="DH64" s="21">
        <f>EXP(-LN(2)/2)*DH63+(1-EXP(-LN(2)/2))/(LN(2)/2)*DB64*DE64*VLOOKUP('Données projet'!$B$13,Paramètres!$A$1:$I$89,3,0)*0.475*44/12</f>
        <v>2.3830173185436439E-4</v>
      </c>
      <c r="DI64" s="22">
        <f t="shared" si="15"/>
        <v>9.6336009630298332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3</v>
      </c>
      <c r="DO64" s="12">
        <f>IF('Données projet'!$A$166&gt;35,DO63+DN64-DW63,IF(A64&lt;'Données projet'!$A$166,$DL$205^A64,IF(A64='Données projet'!$A$166,'Données projet'!$B$166,DO63+DN64-DW63)))</f>
        <v>406.00000000000011</v>
      </c>
      <c r="DP64" s="17">
        <f>DO64*VLOOKUP('Données projet'!$B$14,Paramètres!$A$1:$I$89,3,0)*VLOOKUP('Données projet'!$B$14,Paramètres!$A$1:$I$89,5,0)</f>
        <v>242.78800000000007</v>
      </c>
      <c r="DQ64" s="13">
        <f t="shared" si="43"/>
        <v>59.038978452354563</v>
      </c>
      <c r="DR64" s="20">
        <f t="shared" si="16"/>
        <v>525.68198747118436</v>
      </c>
      <c r="DS64" s="59">
        <f t="shared" si="17"/>
        <v>819.01532080451761</v>
      </c>
      <c r="DT64" s="59">
        <f ca="1">AVERAGE(OFFSET($DS$3,0,0,'Données projet'!$E$14+1,1))-AVERAGE(OFFSET($H$3,0,0,'Données projet'!$E$14+1,1))</f>
        <v>252.81045065813976</v>
      </c>
      <c r="DU64" s="59">
        <f t="shared" si="44"/>
        <v>254.36590349790589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9.7714350171368505</v>
      </c>
      <c r="EB64" s="21">
        <f>EXP(-LN(2)/25)*EB63+(1-EXP(-LN(2)/25))/(LN(2)/25)*Calculateur!DW64*Calculateur!DY64*VLOOKUP('Données projet'!$B$14,Paramètres!$A$1:$I$89,3,0)*0.475*44/12</f>
        <v>6.8273147100592544</v>
      </c>
      <c r="EC64" s="21">
        <f>EXP(-LN(2)/2)*EC63+(1-EXP(-LN(2)/2))/(LN(2)/2)*DW64*DZ64*VLOOKUP('Données projet'!$B$14,Paramètres!$A$1:$I$89,3,0)*0.475*44/12</f>
        <v>1.2389438892968115E-4</v>
      </c>
      <c r="ED64" s="22">
        <f t="shared" si="18"/>
        <v>16.598873621585035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6</v>
      </c>
      <c r="EJ64" s="12">
        <f>IF('Données projet'!$A$192&gt;35,EJ63+EI64-ER63,IF(A64&lt;'Données projet'!$A$192,$EG$205^A64,IF(A64='Données projet'!$A$192,'Données projet'!$B$192,EJ63+EI64-ER63)))</f>
        <v>331.99999999999972</v>
      </c>
      <c r="EK64" s="17">
        <f>EJ64*VLOOKUP('Données projet'!$B$15,Paramètres!$A$1:$I$89,3,0)*VLOOKUP('Données projet'!$B$15,Paramètres!$A$1:$I$89,5,0)</f>
        <v>243.42239999999978</v>
      </c>
      <c r="EL64" s="13">
        <f t="shared" si="45"/>
        <v>59.175268615646175</v>
      </c>
      <c r="EM64" s="20">
        <f t="shared" si="19"/>
        <v>527.02427283891677</v>
      </c>
      <c r="EN64" s="59">
        <f t="shared" si="20"/>
        <v>820.35760617225014</v>
      </c>
      <c r="EO64" s="59">
        <f ca="1">AVERAGE(OFFSET($EN$3,0,0,'Données projet'!$E$15+1,1))-AVERAGE(OFFSET($H$3,0,0,'Données projet'!$E$15+1,1))</f>
        <v>296.91321813251051</v>
      </c>
      <c r="EP64" s="59">
        <f t="shared" si="46"/>
        <v>291.0718079639509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7.0065048214991039</v>
      </c>
      <c r="EW64" s="21">
        <f>EXP(-LN(2)/25)*EW63+(1-EXP(-LN(2)/25))/(LN(2)/25)*Calculateur!ER64*Calculateur!ET64*VLOOKUP('Données projet'!$B$15,Paramètres!$A$1:$I$89,3,0)*0.475*44/12</f>
        <v>6.5462276735706793</v>
      </c>
      <c r="EX64" s="21">
        <f>EXP(-LN(2)/2)*EX63+(1-EXP(-LN(2)/2))/(LN(2)/2)*ER64*EU64*VLOOKUP('Données projet'!$B$15,Paramètres!$A$1:$I$89,3,0)*0.475*44/12</f>
        <v>2.3525412780107198E-4</v>
      </c>
      <c r="EY64" s="22">
        <f t="shared" si="21"/>
        <v>13.552967749197585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8.8000000000000007</v>
      </c>
      <c r="FE64" s="12">
        <f>IF('Données projet'!$A$218&gt;35,FE63+FD64-FM63,IF(A64&lt;'Données projet'!$A$218,$FB$205^A64,IF(A64='Données projet'!$A$218,'Données projet'!$B$218,FE63+FD64-FM63)))</f>
        <v>253.79999999999995</v>
      </c>
      <c r="FF64" s="17">
        <f>FE64*VLOOKUP('Données projet'!$B$16,Paramètres!$A$1:$I$89,3,0)*VLOOKUP('Données projet'!$B$16,Paramètres!$A$1:$I$89,5,0)</f>
        <v>257.35319999999996</v>
      </c>
      <c r="FG64" s="13">
        <f t="shared" si="47"/>
        <v>62.157851613080908</v>
      </c>
      <c r="FH64" s="20">
        <f t="shared" si="22"/>
        <v>556.48174822611588</v>
      </c>
      <c r="FI64" s="59">
        <f t="shared" si="23"/>
        <v>849.81508155944925</v>
      </c>
      <c r="FJ64" s="59">
        <f ca="1">AVERAGE(OFFSET($FI$3,0,0,'Données projet'!$E$16+1,1))-AVERAGE(OFFSET($H$3,0,0,'Données projet'!$E$16+1,1))</f>
        <v>356.65981389369125</v>
      </c>
      <c r="FK64" s="59">
        <f t="shared" si="48"/>
        <v>231.92898690465887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4.4328573071111563</v>
      </c>
      <c r="FR64" s="21">
        <f>EXP(-LN(2)/25)*FR63+(1-EXP(-LN(2)/25))/(LN(2)/25)*Calculateur!FM64*Calculateur!FO64*VLOOKUP('Données projet'!$B$16,Paramètres!$A$1:$I$89,3,0)*0.475*44/12</f>
        <v>4.4432945542202047</v>
      </c>
      <c r="FS64" s="21">
        <f>EXP(-LN(2)/2)*FS63+(1-EXP(-LN(2)/2))/(LN(2)/2)*FM64*FP64*VLOOKUP('Données projet'!$B$16,Paramètres!$A$1:$I$89,3,0)*0.475*44/12</f>
        <v>2.06402729962485E-4</v>
      </c>
      <c r="FT64" s="22">
        <f t="shared" si="24"/>
        <v>8.8763582640613237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8.8000000000000007</v>
      </c>
      <c r="FZ64" s="12">
        <f>IF('Données projet'!$A$244&gt;35,FZ63+FY64-GH63,IF(A64&lt;'Données projet'!$A$244,$FW$205^A64,IF(A64='Données projet'!$A$244,'Données projet'!$B$244,FZ63+FY64-GH63)))</f>
        <v>253.79999999999995</v>
      </c>
      <c r="GA64" s="17">
        <f>FZ64*VLOOKUP('Données projet'!$B$17,Paramètres!$A$1:$I$89,3,0)*VLOOKUP('Données projet'!$B$17,Paramètres!$A$1:$I$89,5,0)</f>
        <v>245.47535999999997</v>
      </c>
      <c r="GB64" s="13">
        <f t="shared" si="49"/>
        <v>59.616029794883758</v>
      </c>
      <c r="GC64" s="20">
        <f t="shared" si="25"/>
        <v>531.36750389275585</v>
      </c>
      <c r="GD64" s="59">
        <f t="shared" si="26"/>
        <v>824.70083722608911</v>
      </c>
      <c r="GE64" s="59">
        <f ca="1">AVERAGE(OFFSET($GD$3,0,0,'Données projet'!$E$17+1,1))-AVERAGE(OFFSET($H$3,0,0,'Données projet'!$E$17+1,1))</f>
        <v>337.76140497227715</v>
      </c>
      <c r="GF64" s="59">
        <f t="shared" si="50"/>
        <v>219.76562717496353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4.2282638929367939</v>
      </c>
      <c r="GM64" s="21">
        <f>EXP(-LN(2)/25)*GM63+(1-EXP(-LN(2)/25))/(LN(2)/25)*Calculateur!GH64*Calculateur!GJ64*VLOOKUP('Données projet'!$B$17,Paramètres!$A$1:$I$89,3,0)*0.475*44/12</f>
        <v>4.2382194209485027</v>
      </c>
      <c r="GN64" s="21">
        <f>EXP(-LN(2)/2)*GN63+(1-EXP(-LN(2)/2))/(LN(2)/2)*GH64*GK64*VLOOKUP('Données projet'!$B$17,Paramètres!$A$1:$I$89,3,0)*0.475*44/12</f>
        <v>1.9687645011806266E-4</v>
      </c>
      <c r="GO64" s="21">
        <f t="shared" si="27"/>
        <v>8.4666801903354152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262.59999999999997</v>
      </c>
      <c r="O65" s="13">
        <f>N65*VLOOKUP('Données projet'!$B$9,Paramètres!$A$1:$I$89,3,0)*VLOOKUP('Données projet'!$B$9,Paramètres!$A$1:$I$89,5,0)</f>
        <v>237.60047999999995</v>
      </c>
      <c r="P65" s="13">
        <f t="shared" si="33"/>
        <v>57.922960533442058</v>
      </c>
      <c r="Q65" s="20">
        <f t="shared" si="53"/>
        <v>514.70332559574479</v>
      </c>
      <c r="R65" s="59">
        <f t="shared" si="0"/>
        <v>808.03665892907816</v>
      </c>
      <c r="S65" s="59">
        <f ca="1">AVERAGE(OFFSET($R$3,0,0,'Données projet'!$E$9+1,1))-AVERAGE(OFFSET($H$3,0,0,'Données projet'!$E$9+1,1))</f>
        <v>312.53389584272878</v>
      </c>
      <c r="T65" s="59">
        <f t="shared" si="34"/>
        <v>203.5274665601915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3.8779082674998731</v>
      </c>
      <c r="AA65" s="21">
        <f>EXP(-LN(2)/25)*AA64+(1-EXP(-LN(2)/25))/(LN(2)/25)*Calculateur!V65*Calculateur!X65*VLOOKUP('Données projet'!$B$9,Paramètres!$A$1:$I$89,3,0)*0.475*44/12</f>
        <v>3.8563686307137854</v>
      </c>
      <c r="AB65" s="21">
        <f>EXP(-LN(2)/2)*AB64+(1-EXP(-LN(2)/2))/(LN(2)/2)*V65*Y65*VLOOKUP('Données projet'!$B$9,Paramètres!$A$1:$I$89,3,0)*0.475*44/12</f>
        <v>1.3023121016445473E-4</v>
      </c>
      <c r="AC65" s="22">
        <f t="shared" si="3"/>
        <v>7.7344071294238228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5.6843418860808015E-14</v>
      </c>
      <c r="AJ65" s="13">
        <f>AI65*VLOOKUP('Données projet'!$B$10,Paramètres!$A$1:$I$89,3,0)*VLOOKUP('Données projet'!$B$10,Paramètres!$A$1:$I$89,5,0)</f>
        <v>4.9658410716801891E-14</v>
      </c>
      <c r="AK65" s="13">
        <f t="shared" si="35"/>
        <v>8.0934058173791862E-13</v>
      </c>
      <c r="AL65" s="20">
        <f t="shared" si="4"/>
        <v>1.4960899118586383E-12</v>
      </c>
      <c r="AM65" s="59">
        <f t="shared" si="5"/>
        <v>293.33333333333479</v>
      </c>
      <c r="AN65" s="59">
        <f ca="1">AVERAGE(OFFSET($AM$3,0,0,'Données projet'!$E$10+1,1))-AVERAGE(OFFSET($H$3,0,0,'Données projet'!$E$10+1,1))</f>
        <v>243.05628303465238</v>
      </c>
      <c r="AO65" s="59">
        <f t="shared" si="36"/>
        <v>352.47096767658394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4.1890522388726561</v>
      </c>
      <c r="AV65" s="21">
        <f>EXP(-LN(2)/25)*AV64+(1-EXP(-LN(2)/25))/(LN(2)/25)*Calculateur!AQ65*Calculateur!AS65*VLOOKUP('Données projet'!$B$10,Paramètres!$A$1:$I$89,3,0)*0.475*44/12</f>
        <v>7.4609426507694359</v>
      </c>
      <c r="AW65" s="21">
        <f>EXP(-LN(2)/2)*AW64+(1-EXP(-LN(2)/2))/(LN(2)/2)*AQ65*AT65*VLOOKUP('Données projet'!$B$10,Paramètres!$A$1:$I$89,3,0)*0.475*44/12</f>
        <v>1.720148955851459E-4</v>
      </c>
      <c r="AX65" s="21">
        <f t="shared" si="6"/>
        <v>11.650166904537675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</v>
      </c>
      <c r="BD65" s="12">
        <f>IF('Données projet'!$A$88&gt;35,BD64+BC65-BL64,IF(A65&lt;'Données projet'!$A$88,$BA$205^A65,IF(A65='Données projet'!$A$88,'Données projet'!$B$88,BD64+BC65-BL64)))</f>
        <v>337.99999999999972</v>
      </c>
      <c r="BE65" s="13">
        <f>BD65*VLOOKUP('Données projet'!$B$11,Paramètres!$A$1:$I$89,3,0)*VLOOKUP('Données projet'!$B$11,Paramètres!$A$1:$I$89,5,0)</f>
        <v>268.91279999999978</v>
      </c>
      <c r="BF65" s="13">
        <f t="shared" si="37"/>
        <v>64.618483855217065</v>
      </c>
      <c r="BG65" s="20">
        <f t="shared" si="7"/>
        <v>580.90031938116931</v>
      </c>
      <c r="BH65" s="59">
        <f t="shared" si="8"/>
        <v>874.23365271450257</v>
      </c>
      <c r="BI65" s="59">
        <f ca="1">AVERAGE(OFFSET($BH$3,0,0,'Données projet'!$E$11+1,1))-AVERAGE(OFFSET($H$3,0,0,'Données projet'!$E$11+1,1))</f>
        <v>325.72928944930294</v>
      </c>
      <c r="BJ65" s="59">
        <f t="shared" si="38"/>
        <v>318.38876834819752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9.187139277805171</v>
      </c>
      <c r="BQ65" s="21">
        <f>EXP(-LN(2)/25)*BQ64+(1-EXP(-LN(2)/25))/(LN(2)/25)*Calculateur!BL65*Calculateur!BN65*VLOOKUP('Données projet'!$B$11,Paramètres!$A$1:$I$89,3,0)*0.475*44/12</f>
        <v>8.5158820598130891</v>
      </c>
      <c r="BR65" s="21">
        <f>EXP(-LN(2)/2)*BR64+(1-EXP(-LN(2)/2))/(LN(2)/2)*BL65*BO65*VLOOKUP('Données projet'!$B$11,Paramètres!$A$1:$I$89,3,0)*0.475*44/12</f>
        <v>1.8050721792730814E-4</v>
      </c>
      <c r="BS65" s="22">
        <f t="shared" si="9"/>
        <v>17.703201844836187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10</v>
      </c>
      <c r="BY65" s="12">
        <f>IF('Données projet'!$A$114&gt;35,BY64+BX65-CG64,IF(A65&lt;'Données projet'!$A$114,$BV$205^A65,IF(A65='Données projet'!$A$114,'Données projet'!$B$114,BY64+BX65-CG64)))</f>
        <v>738.99999999999966</v>
      </c>
      <c r="BZ65" s="13">
        <f>BY65*VLOOKUP('Données projet'!$B$12,Paramètres!$A$1:$I$89,3,0)*VLOOKUP('Données projet'!$B$12,Paramètres!$A$1:$I$89,5,0)</f>
        <v>413.10099999999983</v>
      </c>
      <c r="CA65" s="13">
        <f t="shared" si="39"/>
        <v>94.427689670462357</v>
      </c>
      <c r="CB65" s="20">
        <f t="shared" si="10"/>
        <v>883.94580117605494</v>
      </c>
      <c r="CC65" s="59">
        <f t="shared" si="11"/>
        <v>1177.2791345093883</v>
      </c>
      <c r="CD65" s="59">
        <f ca="1">AVERAGE(OFFSET($CC$3,0,0,'Données projet'!$E$12+1,1))-AVERAGE(OFFSET($H$3,0,0,'Données projet'!$E$12+1,1))</f>
        <v>475.54809021014017</v>
      </c>
      <c r="CE65" s="59">
        <f t="shared" si="40"/>
        <v>593.51433014569966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3.8953629955825315</v>
      </c>
      <c r="CL65" s="21">
        <f>EXP(-LN(2)/25)*CL64+(1-EXP(-LN(2)/25))/(LN(2)/25)*Calculateur!CG65*Calculateur!CI65*VLOOKUP('Données projet'!$B$12,Paramètres!$A$1:$I$89,3,0)*0.475*44/12</f>
        <v>17.547522285018367</v>
      </c>
      <c r="CM65" s="21">
        <f>EXP(-LN(2)/2)*CM64+(1-EXP(-LN(2)/2))/(LN(2)/2)*CG65*CJ65*VLOOKUP('Données projet'!$B$12,Paramètres!$A$1:$I$89,3,0)*0.475*44/12</f>
        <v>2.2000057624416567E-4</v>
      </c>
      <c r="CN65" s="22">
        <f t="shared" si="12"/>
        <v>21.443105281177143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15.5</v>
      </c>
      <c r="CT65" s="12">
        <f>IF('Données projet'!$A$140&gt;35,CT64+CS65-DB64,IF(A65&lt;'Données projet'!$A$140,$CQ$205^A65,IF(A65='Données projet'!$A$140,'Données projet'!$B$140,CT64+CS65-DB64)))</f>
        <v>299.49999999999989</v>
      </c>
      <c r="CU65" s="17">
        <f>CT65*VLOOKUP('Données projet'!$B$13,Paramètres!$A$1:$I$89,3,0)*VLOOKUP('Données projet'!$B$13,Paramètres!$A$1:$I$89,5,0)</f>
        <v>140.16599999999994</v>
      </c>
      <c r="CV65" s="13">
        <f t="shared" si="41"/>
        <v>36.33503114084008</v>
      </c>
      <c r="CW65" s="20">
        <f t="shared" si="13"/>
        <v>307.40596257029637</v>
      </c>
      <c r="CX65" s="59">
        <f t="shared" si="14"/>
        <v>600.73929590362968</v>
      </c>
      <c r="CY65" s="59">
        <f ca="1">AVERAGE(OFFSET($CX$3,0,0,'Données projet'!$E$13+1,1))-AVERAGE(OFFSET($H$3,0,0,'Données projet'!$E$13+1,1))</f>
        <v>226.0452828290525</v>
      </c>
      <c r="CZ65" s="59">
        <f t="shared" si="42"/>
        <v>179.89696397462069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4.8158733828053144</v>
      </c>
      <c r="DG65" s="21">
        <f>EXP(-LN(2)/25)*DG64+(1-EXP(-LN(2)/25))/(LN(2)/25)*Calculateur!DB65*Calculateur!DD65*VLOOKUP('Données projet'!$B$13,Paramètres!$A$1:$I$89,3,0)*0.475*44/12</f>
        <v>4.59206358057006</v>
      </c>
      <c r="DH65" s="21">
        <f>EXP(-LN(2)/2)*DH64+(1-EXP(-LN(2)/2))/(LN(2)/2)*DB65*DE65*VLOOKUP('Données projet'!$B$13,Paramètres!$A$1:$I$89,3,0)*0.475*44/12</f>
        <v>1.6850477056271938E-4</v>
      </c>
      <c r="DI65" s="22">
        <f t="shared" si="15"/>
        <v>9.4081054681459371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>
        <f>VLOOKUP(A65,'Données projet'!$A$165:$I$185,2,0)</f>
        <v>409</v>
      </c>
      <c r="DM65" s="12">
        <f>VLOOKUP(A65,'Données projet'!$A$165:$I$185,9,0)</f>
        <v>3</v>
      </c>
      <c r="DN65" s="12">
        <f t="array" ref="DN65">INDEX(DM:DM,MIN(IF(ISNUMBER(DM65:DM261),ROW(DM65:DM261),"")))</f>
        <v>3</v>
      </c>
      <c r="DO65" s="12">
        <f>IF('Données projet'!$A$166&gt;35,DO64+DN65-DW64,IF(A65&lt;'Données projet'!$A$166,$DL$205^A65,IF(A65='Données projet'!$A$166,'Données projet'!$B$166,DO64+DN65-DW64)))</f>
        <v>409.00000000000011</v>
      </c>
      <c r="DP65" s="17">
        <f>DO65*VLOOKUP('Données projet'!$B$14,Paramètres!$A$1:$I$89,3,0)*VLOOKUP('Données projet'!$B$14,Paramètres!$A$1:$I$89,5,0)</f>
        <v>244.58200000000011</v>
      </c>
      <c r="DQ65" s="13">
        <f t="shared" si="43"/>
        <v>59.424282406770885</v>
      </c>
      <c r="DR65" s="20">
        <f t="shared" si="16"/>
        <v>529.47760852512613</v>
      </c>
      <c r="DS65" s="59">
        <f t="shared" si="17"/>
        <v>822.8109418584595</v>
      </c>
      <c r="DT65" s="59">
        <f ca="1">AVERAGE(OFFSET($DS$3,0,0,'Données projet'!$E$14+1,1))-AVERAGE(OFFSET($H$3,0,0,'Données projet'!$E$14+1,1))</f>
        <v>252.81045065813976</v>
      </c>
      <c r="DU65" s="59">
        <f t="shared" si="44"/>
        <v>254.36590349790589</v>
      </c>
      <c r="DV65" s="15">
        <f>IF(ISNA(VLOOKUP(A65,'Données projet'!$A$165:$I$185,3,0)),0,VLOOKUP(A65,'Données projet'!$A$165:$I$185,3,0))</f>
        <v>10</v>
      </c>
      <c r="DW65" s="15">
        <f>IF(ISNA(VLOOKUP(A65,'Données projet'!$A$165:$I$185,4,0)),0,VLOOKUP(A65,'Données projet'!$A$165:$I$185,4,0))</f>
        <v>409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9.5798231364376569</v>
      </c>
      <c r="EB65" s="21">
        <f>EXP(-LN(2)/25)*EB64+(1-EXP(-LN(2)/25))/(LN(2)/25)*Calculateur!DW65*Calculateur!DY65*VLOOKUP('Données projet'!$B$14,Paramètres!$A$1:$I$89,3,0)*0.475*44/12</f>
        <v>6.6406214302798077</v>
      </c>
      <c r="EC65" s="21">
        <f>EXP(-LN(2)/2)*EC64+(1-EXP(-LN(2)/2))/(LN(2)/2)*DW65*DZ65*VLOOKUP('Données projet'!$B$14,Paramètres!$A$1:$I$89,3,0)*0.475*44/12</f>
        <v>8.7606562563141065E-5</v>
      </c>
      <c r="ED65" s="22">
        <f t="shared" si="18"/>
        <v>16.220532173280027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6</v>
      </c>
      <c r="EJ65" s="12">
        <f>IF('Données projet'!$A$192&gt;35,EJ64+EI65-ER64,IF(A65&lt;'Données projet'!$A$192,$EG$205^A65,IF(A65='Données projet'!$A$192,'Données projet'!$B$192,EJ64+EI65-ER64)))</f>
        <v>337.99999999999972</v>
      </c>
      <c r="EK65" s="17">
        <f>EJ65*VLOOKUP('Données projet'!$B$15,Paramètres!$A$1:$I$89,3,0)*VLOOKUP('Données projet'!$B$15,Paramètres!$A$1:$I$89,5,0)</f>
        <v>247.82159999999982</v>
      </c>
      <c r="EL65" s="13">
        <f t="shared" si="45"/>
        <v>60.119231945607517</v>
      </c>
      <c r="EM65" s="20">
        <f t="shared" si="19"/>
        <v>536.330282305266</v>
      </c>
      <c r="EN65" s="59">
        <f t="shared" si="20"/>
        <v>829.66361563859937</v>
      </c>
      <c r="EO65" s="59">
        <f ca="1">AVERAGE(OFFSET($EN$3,0,0,'Données projet'!$E$15+1,1))-AVERAGE(OFFSET($H$3,0,0,'Données projet'!$E$15+1,1))</f>
        <v>296.91321813251051</v>
      </c>
      <c r="EP65" s="59">
        <f t="shared" si="46"/>
        <v>291.0718079639509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6.8691115354954704</v>
      </c>
      <c r="EW65" s="21">
        <f>EXP(-LN(2)/25)*EW64+(1-EXP(-LN(2)/25))/(LN(2)/25)*Calculateur!ER65*Calculateur!ET65*VLOOKUP('Données projet'!$B$15,Paramètres!$A$1:$I$89,3,0)*0.475*44/12</f>
        <v>6.3672207335857376</v>
      </c>
      <c r="EX65" s="21">
        <f>EXP(-LN(2)/2)*EX64+(1-EXP(-LN(2)/2))/(LN(2)/2)*ER65*EU65*VLOOKUP('Données projet'!$B$15,Paramètres!$A$1:$I$89,3,0)*0.475*44/12</f>
        <v>1.6634978907026471E-4</v>
      </c>
      <c r="EY65" s="22">
        <f t="shared" si="21"/>
        <v>13.236498618870279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8.8000000000000007</v>
      </c>
      <c r="FE65" s="12">
        <f>IF('Données projet'!$A$218&gt;35,FE64+FD65-FM64,IF(A65&lt;'Données projet'!$A$218,$FB$205^A65,IF(A65='Données projet'!$A$218,'Données projet'!$B$218,FE64+FD65-FM64)))</f>
        <v>262.59999999999997</v>
      </c>
      <c r="FF65" s="17">
        <f>FE65*VLOOKUP('Données projet'!$B$16,Paramètres!$A$1:$I$89,3,0)*VLOOKUP('Données projet'!$B$16,Paramètres!$A$1:$I$89,5,0)</f>
        <v>266.27640000000002</v>
      </c>
      <c r="FG65" s="13">
        <f t="shared" si="47"/>
        <v>64.058389829439747</v>
      </c>
      <c r="FH65" s="20">
        <f t="shared" si="22"/>
        <v>575.33309228627434</v>
      </c>
      <c r="FI65" s="59">
        <f t="shared" si="23"/>
        <v>868.66642561960771</v>
      </c>
      <c r="FJ65" s="59">
        <f ca="1">AVERAGE(OFFSET($FI$3,0,0,'Données projet'!$E$16+1,1))-AVERAGE(OFFSET($H$3,0,0,'Données projet'!$E$16+1,1))</f>
        <v>356.65981389369125</v>
      </c>
      <c r="FK65" s="59">
        <f t="shared" si="48"/>
        <v>231.92898690465887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4.3459316790946882</v>
      </c>
      <c r="FR65" s="21">
        <f>EXP(-LN(2)/25)*FR64+(1-EXP(-LN(2)/25))/(LN(2)/25)*Calculateur!FM65*Calculateur!FO65*VLOOKUP('Données projet'!$B$16,Paramètres!$A$1:$I$89,3,0)*0.475*44/12</f>
        <v>4.3217924309723479</v>
      </c>
      <c r="FS65" s="21">
        <f>EXP(-LN(2)/2)*FS64+(1-EXP(-LN(2)/2))/(LN(2)/2)*FM65*FP65*VLOOKUP('Données projet'!$B$16,Paramètres!$A$1:$I$89,3,0)*0.475*44/12</f>
        <v>1.4594877001188893E-4</v>
      </c>
      <c r="FT65" s="22">
        <f t="shared" si="24"/>
        <v>8.6678700588370479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8.8000000000000007</v>
      </c>
      <c r="FZ65" s="12">
        <f>IF('Données projet'!$A$244&gt;35,FZ64+FY65-GH64,IF(A65&lt;'Données projet'!$A$244,$FW$205^A65,IF(A65='Données projet'!$A$244,'Données projet'!$B$244,FZ64+FY65-GH64)))</f>
        <v>262.59999999999997</v>
      </c>
      <c r="GA65" s="17">
        <f>FZ65*VLOOKUP('Données projet'!$B$17,Paramètres!$A$1:$I$89,3,0)*VLOOKUP('Données projet'!$B$17,Paramètres!$A$1:$I$89,5,0)</f>
        <v>253.98671999999999</v>
      </c>
      <c r="GB65" s="13">
        <f t="shared" si="49"/>
        <v>61.438849277739124</v>
      </c>
      <c r="GC65" s="20">
        <f t="shared" si="25"/>
        <v>549.3661998253956</v>
      </c>
      <c r="GD65" s="59">
        <f t="shared" si="26"/>
        <v>842.69953315872885</v>
      </c>
      <c r="GE65" s="59">
        <f ca="1">AVERAGE(OFFSET($GD$3,0,0,'Données projet'!$E$17+1,1))-AVERAGE(OFFSET($H$3,0,0,'Données projet'!$E$17+1,1))</f>
        <v>337.76140497227715</v>
      </c>
      <c r="GF65" s="59">
        <f t="shared" si="50"/>
        <v>219.76562717496353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4.1453502169826244</v>
      </c>
      <c r="GM65" s="21">
        <f>EXP(-LN(2)/25)*GM64+(1-EXP(-LN(2)/25))/(LN(2)/25)*Calculateur!GH65*Calculateur!GJ65*VLOOKUP('Données projet'!$B$17,Paramètres!$A$1:$I$89,3,0)*0.475*44/12</f>
        <v>4.1223250880043931</v>
      </c>
      <c r="GN65" s="21">
        <f>EXP(-LN(2)/2)*GN64+(1-EXP(-LN(2)/2))/(LN(2)/2)*GH65*GK65*VLOOKUP('Données projet'!$B$17,Paramètres!$A$1:$I$89,3,0)*0.475*44/12</f>
        <v>1.3921267293441717E-4</v>
      </c>
      <c r="GO65" s="21">
        <f t="shared" si="27"/>
        <v>8.2678145176599518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271.39999999999998</v>
      </c>
      <c r="O66" s="13">
        <f>N66*VLOOKUP('Données projet'!$B$9,Paramètres!$A$1:$I$89,3,0)*VLOOKUP('Données projet'!$B$9,Paramètres!$A$1:$I$89,5,0)</f>
        <v>245.56271999999998</v>
      </c>
      <c r="P66" s="13">
        <f t="shared" si="33"/>
        <v>59.634776048276898</v>
      </c>
      <c r="Q66" s="20">
        <f t="shared" si="53"/>
        <v>531.55230561741564</v>
      </c>
      <c r="R66" s="59">
        <f t="shared" si="0"/>
        <v>824.8856389507489</v>
      </c>
      <c r="S66" s="59">
        <f ca="1">AVERAGE(OFFSET($R$3,0,0,'Données projet'!$E$9+1,1))-AVERAGE(OFFSET($H$3,0,0,'Données projet'!$E$9+1,1))</f>
        <v>312.53389584272878</v>
      </c>
      <c r="T66" s="59">
        <f t="shared" si="34"/>
        <v>203.5274665601915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3.8018648516646905</v>
      </c>
      <c r="AA66" s="21">
        <f>EXP(-LN(2)/25)*AA65+(1-EXP(-LN(2)/25))/(LN(2)/25)*Calculateur!V66*Calculateur!X66*VLOOKUP('Données projet'!$B$9,Paramètres!$A$1:$I$89,3,0)*0.475*44/12</f>
        <v>3.7509160277093043</v>
      </c>
      <c r="AB66" s="21">
        <f>EXP(-LN(2)/2)*AB65+(1-EXP(-LN(2)/2))/(LN(2)/2)*V66*Y66*VLOOKUP('Données projet'!$B$9,Paramètres!$A$1:$I$89,3,0)*0.475*44/12</f>
        <v>9.2087371829416379E-5</v>
      </c>
      <c r="AC66" s="22">
        <f t="shared" si="3"/>
        <v>7.5528729667458236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5.6843418860808015E-14</v>
      </c>
      <c r="AJ66" s="13">
        <f>AI66*VLOOKUP('Données projet'!$B$10,Paramètres!$A$1:$I$89,3,0)*VLOOKUP('Données projet'!$B$10,Paramètres!$A$1:$I$89,5,0)</f>
        <v>4.9658410716801891E-14</v>
      </c>
      <c r="AK66" s="13">
        <f t="shared" si="35"/>
        <v>8.0934058173791862E-13</v>
      </c>
      <c r="AL66" s="20">
        <f t="shared" si="4"/>
        <v>1.4960899118586383E-12</v>
      </c>
      <c r="AM66" s="59">
        <f t="shared" si="5"/>
        <v>293.33333333333479</v>
      </c>
      <c r="AN66" s="59">
        <f ca="1">AVERAGE(OFFSET($AM$3,0,0,'Données projet'!$E$10+1,1))-AVERAGE(OFFSET($H$3,0,0,'Données projet'!$E$10+1,1))</f>
        <v>243.05628303465238</v>
      </c>
      <c r="AO66" s="59">
        <f t="shared" si="36"/>
        <v>352.47096767658394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4.106907479537937</v>
      </c>
      <c r="AV66" s="21">
        <f>EXP(-LN(2)/25)*AV65+(1-EXP(-LN(2)/25))/(LN(2)/25)*Calculateur!AQ66*Calculateur!AS66*VLOOKUP('Données projet'!$B$10,Paramètres!$A$1:$I$89,3,0)*0.475*44/12</f>
        <v>7.256922781630224</v>
      </c>
      <c r="AW66" s="21">
        <f>EXP(-LN(2)/2)*AW65+(1-EXP(-LN(2)/2))/(LN(2)/2)*AQ66*AT66*VLOOKUP('Données projet'!$B$10,Paramètres!$A$1:$I$89,3,0)*0.475*44/12</f>
        <v>1.2163289913335259E-4</v>
      </c>
      <c r="AX66" s="21">
        <f t="shared" si="6"/>
        <v>11.363951894067295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</v>
      </c>
      <c r="BD66" s="12">
        <f>IF('Données projet'!$A$88&gt;35,BD65+BC66-BL65,IF(A66&lt;'Données projet'!$A$88,$BA$205^A66,IF(A66='Données projet'!$A$88,'Données projet'!$B$88,BD65+BC66-BL65)))</f>
        <v>343.99999999999972</v>
      </c>
      <c r="BE66" s="13">
        <f>BD66*VLOOKUP('Données projet'!$B$11,Paramètres!$A$1:$I$89,3,0)*VLOOKUP('Données projet'!$B$11,Paramètres!$A$1:$I$89,5,0)</f>
        <v>273.68639999999976</v>
      </c>
      <c r="BF66" s="13">
        <f t="shared" si="37"/>
        <v>65.630997870536959</v>
      </c>
      <c r="BG66" s="20">
        <f t="shared" si="7"/>
        <v>590.97780129118485</v>
      </c>
      <c r="BH66" s="59">
        <f t="shared" si="8"/>
        <v>884.31113462451822</v>
      </c>
      <c r="BI66" s="59">
        <f ca="1">AVERAGE(OFFSET($BH$3,0,0,'Données projet'!$E$11+1,1))-AVERAGE(OFFSET($H$3,0,0,'Données projet'!$E$11+1,1))</f>
        <v>325.72928944930294</v>
      </c>
      <c r="BJ66" s="59">
        <f t="shared" si="38"/>
        <v>318.38876834819752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9.006985080169061</v>
      </c>
      <c r="BQ66" s="21">
        <f>EXP(-LN(2)/25)*BQ65+(1-EXP(-LN(2)/25))/(LN(2)/25)*Calculateur!BL66*Calculateur!BN66*VLOOKUP('Données projet'!$B$11,Paramètres!$A$1:$I$89,3,0)*0.475*44/12</f>
        <v>8.2830148170567259</v>
      </c>
      <c r="BR66" s="21">
        <f>EXP(-LN(2)/2)*BR65+(1-EXP(-LN(2)/2))/(LN(2)/2)*BL66*BO66*VLOOKUP('Données projet'!$B$11,Paramètres!$A$1:$I$89,3,0)*0.475*44/12</f>
        <v>1.2763787784951752E-4</v>
      </c>
      <c r="BS66" s="22">
        <f t="shared" si="9"/>
        <v>17.290127535103636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10</v>
      </c>
      <c r="BY66" s="12">
        <f>IF('Données projet'!$A$114&gt;35,BY65+BX66-CG65,IF(A66&lt;'Données projet'!$A$114,$BV$205^A66,IF(A66='Données projet'!$A$114,'Données projet'!$B$114,BY65+BX66-CG65)))</f>
        <v>748.99999999999966</v>
      </c>
      <c r="BZ66" s="13">
        <f>BY66*VLOOKUP('Données projet'!$B$12,Paramètres!$A$1:$I$89,3,0)*VLOOKUP('Données projet'!$B$12,Paramètres!$A$1:$I$89,5,0)</f>
        <v>418.6909999999998</v>
      </c>
      <c r="CA66" s="13">
        <f t="shared" si="39"/>
        <v>95.555848328260851</v>
      </c>
      <c r="CB66" s="20">
        <f t="shared" si="10"/>
        <v>895.64659417172061</v>
      </c>
      <c r="CC66" s="59">
        <f t="shared" si="11"/>
        <v>1188.9799275050539</v>
      </c>
      <c r="CD66" s="59">
        <f ca="1">AVERAGE(OFFSET($CC$3,0,0,'Données projet'!$E$12+1,1))-AVERAGE(OFFSET($H$3,0,0,'Données projet'!$E$12+1,1))</f>
        <v>475.54809021014017</v>
      </c>
      <c r="CE66" s="59">
        <f t="shared" si="40"/>
        <v>593.51433014569966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3.8189773031759811</v>
      </c>
      <c r="CL66" s="21">
        <f>EXP(-LN(2)/25)*CL65+(1-EXP(-LN(2)/25))/(LN(2)/25)*Calculateur!CG66*Calculateur!CI66*VLOOKUP('Données projet'!$B$12,Paramètres!$A$1:$I$89,3,0)*0.475*44/12</f>
        <v>17.067684365350448</v>
      </c>
      <c r="CM66" s="21">
        <f>EXP(-LN(2)/2)*CM65+(1-EXP(-LN(2)/2))/(LN(2)/2)*CG66*CJ66*VLOOKUP('Données projet'!$B$12,Paramètres!$A$1:$I$89,3,0)*0.475*44/12</f>
        <v>1.5556389932719762E-4</v>
      </c>
      <c r="CN66" s="22">
        <f t="shared" si="12"/>
        <v>20.886817232425756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15.5</v>
      </c>
      <c r="CT66" s="12">
        <f>IF('Données projet'!$A$140&gt;35,CT65+CS66-DB65,IF(A66&lt;'Données projet'!$A$140,$CQ$205^A66,IF(A66='Données projet'!$A$140,'Données projet'!$B$140,CT65+CS66-DB65)))</f>
        <v>314.99999999999989</v>
      </c>
      <c r="CU66" s="17">
        <f>CT66*VLOOKUP('Données projet'!$B$13,Paramètres!$A$1:$I$89,3,0)*VLOOKUP('Données projet'!$B$13,Paramètres!$A$1:$I$89,5,0)</f>
        <v>147.41999999999993</v>
      </c>
      <c r="CV66" s="13">
        <f t="shared" si="41"/>
        <v>37.991680647570291</v>
      </c>
      <c r="CW66" s="20">
        <f t="shared" si="13"/>
        <v>322.92534379451814</v>
      </c>
      <c r="CX66" s="59">
        <f t="shared" si="14"/>
        <v>616.25867712785146</v>
      </c>
      <c r="CY66" s="59">
        <f ca="1">AVERAGE(OFFSET($CX$3,0,0,'Données projet'!$E$13+1,1))-AVERAGE(OFFSET($H$3,0,0,'Données projet'!$E$13+1,1))</f>
        <v>226.0452828290525</v>
      </c>
      <c r="CZ66" s="59">
        <f t="shared" si="42"/>
        <v>179.89696397462069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4.721437043161222</v>
      </c>
      <c r="DG66" s="21">
        <f>EXP(-LN(2)/25)*DG65+(1-EXP(-LN(2)/25))/(LN(2)/25)*Calculateur!DB66*Calculateur!DD66*VLOOKUP('Données projet'!$B$13,Paramètres!$A$1:$I$89,3,0)*0.475*44/12</f>
        <v>4.4664933604732431</v>
      </c>
      <c r="DH66" s="21">
        <f>EXP(-LN(2)/2)*DH65+(1-EXP(-LN(2)/2))/(LN(2)/2)*DB66*DE66*VLOOKUP('Données projet'!$B$13,Paramètres!$A$1:$I$89,3,0)*0.475*44/12</f>
        <v>1.1915086592718222E-4</v>
      </c>
      <c r="DI66" s="22">
        <f t="shared" si="15"/>
        <v>9.1880495545003917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1.1368683772161603E-13</v>
      </c>
      <c r="DP66" s="17">
        <f>DO66*VLOOKUP('Données projet'!$B$14,Paramètres!$A$1:$I$89,3,0)*VLOOKUP('Données projet'!$B$14,Paramètres!$A$1:$I$89,5,0)</f>
        <v>6.7984728957526396E-14</v>
      </c>
      <c r="DQ66" s="13">
        <f t="shared" si="43"/>
        <v>1.0682447123141398E-12</v>
      </c>
      <c r="DR66" s="20">
        <f t="shared" si="16"/>
        <v>1.978932943548152E-12</v>
      </c>
      <c r="DS66" s="59">
        <f t="shared" si="17"/>
        <v>293.3333333333353</v>
      </c>
      <c r="DT66" s="59">
        <f ca="1">AVERAGE(OFFSET($DS$3,0,0,'Données projet'!$E$14+1,1))-AVERAGE(OFFSET($H$3,0,0,'Données projet'!$E$14+1,1))</f>
        <v>252.81045065813976</v>
      </c>
      <c r="DU66" s="59">
        <f t="shared" si="44"/>
        <v>254.36590349790589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9.3919686478472677</v>
      </c>
      <c r="EB66" s="21">
        <f>EXP(-LN(2)/25)*EB65+(1-EXP(-LN(2)/25))/(LN(2)/25)*Calculateur!DW66*Calculateur!DY66*VLOOKUP('Données projet'!$B$14,Paramètres!$A$1:$I$89,3,0)*0.475*44/12</f>
        <v>6.4590332880537025</v>
      </c>
      <c r="EC66" s="21">
        <f>EXP(-LN(2)/2)*EC65+(1-EXP(-LN(2)/2))/(LN(2)/2)*DW66*DZ66*VLOOKUP('Données projet'!$B$14,Paramètres!$A$1:$I$89,3,0)*0.475*44/12</f>
        <v>6.1947194464840574E-5</v>
      </c>
      <c r="ED66" s="22">
        <f t="shared" si="18"/>
        <v>15.851063883095437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6</v>
      </c>
      <c r="EJ66" s="12">
        <f>IF('Données projet'!$A$192&gt;35,EJ65+EI66-ER65,IF(A66&lt;'Données projet'!$A$192,$EG$205^A66,IF(A66='Données projet'!$A$192,'Données projet'!$B$192,EJ65+EI66-ER65)))</f>
        <v>343.99999999999972</v>
      </c>
      <c r="EK66" s="17">
        <f>EJ66*VLOOKUP('Données projet'!$B$15,Paramètres!$A$1:$I$89,3,0)*VLOOKUP('Données projet'!$B$15,Paramètres!$A$1:$I$89,5,0)</f>
        <v>252.2207999999998</v>
      </c>
      <c r="EL66" s="13">
        <f t="shared" si="45"/>
        <v>61.061246695931573</v>
      </c>
      <c r="EM66" s="20">
        <f t="shared" si="19"/>
        <v>545.63289799541383</v>
      </c>
      <c r="EN66" s="59">
        <f t="shared" si="20"/>
        <v>838.9662313287472</v>
      </c>
      <c r="EO66" s="59">
        <f ca="1">AVERAGE(OFFSET($EN$3,0,0,'Données projet'!$E$15+1,1))-AVERAGE(OFFSET($H$3,0,0,'Données projet'!$E$15+1,1))</f>
        <v>296.91321813251051</v>
      </c>
      <c r="EP66" s="59">
        <f t="shared" si="46"/>
        <v>291.0718079639509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6.7344124480287384</v>
      </c>
      <c r="EW66" s="21">
        <f>EXP(-LN(2)/25)*EW65+(1-EXP(-LN(2)/25))/(LN(2)/25)*Calculateur!ER66*Calculateur!ET66*VLOOKUP('Données projet'!$B$15,Paramètres!$A$1:$I$89,3,0)*0.475*44/12</f>
        <v>6.1931087477882496</v>
      </c>
      <c r="EX66" s="21">
        <f>EXP(-LN(2)/2)*EX65+(1-EXP(-LN(2)/2))/(LN(2)/2)*ER66*EU66*VLOOKUP('Données projet'!$B$15,Paramètres!$A$1:$I$89,3,0)*0.475*44/12</f>
        <v>1.1762706390053602E-4</v>
      </c>
      <c r="EY66" s="22">
        <f t="shared" si="21"/>
        <v>12.927638822880889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8.8000000000000007</v>
      </c>
      <c r="FE66" s="12">
        <f>IF('Données projet'!$A$218&gt;35,FE65+FD66-FM65,IF(A66&lt;'Données projet'!$A$218,$FB$205^A66,IF(A66='Données projet'!$A$218,'Données projet'!$B$218,FE65+FD66-FM65)))</f>
        <v>271.39999999999998</v>
      </c>
      <c r="FF66" s="17">
        <f>FE66*VLOOKUP('Données projet'!$B$16,Paramètres!$A$1:$I$89,3,0)*VLOOKUP('Données projet'!$B$16,Paramètres!$A$1:$I$89,5,0)</f>
        <v>275.19960000000003</v>
      </c>
      <c r="FG66" s="13">
        <f t="shared" si="47"/>
        <v>65.951527620662617</v>
      </c>
      <c r="FH66" s="20">
        <f t="shared" si="22"/>
        <v>594.17154727265404</v>
      </c>
      <c r="FI66" s="59">
        <f t="shared" si="23"/>
        <v>887.50488060598741</v>
      </c>
      <c r="FJ66" s="59">
        <f ca="1">AVERAGE(OFFSET($FI$3,0,0,'Données projet'!$E$16+1,1))-AVERAGE(OFFSET($H$3,0,0,'Données projet'!$E$16+1,1))</f>
        <v>356.65981389369125</v>
      </c>
      <c r="FK66" s="59">
        <f t="shared" si="48"/>
        <v>231.92898690465887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4.2607106096242253</v>
      </c>
      <c r="FR66" s="21">
        <f>EXP(-LN(2)/25)*FR65+(1-EXP(-LN(2)/25))/(LN(2)/25)*Calculateur!FM66*Calculateur!FO66*VLOOKUP('Données projet'!$B$16,Paramètres!$A$1:$I$89,3,0)*0.475*44/12</f>
        <v>4.2036127896742226</v>
      </c>
      <c r="FS66" s="21">
        <f>EXP(-LN(2)/2)*FS65+(1-EXP(-LN(2)/2))/(LN(2)/2)*FM66*FP66*VLOOKUP('Données projet'!$B$16,Paramètres!$A$1:$I$89,3,0)*0.475*44/12</f>
        <v>1.032013649812425E-4</v>
      </c>
      <c r="FT66" s="22">
        <f t="shared" si="24"/>
        <v>8.4644266006634279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8.8000000000000007</v>
      </c>
      <c r="FZ66" s="12">
        <f>IF('Données projet'!$A$244&gt;35,FZ65+FY66-GH65,IF(A66&lt;'Données projet'!$A$244,$FW$205^A66,IF(A66='Données projet'!$A$244,'Données projet'!$B$244,FZ65+FY66-GH65)))</f>
        <v>271.39999999999998</v>
      </c>
      <c r="GA66" s="17">
        <f>FZ66*VLOOKUP('Données projet'!$B$17,Paramètres!$A$1:$I$89,3,0)*VLOOKUP('Données projet'!$B$17,Paramètres!$A$1:$I$89,5,0)</f>
        <v>262.49807999999996</v>
      </c>
      <c r="GB66" s="13">
        <f t="shared" si="49"/>
        <v>63.254570961138086</v>
      </c>
      <c r="GC66" s="20">
        <f t="shared" si="25"/>
        <v>567.35253375731543</v>
      </c>
      <c r="GD66" s="59">
        <f t="shared" si="26"/>
        <v>860.6858670906488</v>
      </c>
      <c r="GE66" s="59">
        <f ca="1">AVERAGE(OFFSET($GD$3,0,0,'Données projet'!$E$17+1,1))-AVERAGE(OFFSET($H$3,0,0,'Données projet'!$E$17+1,1))</f>
        <v>337.76140497227715</v>
      </c>
      <c r="GF66" s="59">
        <f t="shared" si="50"/>
        <v>219.76562717496353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4.0640624276415673</v>
      </c>
      <c r="GM66" s="21">
        <f>EXP(-LN(2)/25)*GM65+(1-EXP(-LN(2)/25))/(LN(2)/25)*Calculateur!GH66*Calculateur!GJ66*VLOOKUP('Données projet'!$B$17,Paramètres!$A$1:$I$89,3,0)*0.475*44/12</f>
        <v>4.0095998916892581</v>
      </c>
      <c r="GN66" s="21">
        <f>EXP(-LN(2)/2)*GN65+(1-EXP(-LN(2)/2))/(LN(2)/2)*GH66*GK66*VLOOKUP('Données projet'!$B$17,Paramètres!$A$1:$I$89,3,0)*0.475*44/12</f>
        <v>9.8438225059031329E-5</v>
      </c>
      <c r="GO66" s="21">
        <f t="shared" si="27"/>
        <v>8.0737607575558847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280.2</v>
      </c>
      <c r="O67" s="13">
        <f>N67*VLOOKUP('Données projet'!$B$9,Paramètres!$A$1:$I$89,3,0)*VLOOKUP('Données projet'!$B$9,Paramètres!$A$1:$I$89,5,0)</f>
        <v>253.52495999999999</v>
      </c>
      <c r="P67" s="13">
        <f t="shared" si="33"/>
        <v>61.340141798422209</v>
      </c>
      <c r="Q67" s="20">
        <f t="shared" ref="Q67:Q98" si="54">(O67+P67)*0.475*44/12</f>
        <v>548.39005229891859</v>
      </c>
      <c r="R67" s="59">
        <f t="shared" ref="R67:R130" si="55">Q67+(I67+J67)*44/12</f>
        <v>841.72338563225185</v>
      </c>
      <c r="S67" s="59">
        <f ca="1">AVERAGE(OFFSET($R$3,0,0,'Données projet'!$E$9+1,1))-AVERAGE(OFFSET($H$3,0,0,'Données projet'!$E$9+1,1))</f>
        <v>312.53389584272878</v>
      </c>
      <c r="T67" s="59">
        <f t="shared" si="34"/>
        <v>203.5274665601915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3.727312600832132</v>
      </c>
      <c r="AA67" s="21">
        <f>EXP(-LN(2)/25)*AA66+(1-EXP(-LN(2)/25))/(LN(2)/25)*Calculateur!V67*Calculateur!X67*VLOOKUP('Données projet'!$B$9,Paramètres!$A$1:$I$89,3,0)*0.475*44/12</f>
        <v>3.6483470316794921</v>
      </c>
      <c r="AB67" s="21">
        <f>EXP(-LN(2)/2)*AB66+(1-EXP(-LN(2)/2))/(LN(2)/2)*V67*Y67*VLOOKUP('Données projet'!$B$9,Paramètres!$A$1:$I$89,3,0)*0.475*44/12</f>
        <v>6.5115605082227367E-5</v>
      </c>
      <c r="AC67" s="22">
        <f t="shared" si="3"/>
        <v>7.3757247481167063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5.6843418860808015E-14</v>
      </c>
      <c r="AJ67" s="13">
        <f>AI67*VLOOKUP('Données projet'!$B$10,Paramètres!$A$1:$I$89,3,0)*VLOOKUP('Données projet'!$B$10,Paramètres!$A$1:$I$89,5,0)</f>
        <v>4.9658410716801891E-14</v>
      </c>
      <c r="AK67" s="13">
        <f t="shared" si="35"/>
        <v>8.0934058173791862E-13</v>
      </c>
      <c r="AL67" s="20">
        <f t="shared" si="4"/>
        <v>1.4960899118586383E-12</v>
      </c>
      <c r="AM67" s="59">
        <f t="shared" si="5"/>
        <v>293.33333333333479</v>
      </c>
      <c r="AN67" s="59">
        <f ca="1">AVERAGE(OFFSET($AM$3,0,0,'Données projet'!$E$10+1,1))-AVERAGE(OFFSET($H$3,0,0,'Données projet'!$E$10+1,1))</f>
        <v>243.05628303465238</v>
      </c>
      <c r="AO67" s="59">
        <f t="shared" si="36"/>
        <v>352.47096767658394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4.0263735288304154</v>
      </c>
      <c r="AV67" s="21">
        <f>EXP(-LN(2)/25)*AV66+(1-EXP(-LN(2)/25))/(LN(2)/25)*Calculateur!AQ67*Calculateur!AS67*VLOOKUP('Données projet'!$B$10,Paramètres!$A$1:$I$89,3,0)*0.475*44/12</f>
        <v>7.0584818465415626</v>
      </c>
      <c r="AW67" s="21">
        <f>EXP(-LN(2)/2)*AW66+(1-EXP(-LN(2)/2))/(LN(2)/2)*AQ67*AT67*VLOOKUP('Données projet'!$B$10,Paramètres!$A$1:$I$89,3,0)*0.475*44/12</f>
        <v>8.6007447792572965E-5</v>
      </c>
      <c r="AX67" s="21">
        <f t="shared" si="6"/>
        <v>11.084941382819771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</v>
      </c>
      <c r="BD67" s="12">
        <f>IF('Données projet'!$A$88&gt;35,BD66+BC67-BL66,IF(A67&lt;'Données projet'!$A$88,$BA$205^A67,IF(A67='Données projet'!$A$88,'Données projet'!$B$88,BD66+BC67-BL66)))</f>
        <v>349.99999999999972</v>
      </c>
      <c r="BE67" s="13">
        <f>BD67*VLOOKUP('Données projet'!$B$11,Paramètres!$A$1:$I$89,3,0)*VLOOKUP('Données projet'!$B$11,Paramètres!$A$1:$I$89,5,0)</f>
        <v>278.45999999999981</v>
      </c>
      <c r="BF67" s="13">
        <f t="shared" si="37"/>
        <v>66.641458222154824</v>
      </c>
      <c r="BG67" s="20">
        <f t="shared" si="7"/>
        <v>601.05170640358597</v>
      </c>
      <c r="BH67" s="59">
        <f t="shared" si="8"/>
        <v>894.38503973691923</v>
      </c>
      <c r="BI67" s="59">
        <f ca="1">AVERAGE(OFFSET($BH$3,0,0,'Données projet'!$E$11+1,1))-AVERAGE(OFFSET($H$3,0,0,'Données projet'!$E$11+1,1))</f>
        <v>325.72928944930294</v>
      </c>
      <c r="BJ67" s="59">
        <f t="shared" si="38"/>
        <v>318.38876834819752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8.8303635964653857</v>
      </c>
      <c r="BQ67" s="21">
        <f>EXP(-LN(2)/25)*BQ66+(1-EXP(-LN(2)/25))/(LN(2)/25)*Calculateur!BL67*Calculateur!BN67*VLOOKUP('Données projet'!$B$11,Paramètres!$A$1:$I$89,3,0)*0.475*44/12</f>
        <v>8.056515341299491</v>
      </c>
      <c r="BR67" s="21">
        <f>EXP(-LN(2)/2)*BR66+(1-EXP(-LN(2)/2))/(LN(2)/2)*BL67*BO67*VLOOKUP('Données projet'!$B$11,Paramètres!$A$1:$I$89,3,0)*0.475*44/12</f>
        <v>9.0253608963654071E-5</v>
      </c>
      <c r="BS67" s="22">
        <f t="shared" si="9"/>
        <v>16.88696919137384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10</v>
      </c>
      <c r="BY67" s="12">
        <f>IF('Données projet'!$A$114&gt;35,BY66+BX67-CG66,IF(A67&lt;'Données projet'!$A$114,$BV$205^A67,IF(A67='Données projet'!$A$114,'Données projet'!$B$114,BY66+BX67-CG66)))</f>
        <v>758.99999999999966</v>
      </c>
      <c r="BZ67" s="13">
        <f>BY67*VLOOKUP('Données projet'!$B$12,Paramètres!$A$1:$I$89,3,0)*VLOOKUP('Données projet'!$B$12,Paramètres!$A$1:$I$89,5,0)</f>
        <v>424.28099999999978</v>
      </c>
      <c r="CA67" s="13">
        <f t="shared" si="39"/>
        <v>96.682255052757768</v>
      </c>
      <c r="CB67" s="20">
        <f t="shared" si="10"/>
        <v>907.34433588355262</v>
      </c>
      <c r="CC67" s="59">
        <f t="shared" si="11"/>
        <v>1200.677669216886</v>
      </c>
      <c r="CD67" s="59">
        <f ca="1">AVERAGE(OFFSET($CC$3,0,0,'Données projet'!$E$12+1,1))-AVERAGE(OFFSET($H$3,0,0,'Données projet'!$E$12+1,1))</f>
        <v>475.54809021014017</v>
      </c>
      <c r="CE67" s="59">
        <f t="shared" si="40"/>
        <v>593.51433014569966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3.7440894876068511</v>
      </c>
      <c r="CL67" s="21">
        <f>EXP(-LN(2)/25)*CL66+(1-EXP(-LN(2)/25))/(LN(2)/25)*Calculateur!CG67*Calculateur!CI67*VLOOKUP('Données projet'!$B$12,Paramètres!$A$1:$I$89,3,0)*0.475*44/12</f>
        <v>16.600967638829427</v>
      </c>
      <c r="CM67" s="21">
        <f>EXP(-LN(2)/2)*CM66+(1-EXP(-LN(2)/2))/(LN(2)/2)*CG67*CJ67*VLOOKUP('Données projet'!$B$12,Paramètres!$A$1:$I$89,3,0)*0.475*44/12</f>
        <v>1.1000028812208284E-4</v>
      </c>
      <c r="CN67" s="22">
        <f t="shared" si="12"/>
        <v>20.345167126724398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15.5</v>
      </c>
      <c r="CT67" s="12">
        <f>IF('Données projet'!$A$140&gt;35,CT66+CS67-DB66,IF(A67&lt;'Données projet'!$A$140,$CQ$205^A67,IF(A67='Données projet'!$A$140,'Données projet'!$B$140,CT66+CS67-DB66)))</f>
        <v>330.49999999999989</v>
      </c>
      <c r="CU67" s="17">
        <f>CT67*VLOOKUP('Données projet'!$B$13,Paramètres!$A$1:$I$89,3,0)*VLOOKUP('Données projet'!$B$13,Paramètres!$A$1:$I$89,5,0)</f>
        <v>154.67399999999995</v>
      </c>
      <c r="CV67" s="13">
        <f t="shared" si="41"/>
        <v>39.63886458604275</v>
      </c>
      <c r="CW67" s="20">
        <f t="shared" si="13"/>
        <v>338.42823915402437</v>
      </c>
      <c r="CX67" s="59">
        <f t="shared" si="14"/>
        <v>631.76157248735763</v>
      </c>
      <c r="CY67" s="59">
        <f ca="1">AVERAGE(OFFSET($CX$3,0,0,'Données projet'!$E$13+1,1))-AVERAGE(OFFSET($H$3,0,0,'Données projet'!$E$13+1,1))</f>
        <v>226.0452828290525</v>
      </c>
      <c r="CZ67" s="59">
        <f t="shared" si="42"/>
        <v>179.89696397462069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4.6288525425370706</v>
      </c>
      <c r="DG67" s="21">
        <f>EXP(-LN(2)/25)*DG66+(1-EXP(-LN(2)/25))/(LN(2)/25)*Calculateur!DB67*Calculateur!DD67*VLOOKUP('Données projet'!$B$13,Paramètres!$A$1:$I$89,3,0)*0.475*44/12</f>
        <v>4.3443568646484243</v>
      </c>
      <c r="DH67" s="21">
        <f>EXP(-LN(2)/2)*DH66+(1-EXP(-LN(2)/2))/(LN(2)/2)*DB67*DE67*VLOOKUP('Données projet'!$B$13,Paramètres!$A$1:$I$89,3,0)*0.475*44/12</f>
        <v>8.4252385281359705E-5</v>
      </c>
      <c r="DI67" s="22">
        <f t="shared" si="15"/>
        <v>8.9732936595707766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1.1368683772161603E-13</v>
      </c>
      <c r="DP67" s="17">
        <f>DO67*VLOOKUP('Données projet'!$B$14,Paramètres!$A$1:$I$89,3,0)*VLOOKUP('Données projet'!$B$14,Paramètres!$A$1:$I$89,5,0)</f>
        <v>6.7984728957526396E-14</v>
      </c>
      <c r="DQ67" s="13">
        <f t="shared" si="43"/>
        <v>1.0682447123141398E-12</v>
      </c>
      <c r="DR67" s="20">
        <f t="shared" si="16"/>
        <v>1.978932943548152E-12</v>
      </c>
      <c r="DS67" s="59">
        <f t="shared" si="17"/>
        <v>293.3333333333353</v>
      </c>
      <c r="DT67" s="59">
        <f ca="1">AVERAGE(OFFSET($DS$3,0,0,'Données projet'!$E$14+1,1))-AVERAGE(OFFSET($H$3,0,0,'Données projet'!$E$14+1,1))</f>
        <v>252.81045065813976</v>
      </c>
      <c r="DU67" s="59">
        <f t="shared" si="44"/>
        <v>254.36590349790589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9.2077978711982116</v>
      </c>
      <c r="EB67" s="21">
        <f>EXP(-LN(2)/25)*EB66+(1-EXP(-LN(2)/25))/(LN(2)/25)*Calculateur!DW67*Calculateur!DY67*VLOOKUP('Données projet'!$B$14,Paramètres!$A$1:$I$89,3,0)*0.475*44/12</f>
        <v>6.2824106831260753</v>
      </c>
      <c r="EC67" s="21">
        <f>EXP(-LN(2)/2)*EC66+(1-EXP(-LN(2)/2))/(LN(2)/2)*DW67*DZ67*VLOOKUP('Données projet'!$B$14,Paramètres!$A$1:$I$89,3,0)*0.475*44/12</f>
        <v>4.3803281281570532E-5</v>
      </c>
      <c r="ED67" s="22">
        <f t="shared" si="18"/>
        <v>15.490252357605568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6</v>
      </c>
      <c r="EJ67" s="12">
        <f>IF('Données projet'!$A$192&gt;35,EJ66+EI67-ER66,IF(A67&lt;'Données projet'!$A$192,$EG$205^A67,IF(A67='Données projet'!$A$192,'Données projet'!$B$192,EJ66+EI67-ER66)))</f>
        <v>349.99999999999972</v>
      </c>
      <c r="EK67" s="17">
        <f>EJ67*VLOOKUP('Données projet'!$B$15,Paramètres!$A$1:$I$89,3,0)*VLOOKUP('Données projet'!$B$15,Paramètres!$A$1:$I$89,5,0)</f>
        <v>256.61999999999978</v>
      </c>
      <c r="EL67" s="13">
        <f t="shared" si="45"/>
        <v>62.001350774926514</v>
      </c>
      <c r="EM67" s="20">
        <f t="shared" si="19"/>
        <v>554.9321859329965</v>
      </c>
      <c r="EN67" s="59">
        <f t="shared" si="20"/>
        <v>848.26551926632987</v>
      </c>
      <c r="EO67" s="59">
        <f ca="1">AVERAGE(OFFSET($EN$3,0,0,'Données projet'!$E$15+1,1))-AVERAGE(OFFSET($H$3,0,0,'Données projet'!$E$15+1,1))</f>
        <v>296.91321813251051</v>
      </c>
      <c r="EP67" s="59">
        <f t="shared" si="46"/>
        <v>291.0718079639509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6.6023547275088976</v>
      </c>
      <c r="EW67" s="21">
        <f>EXP(-LN(2)/25)*EW66+(1-EXP(-LN(2)/25))/(LN(2)/25)*Calculateur!ER67*Calculateur!ET67*VLOOKUP('Données projet'!$B$15,Paramètres!$A$1:$I$89,3,0)*0.475*44/12</f>
        <v>6.0237578633985454</v>
      </c>
      <c r="EX67" s="21">
        <f>EXP(-LN(2)/2)*EX66+(1-EXP(-LN(2)/2))/(LN(2)/2)*ER67*EU67*VLOOKUP('Données projet'!$B$15,Paramètres!$A$1:$I$89,3,0)*0.475*44/12</f>
        <v>8.3174894535132369E-5</v>
      </c>
      <c r="EY67" s="22">
        <f t="shared" si="21"/>
        <v>12.626195765801977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8.8000000000000007</v>
      </c>
      <c r="FE67" s="12">
        <f>IF('Données projet'!$A$218&gt;35,FE66+FD67-FM66,IF(A67&lt;'Données projet'!$A$218,$FB$205^A67,IF(A67='Données projet'!$A$218,'Données projet'!$B$218,FE66+FD67-FM66)))</f>
        <v>280.2</v>
      </c>
      <c r="FF67" s="17">
        <f>FE67*VLOOKUP('Données projet'!$B$16,Paramètres!$A$1:$I$89,3,0)*VLOOKUP('Données projet'!$B$16,Paramètres!$A$1:$I$89,5,0)</f>
        <v>284.12279999999998</v>
      </c>
      <c r="FG67" s="13">
        <f t="shared" si="47"/>
        <v>67.837532462585557</v>
      </c>
      <c r="FH67" s="20">
        <f t="shared" si="22"/>
        <v>612.99757903900309</v>
      </c>
      <c r="FI67" s="59">
        <f t="shared" si="23"/>
        <v>906.33091237233634</v>
      </c>
      <c r="FJ67" s="59">
        <f ca="1">AVERAGE(OFFSET($FI$3,0,0,'Données projet'!$E$16+1,1))-AVERAGE(OFFSET($H$3,0,0,'Données projet'!$E$16+1,1))</f>
        <v>356.65981389369125</v>
      </c>
      <c r="FK67" s="59">
        <f t="shared" si="48"/>
        <v>231.92898690465887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4.177160673346358</v>
      </c>
      <c r="FR67" s="21">
        <f>EXP(-LN(2)/25)*FR66+(1-EXP(-LN(2)/25))/(LN(2)/25)*Calculateur!FM67*Calculateur!FO67*VLOOKUP('Données projet'!$B$16,Paramètres!$A$1:$I$89,3,0)*0.475*44/12</f>
        <v>4.088664776882192</v>
      </c>
      <c r="FS67" s="21">
        <f>EXP(-LN(2)/2)*FS66+(1-EXP(-LN(2)/2))/(LN(2)/2)*FM67*FP67*VLOOKUP('Données projet'!$B$16,Paramètres!$A$1:$I$89,3,0)*0.475*44/12</f>
        <v>7.2974385005944467E-5</v>
      </c>
      <c r="FT67" s="22">
        <f t="shared" si="24"/>
        <v>8.2658984246135567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8.8000000000000007</v>
      </c>
      <c r="FZ67" s="12">
        <f>IF('Données projet'!$A$244&gt;35,FZ66+FY67-GH66,IF(A67&lt;'Données projet'!$A$244,$FW$205^A67,IF(A67='Données projet'!$A$244,'Données projet'!$B$244,FZ66+FY67-GH66)))</f>
        <v>280.2</v>
      </c>
      <c r="GA67" s="17">
        <f>FZ67*VLOOKUP('Données projet'!$B$17,Paramètres!$A$1:$I$89,3,0)*VLOOKUP('Données projet'!$B$17,Paramètres!$A$1:$I$89,5,0)</f>
        <v>271.00943999999998</v>
      </c>
      <c r="GB67" s="13">
        <f t="shared" si="49"/>
        <v>65.063451383023647</v>
      </c>
      <c r="GC67" s="20">
        <f t="shared" si="25"/>
        <v>585.32695249209939</v>
      </c>
      <c r="GD67" s="59">
        <f t="shared" si="26"/>
        <v>878.66028582543277</v>
      </c>
      <c r="GE67" s="59">
        <f ca="1">AVERAGE(OFFSET($GD$3,0,0,'Données projet'!$E$17+1,1))-AVERAGE(OFFSET($H$3,0,0,'Données projet'!$E$17+1,1))</f>
        <v>337.76140497227715</v>
      </c>
      <c r="GF67" s="59">
        <f t="shared" si="50"/>
        <v>219.76562717496353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3.9843686422688327</v>
      </c>
      <c r="GM67" s="21">
        <f>EXP(-LN(2)/25)*GM66+(1-EXP(-LN(2)/25))/(LN(2)/25)*Calculateur!GH67*Calculateur!GJ67*VLOOKUP('Données projet'!$B$17,Paramètres!$A$1:$I$89,3,0)*0.475*44/12</f>
        <v>3.8999571717953212</v>
      </c>
      <c r="GN67" s="21">
        <f>EXP(-LN(2)/2)*GN66+(1-EXP(-LN(2)/2))/(LN(2)/2)*GH67*GK67*VLOOKUP('Données projet'!$B$17,Paramètres!$A$1:$I$89,3,0)*0.475*44/12</f>
        <v>6.9606336467208584E-5</v>
      </c>
      <c r="GO67" s="21">
        <f t="shared" si="27"/>
        <v>7.8843954204006206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289</v>
      </c>
      <c r="O68" s="13">
        <f>N68*VLOOKUP('Données projet'!$B$9,Paramètres!$A$1:$I$89,3,0)*VLOOKUP('Données projet'!$B$9,Paramètres!$A$1:$I$89,5,0)</f>
        <v>261.48719999999997</v>
      </c>
      <c r="P68" s="13">
        <f t="shared" si="33"/>
        <v>63.039283586802391</v>
      </c>
      <c r="Q68" s="20">
        <f t="shared" si="54"/>
        <v>565.21695891368086</v>
      </c>
      <c r="R68" s="59">
        <f t="shared" si="55"/>
        <v>858.55029224701411</v>
      </c>
      <c r="S68" s="59">
        <f ca="1">AVERAGE(OFFSET($R$3,0,0,'Données projet'!$E$9+1,1))-AVERAGE(OFFSET($H$3,0,0,'Données projet'!$E$9+1,1))</f>
        <v>312.53389584272878</v>
      </c>
      <c r="T68" s="59">
        <f t="shared" si="34"/>
        <v>203.5274665601915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3.6542222741660173</v>
      </c>
      <c r="AA68" s="21">
        <f>EXP(-LN(2)/25)*AA67+(1-EXP(-LN(2)/25))/(LN(2)/25)*Calculateur!V68*Calculateur!X68*VLOOKUP('Données projet'!$B$9,Paramètres!$A$1:$I$89,3,0)*0.475*44/12</f>
        <v>3.5485827902399842</v>
      </c>
      <c r="AB68" s="21">
        <f>EXP(-LN(2)/2)*AB67+(1-EXP(-LN(2)/2))/(LN(2)/2)*V68*Y68*VLOOKUP('Données projet'!$B$9,Paramètres!$A$1:$I$89,3,0)*0.475*44/12</f>
        <v>4.604368591470819E-5</v>
      </c>
      <c r="AC68" s="22">
        <f t="shared" ref="AC68:AC131" si="57">SUM(Z68:AB68)</f>
        <v>7.2028511080919166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5.6843418860808015E-14</v>
      </c>
      <c r="AJ68" s="13">
        <f>AI68*VLOOKUP('Données projet'!$B$10,Paramètres!$A$1:$I$89,3,0)*VLOOKUP('Données projet'!$B$10,Paramètres!$A$1:$I$89,5,0)</f>
        <v>4.9658410716801891E-14</v>
      </c>
      <c r="AK68" s="13">
        <f t="shared" si="35"/>
        <v>8.0934058173791862E-13</v>
      </c>
      <c r="AL68" s="20">
        <f t="shared" ref="AL68:AL131" si="58">(AJ68+AK68)*0.475*44/12</f>
        <v>1.4960899118586383E-12</v>
      </c>
      <c r="AM68" s="59">
        <f t="shared" ref="AM68:AM131" si="59">AL68+(AD68+AE68)*44/12</f>
        <v>293.33333333333479</v>
      </c>
      <c r="AN68" s="59">
        <f ca="1">AVERAGE(OFFSET($AM$3,0,0,'Données projet'!$E$10+1,1))-AVERAGE(OFFSET($H$3,0,0,'Données projet'!$E$10+1,1))</f>
        <v>243.05628303465238</v>
      </c>
      <c r="AO68" s="59">
        <f t="shared" si="36"/>
        <v>352.47096767658394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3.9474187997754089</v>
      </c>
      <c r="AV68" s="21">
        <f>EXP(-LN(2)/25)*AV67+(1-EXP(-LN(2)/25))/(LN(2)/25)*Calculateur!AQ68*Calculateur!AS68*VLOOKUP('Données projet'!$B$10,Paramètres!$A$1:$I$89,3,0)*0.475*44/12</f>
        <v>6.8654672892584561</v>
      </c>
      <c r="AW68" s="21">
        <f>EXP(-LN(2)/2)*AW67+(1-EXP(-LN(2)/2))/(LN(2)/2)*AQ68*AT68*VLOOKUP('Données projet'!$B$10,Paramètres!$A$1:$I$89,3,0)*0.475*44/12</f>
        <v>6.0816449566676307E-5</v>
      </c>
      <c r="AX68" s="21">
        <f t="shared" ref="AX68:AX131" si="60">SUM(AU68:AW68)</f>
        <v>10.812946905483432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356</v>
      </c>
      <c r="BB68" s="12">
        <f>VLOOKUP(A68,'Données projet'!$A$87:$I$107,9,0)</f>
        <v>6</v>
      </c>
      <c r="BC68" s="12">
        <f t="array" ref="BC68">INDEX(BB:BB,MIN(IF(ISNUMBER(BB68:BB264),ROW(BB68:BB264),"")))</f>
        <v>6</v>
      </c>
      <c r="BD68" s="12">
        <f>IF('Données projet'!$A$88&gt;35,BD67+BC68-BL67,IF(A68&lt;'Données projet'!$A$88,$BA$205^A68,IF(A68='Données projet'!$A$88,'Données projet'!$B$88,BD67+BC68-BL67)))</f>
        <v>355.99999999999972</v>
      </c>
      <c r="BE68" s="13">
        <f>BD68*VLOOKUP('Données projet'!$B$11,Paramètres!$A$1:$I$89,3,0)*VLOOKUP('Données projet'!$B$11,Paramètres!$A$1:$I$89,5,0)</f>
        <v>283.2335999999998</v>
      </c>
      <c r="BF68" s="13">
        <f t="shared" si="37"/>
        <v>67.649904178362377</v>
      </c>
      <c r="BG68" s="20">
        <f t="shared" ref="BG68:BG131" si="61">(BE68+BF68)*0.475*44/12</f>
        <v>611.12210311064734</v>
      </c>
      <c r="BH68" s="59">
        <f t="shared" ref="BH68:BH131" si="62">BG68+(AY68+AZ68)*44/12</f>
        <v>904.45543644398072</v>
      </c>
      <c r="BI68" s="59">
        <f ca="1">AVERAGE(OFFSET($BH$3,0,0,'Données projet'!$E$11+1,1))-AVERAGE(OFFSET($H$3,0,0,'Données projet'!$E$11+1,1))</f>
        <v>325.72928944930294</v>
      </c>
      <c r="BJ68" s="59">
        <f t="shared" si="38"/>
        <v>318.38876834819752</v>
      </c>
      <c r="BK68" s="15">
        <f>IF(ISNA(VLOOKUP(A68,'Données projet'!$A$87:$I$107,3,0)),0,VLOOKUP(A68,'Données projet'!$A$87:$I$107,3,0))</f>
        <v>12</v>
      </c>
      <c r="BL68" s="15">
        <f>IF(ISNA(VLOOKUP(A68,'Données projet'!$A$87:$I$107,4,0)),0,VLOOKUP(A68,'Données projet'!$A$87:$I$107,4,0))</f>
        <v>16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8.6572055523286711</v>
      </c>
      <c r="BQ68" s="21">
        <f>EXP(-LN(2)/25)*BQ67+(1-EXP(-LN(2)/25))/(LN(2)/25)*Calculateur!BL68*Calculateur!BN68*VLOOKUP('Données projet'!$B$11,Paramètres!$A$1:$I$89,3,0)*0.475*44/12</f>
        <v>7.8362095056179282</v>
      </c>
      <c r="BR68" s="21">
        <f>EXP(-LN(2)/2)*BR67+(1-EXP(-LN(2)/2))/(LN(2)/2)*BL68*BO68*VLOOKUP('Données projet'!$B$11,Paramètres!$A$1:$I$89,3,0)*0.475*44/12</f>
        <v>6.3818938924758761E-5</v>
      </c>
      <c r="BS68" s="22">
        <f t="shared" ref="BS68:BS131" si="63">SUM(BP68:BR68)</f>
        <v>16.493478876885526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769</v>
      </c>
      <c r="BW68" s="12">
        <f>VLOOKUP(A68,'Données projet'!$A$113:$I$133,9,0)</f>
        <v>10</v>
      </c>
      <c r="BX68" s="12">
        <f t="array" ref="BX68">INDEX(BW:BW,MIN(IF(ISNUMBER(BW68:BW264),ROW(BW68:BW264),"")))</f>
        <v>10</v>
      </c>
      <c r="BY68" s="12">
        <f>IF('Données projet'!$A$114&gt;35,BY67+BX68-CG67,IF(A68&lt;'Données projet'!$A$114,$BV$205^A68,IF(A68='Données projet'!$A$114,'Données projet'!$B$114,BY67+BX68-CG67)))</f>
        <v>768.99999999999966</v>
      </c>
      <c r="BZ68" s="13">
        <f>BY68*VLOOKUP('Données projet'!$B$12,Paramètres!$A$1:$I$89,3,0)*VLOOKUP('Données projet'!$B$12,Paramètres!$A$1:$I$89,5,0)</f>
        <v>429.87099999999981</v>
      </c>
      <c r="CA68" s="13">
        <f t="shared" si="39"/>
        <v>97.806935594587088</v>
      </c>
      <c r="CB68" s="20">
        <f t="shared" ref="CB68:CB131" si="64">(BZ68+CA68)*0.475*44/12</f>
        <v>919.03907116057201</v>
      </c>
      <c r="CC68" s="59">
        <f t="shared" ref="CC68:CC131" si="65">CB68+(BT68+BU68)*44/12</f>
        <v>1212.3724044939054</v>
      </c>
      <c r="CD68" s="59">
        <f ca="1">AVERAGE(OFFSET($CC$3,0,0,'Données projet'!$E$12+1,1))-AVERAGE(OFFSET($H$3,0,0,'Données projet'!$E$12+1,1))</f>
        <v>475.54809021014017</v>
      </c>
      <c r="CE68" s="59">
        <f t="shared" si="40"/>
        <v>593.51433014569966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769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3.6706701764239744</v>
      </c>
      <c r="CL68" s="21">
        <f>EXP(-LN(2)/25)*CL67+(1-EXP(-LN(2)/25))/(LN(2)/25)*Calculateur!CG68*Calculateur!CI68*VLOOKUP('Données projet'!$B$12,Paramètres!$A$1:$I$89,3,0)*0.475*44/12</f>
        <v>16.147013305738689</v>
      </c>
      <c r="CM68" s="21">
        <f>EXP(-LN(2)/2)*CM67+(1-EXP(-LN(2)/2))/(LN(2)/2)*CG68*CJ68*VLOOKUP('Données projet'!$B$12,Paramètres!$A$1:$I$89,3,0)*0.475*44/12</f>
        <v>7.778194966359881E-5</v>
      </c>
      <c r="CN68" s="22">
        <f t="shared" ref="CN68:CN131" si="66">SUM(CK68:CM68)</f>
        <v>19.817761264112328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15.5</v>
      </c>
      <c r="CT68" s="12">
        <f>IF('Données projet'!$A$140&gt;35,CT67+CS68-DB67,IF(A68&lt;'Données projet'!$A$140,$CQ$205^A68,IF(A68='Données projet'!$A$140,'Données projet'!$B$140,CT67+CS68-DB67)))</f>
        <v>345.99999999999989</v>
      </c>
      <c r="CU68" s="17">
        <f>CT68*VLOOKUP('Données projet'!$B$13,Paramètres!$A$1:$I$89,3,0)*VLOOKUP('Données projet'!$B$13,Paramètres!$A$1:$I$89,5,0)</f>
        <v>161.92799999999994</v>
      </c>
      <c r="CV68" s="13">
        <f t="shared" si="41"/>
        <v>41.277077571585316</v>
      </c>
      <c r="CW68" s="20">
        <f t="shared" ref="CW68:CW131" si="67">(CU68+CV68)*0.475*44/12</f>
        <v>353.91551010384433</v>
      </c>
      <c r="CX68" s="59">
        <f t="shared" ref="CX68:CX131" si="68">CW68+(CO68+CP68)*44/12</f>
        <v>647.24884343717758</v>
      </c>
      <c r="CY68" s="59">
        <f ca="1">AVERAGE(OFFSET($CX$3,0,0,'Données projet'!$E$13+1,1))-AVERAGE(OFFSET($H$3,0,0,'Données projet'!$E$13+1,1))</f>
        <v>226.0452828290525</v>
      </c>
      <c r="CZ68" s="59">
        <f t="shared" si="42"/>
        <v>179.89696397462069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4.5380835674991902</v>
      </c>
      <c r="DG68" s="21">
        <f>EXP(-LN(2)/25)*DG67+(1-EXP(-LN(2)/25))/(LN(2)/25)*Calculateur!DB68*Calculateur!DD68*VLOOKUP('Données projet'!$B$13,Paramètres!$A$1:$I$89,3,0)*0.475*44/12</f>
        <v>4.2255601977248149</v>
      </c>
      <c r="DH68" s="21">
        <f>EXP(-LN(2)/2)*DH67+(1-EXP(-LN(2)/2))/(LN(2)/2)*DB68*DE68*VLOOKUP('Données projet'!$B$13,Paramètres!$A$1:$I$89,3,0)*0.475*44/12</f>
        <v>5.9575432963591118E-5</v>
      </c>
      <c r="DI68" s="22">
        <f t="shared" ref="DI68:DI131" si="69">SUM(DF68:DH68)</f>
        <v>8.7637033406569689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1.1368683772161603E-13</v>
      </c>
      <c r="DP68" s="17">
        <f>DO68*VLOOKUP('Données projet'!$B$14,Paramètres!$A$1:$I$89,3,0)*VLOOKUP('Données projet'!$B$14,Paramètres!$A$1:$I$89,5,0)</f>
        <v>6.7984728957526396E-14</v>
      </c>
      <c r="DQ68" s="13">
        <f t="shared" si="43"/>
        <v>1.0682447123141398E-12</v>
      </c>
      <c r="DR68" s="20">
        <f t="shared" ref="DR68:DR131" si="70">(DP68+DQ68)*0.475*44/12</f>
        <v>1.978932943548152E-12</v>
      </c>
      <c r="DS68" s="59">
        <f t="shared" ref="DS68:DS131" si="71">DR68+(DJ68+DK68)*44/12</f>
        <v>293.3333333333353</v>
      </c>
      <c r="DT68" s="59">
        <f ca="1">AVERAGE(OFFSET($DS$3,0,0,'Données projet'!$E$14+1,1))-AVERAGE(OFFSET($H$3,0,0,'Données projet'!$E$14+1,1))</f>
        <v>252.81045065813976</v>
      </c>
      <c r="DU68" s="59">
        <f t="shared" si="44"/>
        <v>254.36590349790589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9.027238571146162</v>
      </c>
      <c r="EB68" s="21">
        <f>EXP(-LN(2)/25)*EB67+(1-EXP(-LN(2)/25))/(LN(2)/25)*Calculateur!DW68*Calculateur!DY68*VLOOKUP('Données projet'!$B$14,Paramètres!$A$1:$I$89,3,0)*0.475*44/12</f>
        <v>6.1106178326183738</v>
      </c>
      <c r="EC68" s="21">
        <f>EXP(-LN(2)/2)*EC67+(1-EXP(-LN(2)/2))/(LN(2)/2)*DW68*DZ68*VLOOKUP('Données projet'!$B$14,Paramètres!$A$1:$I$89,3,0)*0.475*44/12</f>
        <v>3.0973597232420287E-5</v>
      </c>
      <c r="ED68" s="22">
        <f t="shared" ref="ED68:ED131" si="72">SUM(EA68:EC68)</f>
        <v>15.137887377361768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356</v>
      </c>
      <c r="EH68" s="12">
        <f>VLOOKUP(A68,'Données projet'!$A$191:$I$211,9,0)</f>
        <v>6</v>
      </c>
      <c r="EI68" s="12">
        <f t="array" ref="EI68">INDEX(EH:EH,MIN(IF(ISNUMBER(EH68:EH264),ROW(EH68:EH264),"")))</f>
        <v>6</v>
      </c>
      <c r="EJ68" s="12">
        <f>IF('Données projet'!$A$192&gt;35,EJ67+EI68-ER67,IF(A68&lt;'Données projet'!$A$192,$EG$205^A68,IF(A68='Données projet'!$A$192,'Données projet'!$B$192,EJ67+EI68-ER67)))</f>
        <v>355.99999999999972</v>
      </c>
      <c r="EK68" s="17">
        <f>EJ68*VLOOKUP('Données projet'!$B$15,Paramètres!$A$1:$I$89,3,0)*VLOOKUP('Données projet'!$B$15,Paramètres!$A$1:$I$89,5,0)</f>
        <v>261.01919999999978</v>
      </c>
      <c r="EL68" s="13">
        <f t="shared" si="45"/>
        <v>62.939580716713571</v>
      </c>
      <c r="EM68" s="20">
        <f t="shared" ref="EM68:EM131" si="73">(EK68+EL68)*0.475*44/12</f>
        <v>564.22820974827573</v>
      </c>
      <c r="EN68" s="59">
        <f t="shared" ref="EN68:EN131" si="74">EM68+(EE68+EF68)*44/12</f>
        <v>857.56154308160899</v>
      </c>
      <c r="EO68" s="59">
        <f ca="1">AVERAGE(OFFSET($EN$3,0,0,'Données projet'!$E$15+1,1))-AVERAGE(OFFSET($H$3,0,0,'Données projet'!$E$15+1,1))</f>
        <v>296.91321813251051</v>
      </c>
      <c r="EP68" s="59">
        <f t="shared" si="46"/>
        <v>291.0718079639509</v>
      </c>
      <c r="EQ68" s="15">
        <f>IF(ISNA(VLOOKUP(A68,'Données projet'!$A$191:$I$211,3,0)),0,VLOOKUP(A68,'Données projet'!$A$191:$I$211,3,0))</f>
        <v>12</v>
      </c>
      <c r="ER68" s="15">
        <f>IF(ISNA(VLOOKUP(A68,'Données projet'!$A$191:$I$211,4,0)),0,VLOOKUP(A68,'Données projet'!$A$191:$I$211,4,0))</f>
        <v>16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6.4728865783411953</v>
      </c>
      <c r="EW68" s="21">
        <f>EXP(-LN(2)/25)*EW67+(1-EXP(-LN(2)/25))/(LN(2)/25)*Calculateur!ER68*Calculateur!ET68*VLOOKUP('Données projet'!$B$15,Paramètres!$A$1:$I$89,3,0)*0.475*44/12</f>
        <v>5.8590378878482534</v>
      </c>
      <c r="EX68" s="21">
        <f>EXP(-LN(2)/2)*EX67+(1-EXP(-LN(2)/2))/(LN(2)/2)*ER68*EU68*VLOOKUP('Données projet'!$B$15,Paramètres!$A$1:$I$89,3,0)*0.475*44/12</f>
        <v>5.8813531950268015E-5</v>
      </c>
      <c r="EY68" s="22">
        <f t="shared" ref="EY68:EY131" si="75">SUM(EV68:EX68)</f>
        <v>12.331983279721399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289</v>
      </c>
      <c r="FC68" s="12">
        <f>VLOOKUP(A68,'Données projet'!$A$217:$I$237,9,0)</f>
        <v>8.8000000000000007</v>
      </c>
      <c r="FD68" s="12">
        <f t="array" ref="FD68">INDEX(FC:FC,MIN(IF(ISNUMBER(FC68:FC264),ROW(FC68:FC264),"")))</f>
        <v>8.8000000000000007</v>
      </c>
      <c r="FE68" s="12">
        <f>IF('Données projet'!$A$218&gt;35,FE67+FD68-FM67,IF(A68&lt;'Données projet'!$A$218,$FB$205^A68,IF(A68='Données projet'!$A$218,'Données projet'!$B$218,FE67+FD68-FM67)))</f>
        <v>289</v>
      </c>
      <c r="FF68" s="17">
        <f>FE68*VLOOKUP('Données projet'!$B$16,Paramètres!$A$1:$I$89,3,0)*VLOOKUP('Données projet'!$B$16,Paramètres!$A$1:$I$89,5,0)</f>
        <v>293.04599999999999</v>
      </c>
      <c r="FG68" s="13">
        <f t="shared" si="47"/>
        <v>69.716654076072615</v>
      </c>
      <c r="FH68" s="20">
        <f t="shared" ref="FH68:FH131" si="76">(FF68+FG68)*0.475*44/12</f>
        <v>631.81162251582646</v>
      </c>
      <c r="FI68" s="59">
        <f t="shared" ref="FI68:FI131" si="77">FH68+(EZ68+FA68)*44/12</f>
        <v>925.14495584915971</v>
      </c>
      <c r="FJ68" s="59">
        <f ca="1">AVERAGE(OFFSET($FI$3,0,0,'Données projet'!$E$16+1,1))-AVERAGE(OFFSET($H$3,0,0,'Données projet'!$E$16+1,1))</f>
        <v>356.65981389369125</v>
      </c>
      <c r="FK68" s="59">
        <f t="shared" si="48"/>
        <v>231.92898690465887</v>
      </c>
      <c r="FL68" s="15">
        <f>IF(ISNA(VLOOKUP(A68,'Données projet'!$A$217:$I$237,3,0)),0,VLOOKUP(A68,'Données projet'!$A$217:$I$237,3,0))</f>
        <v>10</v>
      </c>
      <c r="FM68" s="15">
        <f>IF(ISNA(VLOOKUP(A68,'Données projet'!$A$217:$I$237,4,0)),0,VLOOKUP(A68,'Données projet'!$A$217:$I$237,4,0))</f>
        <v>28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4.0952491003584708</v>
      </c>
      <c r="FR68" s="21">
        <f>EXP(-LN(2)/25)*FR67+(1-EXP(-LN(2)/25))/(LN(2)/25)*Calculateur!FM68*Calculateur!FO68*VLOOKUP('Données projet'!$B$16,Paramètres!$A$1:$I$89,3,0)*0.475*44/12</f>
        <v>3.9768600235448126</v>
      </c>
      <c r="FS68" s="21">
        <f>EXP(-LN(2)/2)*FS67+(1-EXP(-LN(2)/2))/(LN(2)/2)*FM68*FP68*VLOOKUP('Données projet'!$B$16,Paramètres!$A$1:$I$89,3,0)*0.475*44/12</f>
        <v>5.1600682490621249E-5</v>
      </c>
      <c r="FT68" s="22">
        <f t="shared" ref="FT68:FT131" si="78">SUM(FQ68:FS68)</f>
        <v>8.0721607245857747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289</v>
      </c>
      <c r="FX68" s="12">
        <f>VLOOKUP(A68,'Données projet'!$A$243:$I$263,9,0)</f>
        <v>8.8000000000000007</v>
      </c>
      <c r="FY68" s="12">
        <f t="array" ref="FY68">INDEX(FX:FX,MIN(IF(ISNUMBER(FX68:FX264),ROW(FX68:FX264),"")))</f>
        <v>8.8000000000000007</v>
      </c>
      <c r="FZ68" s="12">
        <f>IF('Données projet'!$A$244&gt;35,FZ67+FY68-GH67,IF(A68&lt;'Données projet'!$A$244,$FW$205^A68,IF(A68='Données projet'!$A$244,'Données projet'!$B$244,FZ67+FY68-GH67)))</f>
        <v>289</v>
      </c>
      <c r="GA68" s="17">
        <f>FZ68*VLOOKUP('Données projet'!$B$17,Paramètres!$A$1:$I$89,3,0)*VLOOKUP('Données projet'!$B$17,Paramètres!$A$1:$I$89,5,0)</f>
        <v>279.52080000000001</v>
      </c>
      <c r="GB68" s="13">
        <f t="shared" si="49"/>
        <v>66.865730052421583</v>
      </c>
      <c r="GC68" s="20">
        <f t="shared" ref="GC68:GC131" si="79">(GA68+GB68)*0.475*44/12</f>
        <v>603.28987317463418</v>
      </c>
      <c r="GD68" s="59">
        <f t="shared" ref="GD68:GD131" si="80">GC68+(FU68+FV68)*44/12</f>
        <v>896.62320650796755</v>
      </c>
      <c r="GE68" s="59">
        <f ca="1">AVERAGE(OFFSET($GD$3,0,0,'Données projet'!$E$17+1,1))-AVERAGE(OFFSET($H$3,0,0,'Données projet'!$E$17+1,1))</f>
        <v>337.76140497227715</v>
      </c>
      <c r="GF68" s="59">
        <f t="shared" si="50"/>
        <v>219.76562717496353</v>
      </c>
      <c r="GG68" s="15">
        <f>IF(ISNA(VLOOKUP(A68,'Données projet'!$A$243:$I$263,3,0)),0,VLOOKUP(A68,'Données projet'!$A$243:$I$263,3,0))</f>
        <v>10</v>
      </c>
      <c r="GH68" s="15">
        <f>IF(ISNA(VLOOKUP(A68,'Données projet'!$A$243:$I$263,4,0)),0,VLOOKUP(A68,'Données projet'!$A$243:$I$263,4,0))</f>
        <v>28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3.9062376034188477</v>
      </c>
      <c r="GM68" s="21">
        <f>EXP(-LN(2)/25)*GM67+(1-EXP(-LN(2)/25))/(LN(2)/25)*Calculateur!GH68*Calculateur!GJ68*VLOOKUP('Données projet'!$B$17,Paramètres!$A$1:$I$89,3,0)*0.475*44/12</f>
        <v>3.7933126378427438</v>
      </c>
      <c r="GN68" s="21">
        <f>EXP(-LN(2)/2)*GN67+(1-EXP(-LN(2)/2))/(LN(2)/2)*GH68*GK68*VLOOKUP('Données projet'!$B$17,Paramètres!$A$1:$I$89,3,0)*0.475*44/12</f>
        <v>4.9219112529515665E-5</v>
      </c>
      <c r="GO68" s="21">
        <f t="shared" ref="GO68:GO131" si="81">SUM(GL68:GN68)</f>
        <v>7.6995994603741211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269.2</v>
      </c>
      <c r="O69" s="13">
        <f>N69*VLOOKUP('Données projet'!$B$9,Paramètres!$A$1:$I$89,3,0)*VLOOKUP('Données projet'!$B$9,Paramètres!$A$1:$I$89,5,0)</f>
        <v>243.57216</v>
      </c>
      <c r="P69" s="13">
        <f t="shared" ref="P69:P132" si="87">EXP(-1.0587+0.8836*LN(O69)+0.284)</f>
        <v>59.207435995642292</v>
      </c>
      <c r="Q69" s="20">
        <f t="shared" si="54"/>
        <v>527.34112969241028</v>
      </c>
      <c r="R69" s="59">
        <f t="shared" si="55"/>
        <v>820.67446302574353</v>
      </c>
      <c r="S69" s="59">
        <f ca="1">AVERAGE(OFFSET($R$3,0,0,'Données projet'!$E$9+1,1))-AVERAGE(OFFSET($H$3,0,0,'Données projet'!$E$9+1,1))</f>
        <v>312.53389584272878</v>
      </c>
      <c r="T69" s="59">
        <f t="shared" ref="T69:T132" si="88">$T$3</f>
        <v>203.5274665601915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3.5825652042251277</v>
      </c>
      <c r="AA69" s="21">
        <f>EXP(-LN(2)/25)*AA68+(1-EXP(-LN(2)/25))/(LN(2)/25)*Calculateur!V69*Calculateur!X69*VLOOKUP('Données projet'!$B$9,Paramètres!$A$1:$I$89,3,0)*0.475*44/12</f>
        <v>3.4515466072290133</v>
      </c>
      <c r="AB69" s="21">
        <f>EXP(-LN(2)/2)*AB68+(1-EXP(-LN(2)/2))/(LN(2)/2)*V69*Y69*VLOOKUP('Données projet'!$B$9,Paramètres!$A$1:$I$89,3,0)*0.475*44/12</f>
        <v>3.2557802541113684E-5</v>
      </c>
      <c r="AC69" s="22">
        <f t="shared" si="57"/>
        <v>7.0341443692566816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5.6843418860808015E-14</v>
      </c>
      <c r="AJ69" s="13">
        <f>AI69*VLOOKUP('Données projet'!$B$10,Paramètres!$A$1:$I$89,3,0)*VLOOKUP('Données projet'!$B$10,Paramètres!$A$1:$I$89,5,0)</f>
        <v>4.9658410716801891E-14</v>
      </c>
      <c r="AK69" s="13">
        <f t="shared" ref="AK69:AK132" si="89">EXP(-1.0587+0.8836*LN(AJ69)+0.284)</f>
        <v>8.0934058173791862E-13</v>
      </c>
      <c r="AL69" s="20">
        <f t="shared" si="58"/>
        <v>1.4960899118586383E-12</v>
      </c>
      <c r="AM69" s="59">
        <f t="shared" si="59"/>
        <v>293.33333333333479</v>
      </c>
      <c r="AN69" s="59">
        <f ca="1">AVERAGE(OFFSET($AM$3,0,0,'Données projet'!$E$10+1,1))-AVERAGE(OFFSET($H$3,0,0,'Données projet'!$E$10+1,1))</f>
        <v>243.05628303465238</v>
      </c>
      <c r="AO69" s="59">
        <f t="shared" ref="AO69:AO132" si="90">$AO$3</f>
        <v>352.47096767658394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3.8700123247995415</v>
      </c>
      <c r="AV69" s="21">
        <f>EXP(-LN(2)/25)*AV68+(1-EXP(-LN(2)/25))/(LN(2)/25)*Calculateur!AQ69*Calculateur!AS69*VLOOKUP('Données projet'!$B$10,Paramètres!$A$1:$I$89,3,0)*0.475*44/12</f>
        <v>6.6777307251944498</v>
      </c>
      <c r="AW69" s="21">
        <f>EXP(-LN(2)/2)*AW68+(1-EXP(-LN(2)/2))/(LN(2)/2)*AQ69*AT69*VLOOKUP('Données projet'!$B$10,Paramètres!$A$1:$I$89,3,0)*0.475*44/12</f>
        <v>4.3003723896286489E-5</v>
      </c>
      <c r="AX69" s="21">
        <f t="shared" si="60"/>
        <v>10.547786053717887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5.2</v>
      </c>
      <c r="BD69" s="12">
        <f>IF('Données projet'!$A$88&gt;35,BD68+BC69-BL68,IF(A69&lt;'Données projet'!$A$88,$BA$205^A69,IF(A69='Données projet'!$A$88,'Données projet'!$B$88,BD68+BC69-BL68)))</f>
        <v>345.1999999999997</v>
      </c>
      <c r="BE69" s="13">
        <f>BD69*VLOOKUP('Données projet'!$B$11,Paramètres!$A$1:$I$89,3,0)*VLOOKUP('Données projet'!$B$11,Paramètres!$A$1:$I$89,5,0)</f>
        <v>274.64111999999977</v>
      </c>
      <c r="BF69" s="13">
        <f t="shared" ref="BF69:BF132" si="91">EXP(-1.0587+0.8836*LN(BE69)+0.284)</f>
        <v>65.833252956609641</v>
      </c>
      <c r="BG69" s="20">
        <f t="shared" si="61"/>
        <v>592.99286623276123</v>
      </c>
      <c r="BH69" s="59">
        <f t="shared" si="62"/>
        <v>886.3261995660946</v>
      </c>
      <c r="BI69" s="59">
        <f ca="1">AVERAGE(OFFSET($BH$3,0,0,'Données projet'!$E$11+1,1))-AVERAGE(OFFSET($H$3,0,0,'Données projet'!$E$11+1,1))</f>
        <v>325.72928944930294</v>
      </c>
      <c r="BJ69" s="59">
        <f t="shared" ref="BJ69:BJ132" si="92">$BJ$3</f>
        <v>318.38876834819752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8.4874430318214991</v>
      </c>
      <c r="BQ69" s="21">
        <f>EXP(-LN(2)/25)*BQ68+(1-EXP(-LN(2)/25))/(LN(2)/25)*Calculateur!BL69*Calculateur!BN69*VLOOKUP('Données projet'!$B$11,Paramètres!$A$1:$I$89,3,0)*0.475*44/12</f>
        <v>7.6219279445984576</v>
      </c>
      <c r="BR69" s="21">
        <f>EXP(-LN(2)/2)*BR68+(1-EXP(-LN(2)/2))/(LN(2)/2)*BL69*BO69*VLOOKUP('Données projet'!$B$11,Paramètres!$A$1:$I$89,3,0)*0.475*44/12</f>
        <v>4.5126804481827035E-5</v>
      </c>
      <c r="BS69" s="22">
        <f t="shared" si="63"/>
        <v>16.10941610322444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-3.4106051316484809E-13</v>
      </c>
      <c r="BZ69" s="13">
        <f>BY69*VLOOKUP('Données projet'!$B$12,Paramètres!$A$1:$I$89,3,0)*VLOOKUP('Données projet'!$B$12,Paramètres!$A$1:$I$89,5,0)</f>
        <v>-1.9065282685915009E-13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475.54809021014017</v>
      </c>
      <c r="CE69" s="59">
        <f t="shared" ref="CE69:CE132" si="94">$CE$3</f>
        <v>593.51433014569966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3.598690573152036</v>
      </c>
      <c r="CL69" s="21">
        <f>EXP(-LN(2)/25)*CL68+(1-EXP(-LN(2)/25))/(LN(2)/25)*Calculateur!CG69*Calculateur!CI69*VLOOKUP('Données projet'!$B$12,Paramètres!$A$1:$I$89,3,0)*0.475*44/12</f>
        <v>15.705472377758738</v>
      </c>
      <c r="CM69" s="21">
        <f>EXP(-LN(2)/2)*CM68+(1-EXP(-LN(2)/2))/(LN(2)/2)*CG69*CJ69*VLOOKUP('Données projet'!$B$12,Paramètres!$A$1:$I$89,3,0)*0.475*44/12</f>
        <v>5.5000144061041418E-5</v>
      </c>
      <c r="CN69" s="22">
        <f t="shared" si="66"/>
        <v>19.304217951054838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15.5</v>
      </c>
      <c r="CT69" s="12">
        <f>IF('Données projet'!$A$140&gt;35,CT68+CS69-DB68,IF(A69&lt;'Données projet'!$A$140,$CQ$205^A69,IF(A69='Données projet'!$A$140,'Données projet'!$B$140,CT68+CS69-DB68)))</f>
        <v>361.49999999999989</v>
      </c>
      <c r="CU69" s="17">
        <f>CT69*VLOOKUP('Données projet'!$B$13,Paramètres!$A$1:$I$89,3,0)*VLOOKUP('Données projet'!$B$13,Paramètres!$A$1:$I$89,5,0)</f>
        <v>169.18199999999996</v>
      </c>
      <c r="CV69" s="13">
        <f t="shared" ref="CV69:CV132" si="95">EXP(-1.0587+0.8836*LN(CU69)+0.284)</f>
        <v>42.906767398977124</v>
      </c>
      <c r="CW69" s="20">
        <f t="shared" si="67"/>
        <v>369.38793655321842</v>
      </c>
      <c r="CX69" s="59">
        <f t="shared" si="68"/>
        <v>662.72126988655168</v>
      </c>
      <c r="CY69" s="59">
        <f ca="1">AVERAGE(OFFSET($CX$3,0,0,'Données projet'!$E$13+1,1))-AVERAGE(OFFSET($H$3,0,0,'Données projet'!$E$13+1,1))</f>
        <v>226.0452828290525</v>
      </c>
      <c r="CZ69" s="59">
        <f t="shared" ref="CZ69:CZ132" si="96">$CZ$3</f>
        <v>179.89696397462069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4.4490945166981941</v>
      </c>
      <c r="DG69" s="21">
        <f>EXP(-LN(2)/25)*DG68+(1-EXP(-LN(2)/25))/(LN(2)/25)*Calculateur!DB69*Calculateur!DD69*VLOOKUP('Données projet'!$B$13,Paramètres!$A$1:$I$89,3,0)*0.475*44/12</f>
        <v>4.1100120319054767</v>
      </c>
      <c r="DH69" s="21">
        <f>EXP(-LN(2)/2)*DH68+(1-EXP(-LN(2)/2))/(LN(2)/2)*DB69*DE69*VLOOKUP('Données projet'!$B$13,Paramètres!$A$1:$I$89,3,0)*0.475*44/12</f>
        <v>4.212619264067986E-5</v>
      </c>
      <c r="DI69" s="22">
        <f t="shared" si="69"/>
        <v>8.5591486747963117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1.1368683772161603E-13</v>
      </c>
      <c r="DP69" s="17">
        <f>DO69*VLOOKUP('Données projet'!$B$14,Paramètres!$A$1:$I$89,3,0)*VLOOKUP('Données projet'!$B$14,Paramètres!$A$1:$I$89,5,0)</f>
        <v>6.7984728957526396E-14</v>
      </c>
      <c r="DQ69" s="13">
        <f t="shared" ref="DQ69:DQ132" si="97">EXP(-1.0587+0.8836*LN(DP69)+0.284)</f>
        <v>1.0682447123141398E-12</v>
      </c>
      <c r="DR69" s="20">
        <f t="shared" si="70"/>
        <v>1.978932943548152E-12</v>
      </c>
      <c r="DS69" s="59">
        <f t="shared" si="71"/>
        <v>293.3333333333353</v>
      </c>
      <c r="DT69" s="59">
        <f ca="1">AVERAGE(OFFSET($DS$3,0,0,'Données projet'!$E$14+1,1))-AVERAGE(OFFSET($H$3,0,0,'Données projet'!$E$14+1,1))</f>
        <v>252.81045065813976</v>
      </c>
      <c r="DU69" s="59">
        <f t="shared" ref="DU69:DU132" si="98">$DU$3</f>
        <v>254.36590349790589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8.8502199288378343</v>
      </c>
      <c r="EB69" s="21">
        <f>EXP(-LN(2)/25)*EB68+(1-EXP(-LN(2)/25))/(LN(2)/25)*Calculateur!DW69*Calculateur!DY69*VLOOKUP('Données projet'!$B$14,Paramètres!$A$1:$I$89,3,0)*0.475*44/12</f>
        <v>5.9435226666419982</v>
      </c>
      <c r="EC69" s="21">
        <f>EXP(-LN(2)/2)*EC68+(1-EXP(-LN(2)/2))/(LN(2)/2)*DW69*DZ69*VLOOKUP('Données projet'!$B$14,Paramètres!$A$1:$I$89,3,0)*0.475*44/12</f>
        <v>2.1901640640785266E-5</v>
      </c>
      <c r="ED69" s="22">
        <f t="shared" si="72"/>
        <v>14.793764497120474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5.2</v>
      </c>
      <c r="EJ69" s="12">
        <f>IF('Données projet'!$A$192&gt;35,EJ68+EI69-ER68,IF(A69&lt;'Données projet'!$A$192,$EG$205^A69,IF(A69='Données projet'!$A$192,'Données projet'!$B$192,EJ68+EI69-ER68)))</f>
        <v>345.1999999999997</v>
      </c>
      <c r="EK69" s="17">
        <f>EJ69*VLOOKUP('Données projet'!$B$15,Paramètres!$A$1:$I$89,3,0)*VLOOKUP('Données projet'!$B$15,Paramètres!$A$1:$I$89,5,0)</f>
        <v>253.1006399999998</v>
      </c>
      <c r="EL69" s="13">
        <f t="shared" ref="EL69:EL132" si="99">EXP(-1.0587+0.8836*LN(EK69)+0.284)</f>
        <v>61.249419177028884</v>
      </c>
      <c r="EM69" s="20">
        <f t="shared" si="73"/>
        <v>547.4930197333249</v>
      </c>
      <c r="EN69" s="59">
        <f t="shared" si="74"/>
        <v>840.82635306665816</v>
      </c>
      <c r="EO69" s="59">
        <f ca="1">AVERAGE(OFFSET($EN$3,0,0,'Données projet'!$E$15+1,1))-AVERAGE(OFFSET($H$3,0,0,'Données projet'!$E$15+1,1))</f>
        <v>296.91321813251051</v>
      </c>
      <c r="EP69" s="59">
        <f t="shared" ref="EP69:EP132" si="100">$EP$3</f>
        <v>291.0718079639509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6.3459572206108978</v>
      </c>
      <c r="EW69" s="21">
        <f>EXP(-LN(2)/25)*EW68+(1-EXP(-LN(2)/25))/(LN(2)/25)*Calculateur!ER69*Calculateur!ET69*VLOOKUP('Données projet'!$B$15,Paramètres!$A$1:$I$89,3,0)*0.475*44/12</f>
        <v>5.698822188691631</v>
      </c>
      <c r="EX69" s="21">
        <f>EXP(-LN(2)/2)*EX68+(1-EXP(-LN(2)/2))/(LN(2)/2)*ER69*EU69*VLOOKUP('Données projet'!$B$15,Paramètres!$A$1:$I$89,3,0)*0.475*44/12</f>
        <v>4.1587447267566191E-5</v>
      </c>
      <c r="EY69" s="22">
        <f t="shared" si="75"/>
        <v>12.044820996749795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8.1999999999999993</v>
      </c>
      <c r="FE69" s="12">
        <f>IF('Données projet'!$A$218&gt;35,FE68+FD69-FM68,IF(A69&lt;'Données projet'!$A$218,$FB$205^A69,IF(A69='Données projet'!$A$218,'Données projet'!$B$218,FE68+FD69-FM68)))</f>
        <v>269.2</v>
      </c>
      <c r="FF69" s="17">
        <f>FE69*VLOOKUP('Données projet'!$B$16,Paramètres!$A$1:$I$89,3,0)*VLOOKUP('Données projet'!$B$16,Paramètres!$A$1:$I$89,5,0)</f>
        <v>272.96879999999999</v>
      </c>
      <c r="FG69" s="13">
        <f t="shared" ref="FG69:FG132" si="101">EXP(-1.0587+0.8836*LN(FF69)+0.284)</f>
        <v>65.478922017818945</v>
      </c>
      <c r="FH69" s="20">
        <f t="shared" si="76"/>
        <v>589.46311584770126</v>
      </c>
      <c r="FI69" s="59">
        <f t="shared" si="77"/>
        <v>882.79644918103463</v>
      </c>
      <c r="FJ69" s="59">
        <f ca="1">AVERAGE(OFFSET($FI$3,0,0,'Données projet'!$E$16+1,1))-AVERAGE(OFFSET($H$3,0,0,'Données projet'!$E$16+1,1))</f>
        <v>356.65981389369125</v>
      </c>
      <c r="FK69" s="59">
        <f t="shared" ref="FK69:FK132" si="102">$FK$3</f>
        <v>231.92898690465887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4.0149437633557499</v>
      </c>
      <c r="FR69" s="21">
        <f>EXP(-LN(2)/25)*FR68+(1-EXP(-LN(2)/25))/(LN(2)/25)*Calculateur!FM69*Calculateur!FO69*VLOOKUP('Données projet'!$B$16,Paramètres!$A$1:$I$89,3,0)*0.475*44/12</f>
        <v>3.8681125770670004</v>
      </c>
      <c r="FS69" s="21">
        <f>EXP(-LN(2)/2)*FS68+(1-EXP(-LN(2)/2))/(LN(2)/2)*FM69*FP69*VLOOKUP('Données projet'!$B$16,Paramètres!$A$1:$I$89,3,0)*0.475*44/12</f>
        <v>3.6487192502972233E-5</v>
      </c>
      <c r="FT69" s="22">
        <f t="shared" si="78"/>
        <v>7.8830928276152532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8.1999999999999993</v>
      </c>
      <c r="FZ69" s="12">
        <f>IF('Données projet'!$A$244&gt;35,FZ68+FY69-GH68,IF(A69&lt;'Données projet'!$A$244,$FW$205^A69,IF(A69='Données projet'!$A$244,'Données projet'!$B$244,FZ68+FY69-GH68)))</f>
        <v>269.2</v>
      </c>
      <c r="GA69" s="17">
        <f>FZ69*VLOOKUP('Données projet'!$B$17,Paramètres!$A$1:$I$89,3,0)*VLOOKUP('Données projet'!$B$17,Paramètres!$A$1:$I$89,5,0)</f>
        <v>260.37024000000002</v>
      </c>
      <c r="GB69" s="13">
        <f t="shared" ref="GB69:GB132" si="103">EXP(-1.0587+0.8836*LN(GA69)+0.284)</f>
        <v>62.801291625234725</v>
      </c>
      <c r="GC69" s="20">
        <f t="shared" si="79"/>
        <v>562.85708424728386</v>
      </c>
      <c r="GD69" s="59">
        <f t="shared" si="80"/>
        <v>856.19041758061712</v>
      </c>
      <c r="GE69" s="59">
        <f ca="1">AVERAGE(OFFSET($GD$3,0,0,'Données projet'!$E$17+1,1))-AVERAGE(OFFSET($H$3,0,0,'Données projet'!$E$17+1,1))</f>
        <v>337.76140497227715</v>
      </c>
      <c r="GF69" s="59">
        <f t="shared" ref="GF69:GF132" si="104">$GF$3</f>
        <v>219.76562717496353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3.8296386665854829</v>
      </c>
      <c r="GM69" s="21">
        <f>EXP(-LN(2)/25)*GM68+(1-EXP(-LN(2)/25))/(LN(2)/25)*Calculateur!GH69*Calculateur!GJ69*VLOOKUP('Données projet'!$B$17,Paramètres!$A$1:$I$89,3,0)*0.475*44/12</f>
        <v>3.689584304279292</v>
      </c>
      <c r="GN69" s="21">
        <f>EXP(-LN(2)/2)*GN68+(1-EXP(-LN(2)/2))/(LN(2)/2)*GH69*GK69*VLOOKUP('Données projet'!$B$17,Paramètres!$A$1:$I$89,3,0)*0.475*44/12</f>
        <v>3.4803168233604292E-5</v>
      </c>
      <c r="GO69" s="21">
        <f t="shared" si="81"/>
        <v>7.519257774033008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277.39999999999998</v>
      </c>
      <c r="O70" s="13">
        <f>N70*VLOOKUP('Données projet'!$B$9,Paramètres!$A$1:$I$89,3,0)*VLOOKUP('Données projet'!$B$9,Paramètres!$A$1:$I$89,5,0)</f>
        <v>250.99151999999995</v>
      </c>
      <c r="P70" s="13">
        <f t="shared" si="87"/>
        <v>60.798211000769406</v>
      </c>
      <c r="Q70" s="20">
        <f t="shared" si="54"/>
        <v>543.03378149300659</v>
      </c>
      <c r="R70" s="59">
        <f t="shared" si="55"/>
        <v>836.36711482633996</v>
      </c>
      <c r="S70" s="59">
        <f ca="1">AVERAGE(OFFSET($R$3,0,0,'Données projet'!$E$9+1,1))-AVERAGE(OFFSET($H$3,0,0,'Données projet'!$E$9+1,1))</f>
        <v>312.53389584272878</v>
      </c>
      <c r="T70" s="59">
        <f t="shared" si="88"/>
        <v>203.5274665601915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3.5123132857192818</v>
      </c>
      <c r="AA70" s="21">
        <f>EXP(-LN(2)/25)*AA69+(1-EXP(-LN(2)/25))/(LN(2)/25)*Calculateur!V70*Calculateur!X70*VLOOKUP('Données projet'!$B$9,Paramètres!$A$1:$I$89,3,0)*0.475*44/12</f>
        <v>3.3571638837453883</v>
      </c>
      <c r="AB70" s="21">
        <f>EXP(-LN(2)/2)*AB69+(1-EXP(-LN(2)/2))/(LN(2)/2)*V70*Y70*VLOOKUP('Données projet'!$B$9,Paramètres!$A$1:$I$89,3,0)*0.475*44/12</f>
        <v>2.3021842957354095E-5</v>
      </c>
      <c r="AC70" s="22">
        <f t="shared" si="57"/>
        <v>6.869500191307627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5.6843418860808015E-14</v>
      </c>
      <c r="AJ70" s="13">
        <f>AI70*VLOOKUP('Données projet'!$B$10,Paramètres!$A$1:$I$89,3,0)*VLOOKUP('Données projet'!$B$10,Paramètres!$A$1:$I$89,5,0)</f>
        <v>4.9658410716801891E-14</v>
      </c>
      <c r="AK70" s="13">
        <f t="shared" si="89"/>
        <v>8.0934058173791862E-13</v>
      </c>
      <c r="AL70" s="20">
        <f t="shared" si="58"/>
        <v>1.4960899118586383E-12</v>
      </c>
      <c r="AM70" s="59">
        <f t="shared" si="59"/>
        <v>293.33333333333479</v>
      </c>
      <c r="AN70" s="59">
        <f ca="1">AVERAGE(OFFSET($AM$3,0,0,'Données projet'!$E$10+1,1))-AVERAGE(OFFSET($H$3,0,0,'Données projet'!$E$10+1,1))</f>
        <v>243.05628303465238</v>
      </c>
      <c r="AO70" s="59">
        <f t="shared" si="90"/>
        <v>352.47096767658394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3.7941237435846631</v>
      </c>
      <c r="AV70" s="21">
        <f>EXP(-LN(2)/25)*AV69+(1-EXP(-LN(2)/25))/(LN(2)/25)*Calculateur!AQ70*Calculateur!AS70*VLOOKUP('Données projet'!$B$10,Paramètres!$A$1:$I$89,3,0)*0.475*44/12</f>
        <v>6.4951278273474111</v>
      </c>
      <c r="AW70" s="21">
        <f>EXP(-LN(2)/2)*AW69+(1-EXP(-LN(2)/2))/(LN(2)/2)*AQ70*AT70*VLOOKUP('Données projet'!$B$10,Paramètres!$A$1:$I$89,3,0)*0.475*44/12</f>
        <v>3.0408224783338157E-5</v>
      </c>
      <c r="AX70" s="21">
        <f t="shared" si="60"/>
        <v>10.289281979156856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5.2</v>
      </c>
      <c r="BD70" s="12">
        <f>IF('Données projet'!$A$88&gt;35,BD69+BC70-BL69,IF(A70&lt;'Données projet'!$A$88,$BA$205^A70,IF(A70='Données projet'!$A$88,'Données projet'!$B$88,BD69+BC70-BL69)))</f>
        <v>350.39999999999969</v>
      </c>
      <c r="BE70" s="13">
        <f>BD70*VLOOKUP('Données projet'!$B$11,Paramètres!$A$1:$I$89,3,0)*VLOOKUP('Données projet'!$B$11,Paramètres!$A$1:$I$89,5,0)</f>
        <v>278.77823999999976</v>
      </c>
      <c r="BF70" s="13">
        <f t="shared" si="91"/>
        <v>66.70875019643654</v>
      </c>
      <c r="BG70" s="20">
        <f t="shared" si="61"/>
        <v>601.7231745921265</v>
      </c>
      <c r="BH70" s="59">
        <f t="shared" si="62"/>
        <v>895.05650792545975</v>
      </c>
      <c r="BI70" s="59">
        <f ca="1">AVERAGE(OFFSET($BH$3,0,0,'Données projet'!$E$11+1,1))-AVERAGE(OFFSET($H$3,0,0,'Données projet'!$E$11+1,1))</f>
        <v>325.72928944930294</v>
      </c>
      <c r="BJ70" s="59">
        <f t="shared" si="92"/>
        <v>318.38876834819752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8.3210094507965593</v>
      </c>
      <c r="BQ70" s="21">
        <f>EXP(-LN(2)/25)*BQ69+(1-EXP(-LN(2)/25))/(LN(2)/25)*Calculateur!BL70*Calculateur!BN70*VLOOKUP('Données projet'!$B$11,Paramètres!$A$1:$I$89,3,0)*0.475*44/12</f>
        <v>7.4135059241336423</v>
      </c>
      <c r="BR70" s="21">
        <f>EXP(-LN(2)/2)*BR69+(1-EXP(-LN(2)/2))/(LN(2)/2)*BL70*BO70*VLOOKUP('Données projet'!$B$11,Paramètres!$A$1:$I$89,3,0)*0.475*44/12</f>
        <v>3.1909469462379381E-5</v>
      </c>
      <c r="BS70" s="22">
        <f t="shared" si="63"/>
        <v>15.734547284399664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-3.4106051316484809E-13</v>
      </c>
      <c r="BZ70" s="13">
        <f>BY70*VLOOKUP('Données projet'!$B$12,Paramètres!$A$1:$I$89,3,0)*VLOOKUP('Données projet'!$B$12,Paramètres!$A$1:$I$89,5,0)</f>
        <v>-1.9065282685915009E-13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475.54809021014017</v>
      </c>
      <c r="CE70" s="59">
        <f t="shared" si="94"/>
        <v>593.51433014569966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3.5281224459970373</v>
      </c>
      <c r="CL70" s="21">
        <f>EXP(-LN(2)/25)*CL69+(1-EXP(-LN(2)/25))/(LN(2)/25)*Calculateur!CG70*Calculateur!CI70*VLOOKUP('Données projet'!$B$12,Paramètres!$A$1:$I$89,3,0)*0.475*44/12</f>
        <v>15.276005409674029</v>
      </c>
      <c r="CM70" s="21">
        <f>EXP(-LN(2)/2)*CM69+(1-EXP(-LN(2)/2))/(LN(2)/2)*CG70*CJ70*VLOOKUP('Données projet'!$B$12,Paramètres!$A$1:$I$89,3,0)*0.475*44/12</f>
        <v>3.8890974831799405E-5</v>
      </c>
      <c r="CN70" s="22">
        <f t="shared" si="66"/>
        <v>18.804166746645897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15.5</v>
      </c>
      <c r="CT70" s="12">
        <f>IF('Données projet'!$A$140&gt;35,CT69+CS70-DB69,IF(A70&lt;'Données projet'!$A$140,$CQ$205^A70,IF(A70='Données projet'!$A$140,'Données projet'!$B$140,CT69+CS70-DB69)))</f>
        <v>376.99999999999989</v>
      </c>
      <c r="CU70" s="17">
        <f>CT70*VLOOKUP('Données projet'!$B$13,Paramètres!$A$1:$I$89,3,0)*VLOOKUP('Données projet'!$B$13,Paramètres!$A$1:$I$89,5,0)</f>
        <v>176.43599999999992</v>
      </c>
      <c r="CV70" s="13">
        <f t="shared" si="95"/>
        <v>44.52834129105058</v>
      </c>
      <c r="CW70" s="20">
        <f t="shared" si="67"/>
        <v>384.84622774857962</v>
      </c>
      <c r="CX70" s="59">
        <f t="shared" si="68"/>
        <v>678.17956108191288</v>
      </c>
      <c r="CY70" s="59">
        <f ca="1">AVERAGE(OFFSET($CX$3,0,0,'Données projet'!$E$13+1,1))-AVERAGE(OFFSET($H$3,0,0,'Données projet'!$E$13+1,1))</f>
        <v>226.0452828290525</v>
      </c>
      <c r="CZ70" s="59">
        <f t="shared" si="96"/>
        <v>179.89696397462069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4.3618504869054444</v>
      </c>
      <c r="DG70" s="21">
        <f>EXP(-LN(2)/25)*DG69+(1-EXP(-LN(2)/25))/(LN(2)/25)*Calculateur!DB70*Calculateur!DD70*VLOOKUP('Données projet'!$B$13,Paramètres!$A$1:$I$89,3,0)*0.475*44/12</f>
        <v>3.9976235367568824</v>
      </c>
      <c r="DH70" s="21">
        <f>EXP(-LN(2)/2)*DH69+(1-EXP(-LN(2)/2))/(LN(2)/2)*DB70*DE70*VLOOKUP('Données projet'!$B$13,Paramètres!$A$1:$I$89,3,0)*0.475*44/12</f>
        <v>2.9787716481795566E-5</v>
      </c>
      <c r="DI70" s="22">
        <f t="shared" si="69"/>
        <v>8.3595038113788078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1.1368683772161603E-13</v>
      </c>
      <c r="DP70" s="17">
        <f>DO70*VLOOKUP('Données projet'!$B$14,Paramètres!$A$1:$I$89,3,0)*VLOOKUP('Données projet'!$B$14,Paramètres!$A$1:$I$89,5,0)</f>
        <v>6.7984728957526396E-14</v>
      </c>
      <c r="DQ70" s="13">
        <f t="shared" si="97"/>
        <v>1.0682447123141398E-12</v>
      </c>
      <c r="DR70" s="20">
        <f t="shared" si="70"/>
        <v>1.978932943548152E-12</v>
      </c>
      <c r="DS70" s="59">
        <f t="shared" si="71"/>
        <v>293.3333333333353</v>
      </c>
      <c r="DT70" s="59">
        <f ca="1">AVERAGE(OFFSET($DS$3,0,0,'Données projet'!$E$14+1,1))-AVERAGE(OFFSET($H$3,0,0,'Données projet'!$E$14+1,1))</f>
        <v>252.81045065813976</v>
      </c>
      <c r="DU70" s="59">
        <f t="shared" si="98"/>
        <v>254.36590349790589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8.6766725141344629</v>
      </c>
      <c r="EB70" s="21">
        <f>EXP(-LN(2)/25)*EB69+(1-EXP(-LN(2)/25))/(LN(2)/25)*Calculateur!DW70*Calculateur!DY70*VLOOKUP('Données projet'!$B$14,Paramètres!$A$1:$I$89,3,0)*0.475*44/12</f>
        <v>5.7809967267664</v>
      </c>
      <c r="EC70" s="21">
        <f>EXP(-LN(2)/2)*EC69+(1-EXP(-LN(2)/2))/(LN(2)/2)*DW70*DZ70*VLOOKUP('Données projet'!$B$14,Paramètres!$A$1:$I$89,3,0)*0.475*44/12</f>
        <v>1.5486798616210144E-5</v>
      </c>
      <c r="ED70" s="22">
        <f t="shared" si="72"/>
        <v>14.45768472769948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5.2</v>
      </c>
      <c r="EJ70" s="12">
        <f>IF('Données projet'!$A$192&gt;35,EJ69+EI70-ER69,IF(A70&lt;'Données projet'!$A$192,$EG$205^A70,IF(A70='Données projet'!$A$192,'Données projet'!$B$192,EJ69+EI70-ER69)))</f>
        <v>350.39999999999969</v>
      </c>
      <c r="EK70" s="17">
        <f>EJ70*VLOOKUP('Données projet'!$B$15,Paramètres!$A$1:$I$89,3,0)*VLOOKUP('Données projet'!$B$15,Paramètres!$A$1:$I$89,5,0)</f>
        <v>256.91327999999976</v>
      </c>
      <c r="EL70" s="13">
        <f t="shared" si="99"/>
        <v>62.063957347667916</v>
      </c>
      <c r="EM70" s="20">
        <f t="shared" si="73"/>
        <v>555.55202171385451</v>
      </c>
      <c r="EN70" s="59">
        <f t="shared" si="74"/>
        <v>848.88535504718789</v>
      </c>
      <c r="EO70" s="59">
        <f ca="1">AVERAGE(OFFSET($EN$3,0,0,'Données projet'!$E$15+1,1))-AVERAGE(OFFSET($H$3,0,0,'Données projet'!$E$15+1,1))</f>
        <v>296.91321813251051</v>
      </c>
      <c r="EP70" s="59">
        <f t="shared" si="100"/>
        <v>291.0718079639509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6.2215168701664272</v>
      </c>
      <c r="EW70" s="21">
        <f>EXP(-LN(2)/25)*EW69+(1-EXP(-LN(2)/25))/(LN(2)/25)*Calculateur!ER70*Calculateur!ET70*VLOOKUP('Données projet'!$B$15,Paramètres!$A$1:$I$89,3,0)*0.475*44/12</f>
        <v>5.5429875962538242</v>
      </c>
      <c r="EX70" s="21">
        <f>EXP(-LN(2)/2)*EX69+(1-EXP(-LN(2)/2))/(LN(2)/2)*ER70*EU70*VLOOKUP('Données projet'!$B$15,Paramètres!$A$1:$I$89,3,0)*0.475*44/12</f>
        <v>2.9406765975134011E-5</v>
      </c>
      <c r="EY70" s="22">
        <f t="shared" si="75"/>
        <v>11.764533873186227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8.1999999999999993</v>
      </c>
      <c r="FE70" s="12">
        <f>IF('Données projet'!$A$218&gt;35,FE69+FD70-FM69,IF(A70&lt;'Données projet'!$A$218,$FB$205^A70,IF(A70='Données projet'!$A$218,'Données projet'!$B$218,FE69+FD70-FM69)))</f>
        <v>277.39999999999998</v>
      </c>
      <c r="FF70" s="17">
        <f>FE70*VLOOKUP('Données projet'!$B$16,Paramètres!$A$1:$I$89,3,0)*VLOOKUP('Données projet'!$B$16,Paramètres!$A$1:$I$89,5,0)</f>
        <v>281.28360000000004</v>
      </c>
      <c r="FG70" s="13">
        <f t="shared" si="101"/>
        <v>67.238198209347928</v>
      </c>
      <c r="FH70" s="20">
        <f t="shared" si="76"/>
        <v>607.00879854794766</v>
      </c>
      <c r="FI70" s="59">
        <f t="shared" si="77"/>
        <v>900.34213188128092</v>
      </c>
      <c r="FJ70" s="59">
        <f ca="1">AVERAGE(OFFSET($FI$3,0,0,'Données projet'!$E$16+1,1))-AVERAGE(OFFSET($H$3,0,0,'Données projet'!$E$16+1,1))</f>
        <v>356.65981389369125</v>
      </c>
      <c r="FK70" s="59">
        <f t="shared" si="102"/>
        <v>231.92898690465887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3.936213165030233</v>
      </c>
      <c r="FR70" s="21">
        <f>EXP(-LN(2)/25)*FR69+(1-EXP(-LN(2)/25))/(LN(2)/25)*Calculateur!FM70*Calculateur!FO70*VLOOKUP('Données projet'!$B$16,Paramètres!$A$1:$I$89,3,0)*0.475*44/12</f>
        <v>3.7623388352319034</v>
      </c>
      <c r="FS70" s="21">
        <f>EXP(-LN(2)/2)*FS69+(1-EXP(-LN(2)/2))/(LN(2)/2)*FM70*FP70*VLOOKUP('Données projet'!$B$16,Paramètres!$A$1:$I$89,3,0)*0.475*44/12</f>
        <v>2.5800341245310624E-5</v>
      </c>
      <c r="FT70" s="22">
        <f t="shared" si="78"/>
        <v>7.698577800603382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8.1999999999999993</v>
      </c>
      <c r="FZ70" s="12">
        <f>IF('Données projet'!$A$244&gt;35,FZ69+FY70-GH69,IF(A70&lt;'Données projet'!$A$244,$FW$205^A70,IF(A70='Données projet'!$A$244,'Données projet'!$B$244,FZ69+FY70-GH69)))</f>
        <v>277.39999999999998</v>
      </c>
      <c r="GA70" s="17">
        <f>FZ70*VLOOKUP('Données projet'!$B$17,Paramètres!$A$1:$I$89,3,0)*VLOOKUP('Données projet'!$B$17,Paramètres!$A$1:$I$89,5,0)</f>
        <v>268.30127999999996</v>
      </c>
      <c r="GB70" s="13">
        <f t="shared" si="103"/>
        <v>64.488625713042012</v>
      </c>
      <c r="GC70" s="20">
        <f t="shared" si="79"/>
        <v>579.60908578354815</v>
      </c>
      <c r="GD70" s="59">
        <f t="shared" si="80"/>
        <v>872.94241911688141</v>
      </c>
      <c r="GE70" s="59">
        <f ca="1">AVERAGE(OFFSET($GD$3,0,0,'Données projet'!$E$17+1,1))-AVERAGE(OFFSET($H$3,0,0,'Données projet'!$E$17+1,1))</f>
        <v>337.76140497227715</v>
      </c>
      <c r="GF70" s="59">
        <f t="shared" si="104"/>
        <v>219.76562717496353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3.7545417881826824</v>
      </c>
      <c r="GM70" s="21">
        <f>EXP(-LN(2)/25)*GM69+(1-EXP(-LN(2)/25))/(LN(2)/25)*Calculateur!GH70*Calculateur!GJ70*VLOOKUP('Données projet'!$B$17,Paramètres!$A$1:$I$89,3,0)*0.475*44/12</f>
        <v>3.5886924274519689</v>
      </c>
      <c r="GN70" s="21">
        <f>EXP(-LN(2)/2)*GN69+(1-EXP(-LN(2)/2))/(LN(2)/2)*GH70*GK70*VLOOKUP('Données projet'!$B$17,Paramètres!$A$1:$I$89,3,0)*0.475*44/12</f>
        <v>2.4609556264757832E-5</v>
      </c>
      <c r="GO70" s="21">
        <f t="shared" si="81"/>
        <v>7.3432588251909161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285.59999999999997</v>
      </c>
      <c r="O71" s="13">
        <f>N71*VLOOKUP('Données projet'!$B$9,Paramètres!$A$1:$I$89,3,0)*VLOOKUP('Données projet'!$B$9,Paramètres!$A$1:$I$89,5,0)</f>
        <v>258.41087999999996</v>
      </c>
      <c r="P71" s="13">
        <f t="shared" si="87"/>
        <v>62.383521020316756</v>
      </c>
      <c r="Q71" s="20">
        <f t="shared" si="54"/>
        <v>558.71691511038489</v>
      </c>
      <c r="R71" s="59">
        <f t="shared" si="55"/>
        <v>852.05024844371815</v>
      </c>
      <c r="S71" s="59">
        <f ca="1">AVERAGE(OFFSET($R$3,0,0,'Données projet'!$E$9+1,1))-AVERAGE(OFFSET($H$3,0,0,'Données projet'!$E$9+1,1))</f>
        <v>312.53389584272878</v>
      </c>
      <c r="T71" s="59">
        <f t="shared" si="88"/>
        <v>203.5274665601915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3.4434389644858965</v>
      </c>
      <c r="AA71" s="21">
        <f>EXP(-LN(2)/25)*AA70+(1-EXP(-LN(2)/25))/(LN(2)/25)*Calculateur!V71*Calculateur!X71*VLOOKUP('Données projet'!$B$9,Paramètres!$A$1:$I$89,3,0)*0.475*44/12</f>
        <v>3.265362060798795</v>
      </c>
      <c r="AB71" s="21">
        <f>EXP(-LN(2)/2)*AB70+(1-EXP(-LN(2)/2))/(LN(2)/2)*V71*Y71*VLOOKUP('Données projet'!$B$9,Paramètres!$A$1:$I$89,3,0)*0.475*44/12</f>
        <v>1.6278901270556842E-5</v>
      </c>
      <c r="AC71" s="22">
        <f t="shared" si="57"/>
        <v>6.7088173041859616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5.6843418860808015E-14</v>
      </c>
      <c r="AJ71" s="13">
        <f>AI71*VLOOKUP('Données projet'!$B$10,Paramètres!$A$1:$I$89,3,0)*VLOOKUP('Données projet'!$B$10,Paramètres!$A$1:$I$89,5,0)</f>
        <v>4.9658410716801891E-14</v>
      </c>
      <c r="AK71" s="13">
        <f t="shared" si="89"/>
        <v>8.0934058173791862E-13</v>
      </c>
      <c r="AL71" s="20">
        <f t="shared" si="58"/>
        <v>1.4960899118586383E-12</v>
      </c>
      <c r="AM71" s="59">
        <f t="shared" si="59"/>
        <v>293.33333333333479</v>
      </c>
      <c r="AN71" s="59">
        <f ca="1">AVERAGE(OFFSET($AM$3,0,0,'Données projet'!$E$10+1,1))-AVERAGE(OFFSET($H$3,0,0,'Données projet'!$E$10+1,1))</f>
        <v>243.05628303465238</v>
      </c>
      <c r="AO71" s="59">
        <f t="shared" si="90"/>
        <v>352.47096767658394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3.7197232911599443</v>
      </c>
      <c r="AV71" s="21">
        <f>EXP(-LN(2)/25)*AV70+(1-EXP(-LN(2)/25))/(LN(2)/25)*Calculateur!AQ71*Calculateur!AS71*VLOOKUP('Données projet'!$B$10,Paramètres!$A$1:$I$89,3,0)*0.475*44/12</f>
        <v>6.317518215344669</v>
      </c>
      <c r="AW71" s="21">
        <f>EXP(-LN(2)/2)*AW70+(1-EXP(-LN(2)/2))/(LN(2)/2)*AQ71*AT71*VLOOKUP('Données projet'!$B$10,Paramètres!$A$1:$I$89,3,0)*0.475*44/12</f>
        <v>2.1501861948143248E-5</v>
      </c>
      <c r="AX71" s="21">
        <f t="shared" si="60"/>
        <v>10.037263008366562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5.2</v>
      </c>
      <c r="BD71" s="12">
        <f>IF('Données projet'!$A$88&gt;35,BD70+BC71-BL70,IF(A71&lt;'Données projet'!$A$88,$BA$205^A71,IF(A71='Données projet'!$A$88,'Données projet'!$B$88,BD70+BC71-BL70)))</f>
        <v>355.59999999999968</v>
      </c>
      <c r="BE71" s="13">
        <f>BD71*VLOOKUP('Données projet'!$B$11,Paramètres!$A$1:$I$89,3,0)*VLOOKUP('Données projet'!$B$11,Paramètres!$A$1:$I$89,5,0)</f>
        <v>282.91535999999979</v>
      </c>
      <c r="BF71" s="13">
        <f t="shared" si="91"/>
        <v>67.582736351531807</v>
      </c>
      <c r="BG71" s="20">
        <f t="shared" si="61"/>
        <v>610.45085114558412</v>
      </c>
      <c r="BH71" s="59">
        <f t="shared" si="62"/>
        <v>903.7841844789175</v>
      </c>
      <c r="BI71" s="59">
        <f ca="1">AVERAGE(OFFSET($BH$3,0,0,'Données projet'!$E$11+1,1))-AVERAGE(OFFSET($H$3,0,0,'Données projet'!$E$11+1,1))</f>
        <v>325.72928944930294</v>
      </c>
      <c r="BJ71" s="59">
        <f t="shared" si="92"/>
        <v>318.38876834819752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8.1578395307810574</v>
      </c>
      <c r="BQ71" s="21">
        <f>EXP(-LN(2)/25)*BQ70+(1-EXP(-LN(2)/25))/(LN(2)/25)*Calculateur!BL71*Calculateur!BN71*VLOOKUP('Données projet'!$B$11,Paramètres!$A$1:$I$89,3,0)*0.475*44/12</f>
        <v>7.2107832147788749</v>
      </c>
      <c r="BR71" s="21">
        <f>EXP(-LN(2)/2)*BR70+(1-EXP(-LN(2)/2))/(LN(2)/2)*BL71*BO71*VLOOKUP('Données projet'!$B$11,Paramètres!$A$1:$I$89,3,0)*0.475*44/12</f>
        <v>2.2563402240913518E-5</v>
      </c>
      <c r="BS71" s="22">
        <f t="shared" si="63"/>
        <v>15.368645308962174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-3.4106051316484809E-13</v>
      </c>
      <c r="BZ71" s="13">
        <f>BY71*VLOOKUP('Données projet'!$B$12,Paramètres!$A$1:$I$89,3,0)*VLOOKUP('Données projet'!$B$12,Paramètres!$A$1:$I$89,5,0)</f>
        <v>-1.9065282685915009E-13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475.54809021014017</v>
      </c>
      <c r="CE71" s="59">
        <f t="shared" si="94"/>
        <v>593.51433014569966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3.4589381167732407</v>
      </c>
      <c r="CL71" s="21">
        <f>EXP(-LN(2)/25)*CL70+(1-EXP(-LN(2)/25))/(LN(2)/25)*Calculateur!CG71*Calculateur!CI71*VLOOKUP('Données projet'!$B$12,Paramètres!$A$1:$I$89,3,0)*0.475*44/12</f>
        <v>14.858282238416283</v>
      </c>
      <c r="CM71" s="21">
        <f>EXP(-LN(2)/2)*CM70+(1-EXP(-LN(2)/2))/(LN(2)/2)*CG71*CJ71*VLOOKUP('Données projet'!$B$12,Paramètres!$A$1:$I$89,3,0)*0.475*44/12</f>
        <v>2.7500072030520709E-5</v>
      </c>
      <c r="CN71" s="22">
        <f t="shared" si="66"/>
        <v>18.317247855261552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15.5</v>
      </c>
      <c r="CT71" s="12">
        <f>IF('Données projet'!$A$140&gt;35,CT70+CS71-DB70,IF(A71&lt;'Données projet'!$A$140,$CQ$205^A71,IF(A71='Données projet'!$A$140,'Données projet'!$B$140,CT70+CS71-DB70)))</f>
        <v>392.49999999999989</v>
      </c>
      <c r="CU71" s="17">
        <f>CT71*VLOOKUP('Données projet'!$B$13,Paramètres!$A$1:$I$89,3,0)*VLOOKUP('Données projet'!$B$13,Paramètres!$A$1:$I$89,5,0)</f>
        <v>183.68999999999994</v>
      </c>
      <c r="CV71" s="13">
        <f t="shared" si="95"/>
        <v>46.14217109072662</v>
      </c>
      <c r="CW71" s="20">
        <f t="shared" si="67"/>
        <v>400.29103131634878</v>
      </c>
      <c r="CX71" s="59">
        <f t="shared" si="68"/>
        <v>693.62436464968209</v>
      </c>
      <c r="CY71" s="59">
        <f ca="1">AVERAGE(OFFSET($CX$3,0,0,'Données projet'!$E$13+1,1))-AVERAGE(OFFSET($H$3,0,0,'Données projet'!$E$13+1,1))</f>
        <v>226.0452828290525</v>
      </c>
      <c r="CZ71" s="59">
        <f t="shared" si="96"/>
        <v>179.89696397462069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4.2763172593233261</v>
      </c>
      <c r="DG71" s="21">
        <f>EXP(-LN(2)/25)*DG70+(1-EXP(-LN(2)/25))/(LN(2)/25)*Calculateur!DB71*Calculateur!DD71*VLOOKUP('Données projet'!$B$13,Paramètres!$A$1:$I$89,3,0)*0.475*44/12</f>
        <v>3.8883083109183803</v>
      </c>
      <c r="DH71" s="21">
        <f>EXP(-LN(2)/2)*DH70+(1-EXP(-LN(2)/2))/(LN(2)/2)*DB71*DE71*VLOOKUP('Données projet'!$B$13,Paramètres!$A$1:$I$89,3,0)*0.475*44/12</f>
        <v>2.1063096320339933E-5</v>
      </c>
      <c r="DI71" s="22">
        <f t="shared" si="69"/>
        <v>8.1646466333380268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1.1368683772161603E-13</v>
      </c>
      <c r="DP71" s="17">
        <f>DO71*VLOOKUP('Données projet'!$B$14,Paramètres!$A$1:$I$89,3,0)*VLOOKUP('Données projet'!$B$14,Paramètres!$A$1:$I$89,5,0)</f>
        <v>6.7984728957526396E-14</v>
      </c>
      <c r="DQ71" s="13">
        <f t="shared" si="97"/>
        <v>1.0682447123141398E-12</v>
      </c>
      <c r="DR71" s="20">
        <f t="shared" si="70"/>
        <v>1.978932943548152E-12</v>
      </c>
      <c r="DS71" s="59">
        <f t="shared" si="71"/>
        <v>293.3333333333353</v>
      </c>
      <c r="DT71" s="59">
        <f ca="1">AVERAGE(OFFSET($DS$3,0,0,'Données projet'!$E$14+1,1))-AVERAGE(OFFSET($H$3,0,0,'Données projet'!$E$14+1,1))</f>
        <v>252.81045065813976</v>
      </c>
      <c r="DU71" s="59">
        <f t="shared" si="98"/>
        <v>254.36590349790589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8.5065282583799533</v>
      </c>
      <c r="EB71" s="21">
        <f>EXP(-LN(2)/25)*EB70+(1-EXP(-LN(2)/25))/(LN(2)/25)*Calculateur!DW71*Calculateur!DY71*VLOOKUP('Données projet'!$B$14,Paramètres!$A$1:$I$89,3,0)*0.475*44/12</f>
        <v>5.6229150672635679</v>
      </c>
      <c r="EC71" s="21">
        <f>EXP(-LN(2)/2)*EC70+(1-EXP(-LN(2)/2))/(LN(2)/2)*DW71*DZ71*VLOOKUP('Données projet'!$B$14,Paramètres!$A$1:$I$89,3,0)*0.475*44/12</f>
        <v>1.0950820320392633E-5</v>
      </c>
      <c r="ED71" s="22">
        <f t="shared" si="72"/>
        <v>14.129454276463841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5.2</v>
      </c>
      <c r="EJ71" s="12">
        <f>IF('Données projet'!$A$192&gt;35,EJ70+EI71-ER70,IF(A71&lt;'Données projet'!$A$192,$EG$205^A71,IF(A71='Données projet'!$A$192,'Données projet'!$B$192,EJ70+EI71-ER70)))</f>
        <v>355.59999999999968</v>
      </c>
      <c r="EK71" s="17">
        <f>EJ71*VLOOKUP('Données projet'!$B$15,Paramètres!$A$1:$I$89,3,0)*VLOOKUP('Données projet'!$B$15,Paramètres!$A$1:$I$89,5,0)</f>
        <v>260.72591999999975</v>
      </c>
      <c r="EL71" s="13">
        <f t="shared" si="99"/>
        <v>62.877089647292053</v>
      </c>
      <c r="EM71" s="20">
        <f t="shared" si="73"/>
        <v>563.60857513569988</v>
      </c>
      <c r="EN71" s="59">
        <f t="shared" si="74"/>
        <v>856.94190846903325</v>
      </c>
      <c r="EO71" s="59">
        <f ca="1">AVERAGE(OFFSET($EN$3,0,0,'Données projet'!$E$15+1,1))-AVERAGE(OFFSET($H$3,0,0,'Données projet'!$E$15+1,1))</f>
        <v>296.91321813251051</v>
      </c>
      <c r="EP71" s="59">
        <f t="shared" si="100"/>
        <v>291.0718079639509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6.0995167190930539</v>
      </c>
      <c r="EW71" s="21">
        <f>EXP(-LN(2)/25)*EW70+(1-EXP(-LN(2)/25))/(LN(2)/25)*Calculateur!ER71*Calculateur!ET71*VLOOKUP('Données projet'!$B$15,Paramètres!$A$1:$I$89,3,0)*0.475*44/12</f>
        <v>5.3914143089412141</v>
      </c>
      <c r="EX71" s="21">
        <f>EXP(-LN(2)/2)*EX70+(1-EXP(-LN(2)/2))/(LN(2)/2)*ER71*EU71*VLOOKUP('Données projet'!$B$15,Paramètres!$A$1:$I$89,3,0)*0.475*44/12</f>
        <v>2.0793723633783096E-5</v>
      </c>
      <c r="EY71" s="22">
        <f t="shared" si="75"/>
        <v>11.490951821757902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8.1999999999999993</v>
      </c>
      <c r="FE71" s="12">
        <f>IF('Données projet'!$A$218&gt;35,FE70+FD71-FM70,IF(A71&lt;'Données projet'!$A$218,$FB$205^A71,IF(A71='Données projet'!$A$218,'Données projet'!$B$218,FE70+FD71-FM70)))</f>
        <v>285.59999999999997</v>
      </c>
      <c r="FF71" s="17">
        <f>FE71*VLOOKUP('Données projet'!$B$16,Paramètres!$A$1:$I$89,3,0)*VLOOKUP('Données projet'!$B$16,Paramètres!$A$1:$I$89,5,0)</f>
        <v>289.59839999999997</v>
      </c>
      <c r="FG71" s="13">
        <f t="shared" si="101"/>
        <v>68.991430542388798</v>
      </c>
      <c r="FH71" s="20">
        <f t="shared" si="76"/>
        <v>624.54395486132705</v>
      </c>
      <c r="FI71" s="59">
        <f t="shared" si="77"/>
        <v>917.87728819466042</v>
      </c>
      <c r="FJ71" s="59">
        <f ca="1">AVERAGE(OFFSET($FI$3,0,0,'Données projet'!$E$16+1,1))-AVERAGE(OFFSET($H$3,0,0,'Données projet'!$E$16+1,1))</f>
        <v>356.65981389369125</v>
      </c>
      <c r="FK71" s="59">
        <f t="shared" si="102"/>
        <v>231.92898690465887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3.8590264257169564</v>
      </c>
      <c r="FR71" s="21">
        <f>EXP(-LN(2)/25)*FR70+(1-EXP(-LN(2)/25))/(LN(2)/25)*Calculateur!FM71*Calculateur!FO71*VLOOKUP('Données projet'!$B$16,Paramètres!$A$1:$I$89,3,0)*0.475*44/12</f>
        <v>3.6594574819296866</v>
      </c>
      <c r="FS71" s="21">
        <f>EXP(-LN(2)/2)*FS70+(1-EXP(-LN(2)/2))/(LN(2)/2)*FM71*FP71*VLOOKUP('Données projet'!$B$16,Paramètres!$A$1:$I$89,3,0)*0.475*44/12</f>
        <v>1.8243596251486117E-5</v>
      </c>
      <c r="FT71" s="22">
        <f t="shared" si="78"/>
        <v>7.5185021512428944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8.1999999999999993</v>
      </c>
      <c r="FZ71" s="12">
        <f>IF('Données projet'!$A$244&gt;35,FZ70+FY71-GH70,IF(A71&lt;'Données projet'!$A$244,$FW$205^A71,IF(A71='Données projet'!$A$244,'Données projet'!$B$244,FZ70+FY71-GH70)))</f>
        <v>285.59999999999997</v>
      </c>
      <c r="GA71" s="17">
        <f>FZ71*VLOOKUP('Données projet'!$B$17,Paramètres!$A$1:$I$89,3,0)*VLOOKUP('Données projet'!$B$17,Paramètres!$A$1:$I$89,5,0)</f>
        <v>276.23231999999996</v>
      </c>
      <c r="GB71" s="13">
        <f t="shared" si="103"/>
        <v>66.170163093943458</v>
      </c>
      <c r="GC71" s="20">
        <f t="shared" si="79"/>
        <v>596.35099138861813</v>
      </c>
      <c r="GD71" s="59">
        <f t="shared" si="80"/>
        <v>889.6843247219515</v>
      </c>
      <c r="GE71" s="59">
        <f ca="1">AVERAGE(OFFSET($GD$3,0,0,'Données projet'!$E$17+1,1))-AVERAGE(OFFSET($H$3,0,0,'Données projet'!$E$17+1,1))</f>
        <v>337.76140497227715</v>
      </c>
      <c r="GF71" s="59">
        <f t="shared" si="104"/>
        <v>219.76562717496353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3.6809175137607877</v>
      </c>
      <c r="GM71" s="21">
        <f>EXP(-LN(2)/25)*GM70+(1-EXP(-LN(2)/25))/(LN(2)/25)*Calculateur!GH71*Calculateur!GJ71*VLOOKUP('Données projet'!$B$17,Paramètres!$A$1:$I$89,3,0)*0.475*44/12</f>
        <v>3.4905594443021624</v>
      </c>
      <c r="GN71" s="21">
        <f>EXP(-LN(2)/2)*GN70+(1-EXP(-LN(2)/2))/(LN(2)/2)*GH71*GK71*VLOOKUP('Données projet'!$B$17,Paramètres!$A$1:$I$89,3,0)*0.475*44/12</f>
        <v>1.7401584116802146E-5</v>
      </c>
      <c r="GO71" s="21">
        <f t="shared" si="81"/>
        <v>7.1714943596470668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293.79999999999995</v>
      </c>
      <c r="O72" s="13">
        <f>N72*VLOOKUP('Données projet'!$B$9,Paramètres!$A$1:$I$89,3,0)*VLOOKUP('Données projet'!$B$9,Paramètres!$A$1:$I$89,5,0)</f>
        <v>265.83023999999995</v>
      </c>
      <c r="P72" s="13">
        <f t="shared" si="87"/>
        <v>63.963540982526439</v>
      </c>
      <c r="Q72" s="20">
        <f t="shared" si="54"/>
        <v>574.39083521123348</v>
      </c>
      <c r="R72" s="59">
        <f t="shared" si="55"/>
        <v>867.72416854456674</v>
      </c>
      <c r="S72" s="59">
        <f ca="1">AVERAGE(OFFSET($R$3,0,0,'Données projet'!$E$9+1,1))-AVERAGE(OFFSET($H$3,0,0,'Données projet'!$E$9+1,1))</f>
        <v>312.53389584272878</v>
      </c>
      <c r="T72" s="59">
        <f t="shared" si="88"/>
        <v>203.5274665601915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3.3759152266827099</v>
      </c>
      <c r="AA72" s="21">
        <f>EXP(-LN(2)/25)*AA71+(1-EXP(-LN(2)/25))/(LN(2)/25)*Calculateur!V72*Calculateur!X72*VLOOKUP('Données projet'!$B$9,Paramètres!$A$1:$I$89,3,0)*0.475*44/12</f>
        <v>3.1760705635283242</v>
      </c>
      <c r="AB72" s="21">
        <f>EXP(-LN(2)/2)*AB71+(1-EXP(-LN(2)/2))/(LN(2)/2)*V72*Y72*VLOOKUP('Données projet'!$B$9,Paramètres!$A$1:$I$89,3,0)*0.475*44/12</f>
        <v>1.1510921478677047E-5</v>
      </c>
      <c r="AC72" s="22">
        <f t="shared" si="57"/>
        <v>6.5519973011325137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5.6843418860808015E-14</v>
      </c>
      <c r="AJ72" s="13">
        <f>AI72*VLOOKUP('Données projet'!$B$10,Paramètres!$A$1:$I$89,3,0)*VLOOKUP('Données projet'!$B$10,Paramètres!$A$1:$I$89,5,0)</f>
        <v>4.9658410716801891E-14</v>
      </c>
      <c r="AK72" s="13">
        <f t="shared" si="89"/>
        <v>8.0934058173791862E-13</v>
      </c>
      <c r="AL72" s="20">
        <f t="shared" si="58"/>
        <v>1.4960899118586383E-12</v>
      </c>
      <c r="AM72" s="59">
        <f t="shared" si="59"/>
        <v>293.33333333333479</v>
      </c>
      <c r="AN72" s="59">
        <f ca="1">AVERAGE(OFFSET($AM$3,0,0,'Données projet'!$E$10+1,1))-AVERAGE(OFFSET($H$3,0,0,'Données projet'!$E$10+1,1))</f>
        <v>243.05628303465238</v>
      </c>
      <c r="AO72" s="59">
        <f t="shared" si="90"/>
        <v>352.47096767658394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3.6467817862274794</v>
      </c>
      <c r="AV72" s="21">
        <f>EXP(-LN(2)/25)*AV71+(1-EXP(-LN(2)/25))/(LN(2)/25)*Calculateur!AQ72*Calculateur!AS72*VLOOKUP('Données projet'!$B$10,Paramètres!$A$1:$I$89,3,0)*0.475*44/12</f>
        <v>6.1447653475222248</v>
      </c>
      <c r="AW72" s="21">
        <f>EXP(-LN(2)/2)*AW71+(1-EXP(-LN(2)/2))/(LN(2)/2)*AQ72*AT72*VLOOKUP('Données projet'!$B$10,Paramètres!$A$1:$I$89,3,0)*0.475*44/12</f>
        <v>1.5204112391669082E-5</v>
      </c>
      <c r="AX72" s="21">
        <f t="shared" si="60"/>
        <v>9.7915623378620964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5.2</v>
      </c>
      <c r="BD72" s="12">
        <f>IF('Données projet'!$A$88&gt;35,BD71+BC72-BL71,IF(A72&lt;'Données projet'!$A$88,$BA$205^A72,IF(A72='Données projet'!$A$88,'Données projet'!$B$88,BD71+BC72-BL71)))</f>
        <v>360.79999999999967</v>
      </c>
      <c r="BE72" s="13">
        <f>BD72*VLOOKUP('Données projet'!$B$11,Paramètres!$A$1:$I$89,3,0)*VLOOKUP('Données projet'!$B$11,Paramètres!$A$1:$I$89,5,0)</f>
        <v>287.05247999999978</v>
      </c>
      <c r="BF72" s="13">
        <f t="shared" si="91"/>
        <v>68.455236071606535</v>
      </c>
      <c r="BG72" s="20">
        <f t="shared" si="61"/>
        <v>619.17593882471431</v>
      </c>
      <c r="BH72" s="59">
        <f t="shared" si="62"/>
        <v>912.50927215804768</v>
      </c>
      <c r="BI72" s="59">
        <f ca="1">AVERAGE(OFFSET($BH$3,0,0,'Données projet'!$E$11+1,1))-AVERAGE(OFFSET($H$3,0,0,'Données projet'!$E$11+1,1))</f>
        <v>325.72928944930294</v>
      </c>
      <c r="BJ72" s="59">
        <f t="shared" si="92"/>
        <v>318.38876834819752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7.9978692733732357</v>
      </c>
      <c r="BQ72" s="21">
        <f>EXP(-LN(2)/25)*BQ71+(1-EXP(-LN(2)/25))/(LN(2)/25)*Calculateur!BL72*Calculateur!BN72*VLOOKUP('Données projet'!$B$11,Paramètres!$A$1:$I$89,3,0)*0.475*44/12</f>
        <v>7.0136039685721379</v>
      </c>
      <c r="BR72" s="21">
        <f>EXP(-LN(2)/2)*BR71+(1-EXP(-LN(2)/2))/(LN(2)/2)*BL72*BO72*VLOOKUP('Données projet'!$B$11,Paramètres!$A$1:$I$89,3,0)*0.475*44/12</f>
        <v>1.595473473118969E-5</v>
      </c>
      <c r="BS72" s="22">
        <f t="shared" si="63"/>
        <v>15.011489196680106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-3.4106051316484809E-13</v>
      </c>
      <c r="BZ72" s="13">
        <f>BY72*VLOOKUP('Données projet'!$B$12,Paramètres!$A$1:$I$89,3,0)*VLOOKUP('Données projet'!$B$12,Paramètres!$A$1:$I$89,5,0)</f>
        <v>-1.9065282685915009E-13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475.54809021014017</v>
      </c>
      <c r="CE72" s="59">
        <f t="shared" si="94"/>
        <v>593.51433014569966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3.3911104500472486</v>
      </c>
      <c r="CL72" s="21">
        <f>EXP(-LN(2)/25)*CL71+(1-EXP(-LN(2)/25))/(LN(2)/25)*Calculateur!CG72*Calculateur!CI72*VLOOKUP('Données projet'!$B$12,Paramètres!$A$1:$I$89,3,0)*0.475*44/12</f>
        <v>14.451981729243686</v>
      </c>
      <c r="CM72" s="21">
        <f>EXP(-LN(2)/2)*CM71+(1-EXP(-LN(2)/2))/(LN(2)/2)*CG72*CJ72*VLOOKUP('Données projet'!$B$12,Paramètres!$A$1:$I$89,3,0)*0.475*44/12</f>
        <v>1.9445487415899702E-5</v>
      </c>
      <c r="CN72" s="22">
        <f t="shared" si="66"/>
        <v>17.843111624778352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15.5</v>
      </c>
      <c r="CT72" s="12">
        <f>IF('Données projet'!$A$140&gt;35,CT71+CS72-DB71,IF(A72&lt;'Données projet'!$A$140,$CQ$205^A72,IF(A72='Données projet'!$A$140,'Données projet'!$B$140,CT71+CS72-DB71)))</f>
        <v>407.99999999999989</v>
      </c>
      <c r="CU72" s="17">
        <f>CT72*VLOOKUP('Données projet'!$B$13,Paramètres!$A$1:$I$89,3,0)*VLOOKUP('Données projet'!$B$13,Paramètres!$A$1:$I$89,5,0)</f>
        <v>190.94399999999996</v>
      </c>
      <c r="CV72" s="13">
        <f t="shared" si="95"/>
        <v>47.748597609826554</v>
      </c>
      <c r="CW72" s="20">
        <f t="shared" si="67"/>
        <v>415.72294083711449</v>
      </c>
      <c r="CX72" s="59">
        <f t="shared" si="68"/>
        <v>709.05627417044775</v>
      </c>
      <c r="CY72" s="59">
        <f ca="1">AVERAGE(OFFSET($CX$3,0,0,'Données projet'!$E$13+1,1))-AVERAGE(OFFSET($H$3,0,0,'Données projet'!$E$13+1,1))</f>
        <v>226.0452828290525</v>
      </c>
      <c r="CZ72" s="59">
        <f t="shared" si="96"/>
        <v>179.89696397462069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4.1924612861639758</v>
      </c>
      <c r="DG72" s="21">
        <f>EXP(-LN(2)/25)*DG71+(1-EXP(-LN(2)/25))/(LN(2)/25)*Calculateur!DB72*Calculateur!DD72*VLOOKUP('Données projet'!$B$13,Paramètres!$A$1:$I$89,3,0)*0.475*44/12</f>
        <v>3.7819823156790697</v>
      </c>
      <c r="DH72" s="21">
        <f>EXP(-LN(2)/2)*DH71+(1-EXP(-LN(2)/2))/(LN(2)/2)*DB72*DE72*VLOOKUP('Données projet'!$B$13,Paramètres!$A$1:$I$89,3,0)*0.475*44/12</f>
        <v>1.4893858240897785E-5</v>
      </c>
      <c r="DI72" s="22">
        <f t="shared" si="69"/>
        <v>7.9744584957012865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1.1368683772161603E-13</v>
      </c>
      <c r="DP72" s="17">
        <f>DO72*VLOOKUP('Données projet'!$B$14,Paramètres!$A$1:$I$89,3,0)*VLOOKUP('Données projet'!$B$14,Paramètres!$A$1:$I$89,5,0)</f>
        <v>6.7984728957526396E-14</v>
      </c>
      <c r="DQ72" s="13">
        <f t="shared" si="97"/>
        <v>1.0682447123141398E-12</v>
      </c>
      <c r="DR72" s="20">
        <f t="shared" si="70"/>
        <v>1.978932943548152E-12</v>
      </c>
      <c r="DS72" s="59">
        <f t="shared" si="71"/>
        <v>293.3333333333353</v>
      </c>
      <c r="DT72" s="59">
        <f ca="1">AVERAGE(OFFSET($DS$3,0,0,'Données projet'!$E$14+1,1))-AVERAGE(OFFSET($H$3,0,0,'Données projet'!$E$14+1,1))</f>
        <v>252.81045065813976</v>
      </c>
      <c r="DU72" s="59">
        <f t="shared" si="98"/>
        <v>254.36590349790589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8.3397204277030408</v>
      </c>
      <c r="EB72" s="21">
        <f>EXP(-LN(2)/25)*EB71+(1-EXP(-LN(2)/25))/(LN(2)/25)*Calculateur!DW72*Calculateur!DY72*VLOOKUP('Données projet'!$B$14,Paramètres!$A$1:$I$89,3,0)*0.475*44/12</f>
        <v>5.4691561590529938</v>
      </c>
      <c r="EC72" s="21">
        <f>EXP(-LN(2)/2)*EC71+(1-EXP(-LN(2)/2))/(LN(2)/2)*DW72*DZ72*VLOOKUP('Données projet'!$B$14,Paramètres!$A$1:$I$89,3,0)*0.475*44/12</f>
        <v>7.7433993081050718E-6</v>
      </c>
      <c r="ED72" s="22">
        <f t="shared" si="72"/>
        <v>13.808884330155344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5.2</v>
      </c>
      <c r="EJ72" s="12">
        <f>IF('Données projet'!$A$192&gt;35,EJ71+EI72-ER71,IF(A72&lt;'Données projet'!$A$192,$EG$205^A72,IF(A72='Données projet'!$A$192,'Données projet'!$B$192,EJ71+EI72-ER71)))</f>
        <v>360.79999999999967</v>
      </c>
      <c r="EK72" s="17">
        <f>EJ72*VLOOKUP('Données projet'!$B$15,Paramètres!$A$1:$I$89,3,0)*VLOOKUP('Données projet'!$B$15,Paramètres!$A$1:$I$89,5,0)</f>
        <v>264.53855999999973</v>
      </c>
      <c r="EL72" s="13">
        <f t="shared" si="99"/>
        <v>63.688839009304033</v>
      </c>
      <c r="EM72" s="20">
        <f t="shared" si="73"/>
        <v>571.66271994120405</v>
      </c>
      <c r="EN72" s="59">
        <f t="shared" si="74"/>
        <v>864.99605327453742</v>
      </c>
      <c r="EO72" s="59">
        <f ca="1">AVERAGE(OFFSET($EN$3,0,0,'Données projet'!$E$15+1,1))-AVERAGE(OFFSET($H$3,0,0,'Données projet'!$E$15+1,1))</f>
        <v>296.91321813251051</v>
      </c>
      <c r="EP72" s="59">
        <f t="shared" si="100"/>
        <v>291.0718079639509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5.9799089165694852</v>
      </c>
      <c r="EW72" s="21">
        <f>EXP(-LN(2)/25)*EW71+(1-EXP(-LN(2)/25))/(LN(2)/25)*Calculateur!ER72*Calculateur!ET72*VLOOKUP('Données projet'!$B$15,Paramètres!$A$1:$I$89,3,0)*0.475*44/12</f>
        <v>5.2439858011410605</v>
      </c>
      <c r="EX72" s="21">
        <f>EXP(-LN(2)/2)*EX71+(1-EXP(-LN(2)/2))/(LN(2)/2)*ER72*EU72*VLOOKUP('Données projet'!$B$15,Paramètres!$A$1:$I$89,3,0)*0.475*44/12</f>
        <v>1.4703382987567005E-5</v>
      </c>
      <c r="EY72" s="22">
        <f t="shared" si="75"/>
        <v>11.223909421093534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8.1999999999999993</v>
      </c>
      <c r="FE72" s="12">
        <f>IF('Données projet'!$A$218&gt;35,FE71+FD72-FM71,IF(A72&lt;'Données projet'!$A$218,$FB$205^A72,IF(A72='Données projet'!$A$218,'Données projet'!$B$218,FE71+FD72-FM71)))</f>
        <v>293.79999999999995</v>
      </c>
      <c r="FF72" s="17">
        <f>FE72*VLOOKUP('Données projet'!$B$16,Paramètres!$A$1:$I$89,3,0)*VLOOKUP('Données projet'!$B$16,Paramètres!$A$1:$I$89,5,0)</f>
        <v>297.91319999999996</v>
      </c>
      <c r="FG72" s="13">
        <f t="shared" si="101"/>
        <v>70.73881247427552</v>
      </c>
      <c r="FH72" s="20">
        <f t="shared" si="76"/>
        <v>642.06892172602977</v>
      </c>
      <c r="FI72" s="59">
        <f t="shared" si="77"/>
        <v>935.40225505936314</v>
      </c>
      <c r="FJ72" s="59">
        <f ca="1">AVERAGE(OFFSET($FI$3,0,0,'Données projet'!$E$16+1,1))-AVERAGE(OFFSET($H$3,0,0,'Données projet'!$E$16+1,1))</f>
        <v>356.65981389369125</v>
      </c>
      <c r="FK72" s="59">
        <f t="shared" si="102"/>
        <v>231.92898690465887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3.7833532712823508</v>
      </c>
      <c r="FR72" s="21">
        <f>EXP(-LN(2)/25)*FR71+(1-EXP(-LN(2)/25))/(LN(2)/25)*Calculateur!FM72*Calculateur!FO72*VLOOKUP('Données projet'!$B$16,Paramètres!$A$1:$I$89,3,0)*0.475*44/12</f>
        <v>3.5593894246438142</v>
      </c>
      <c r="FS72" s="21">
        <f>EXP(-LN(2)/2)*FS71+(1-EXP(-LN(2)/2))/(LN(2)/2)*FM72*FP72*VLOOKUP('Données projet'!$B$16,Paramètres!$A$1:$I$89,3,0)*0.475*44/12</f>
        <v>1.2900170622655312E-5</v>
      </c>
      <c r="FT72" s="22">
        <f t="shared" si="78"/>
        <v>7.3427555960967874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8.1999999999999993</v>
      </c>
      <c r="FZ72" s="12">
        <f>IF('Données projet'!$A$244&gt;35,FZ71+FY72-GH71,IF(A72&lt;'Données projet'!$A$244,$FW$205^A72,IF(A72='Données projet'!$A$244,'Données projet'!$B$244,FZ71+FY72-GH71)))</f>
        <v>293.79999999999995</v>
      </c>
      <c r="GA72" s="17">
        <f>FZ72*VLOOKUP('Données projet'!$B$17,Paramètres!$A$1:$I$89,3,0)*VLOOKUP('Données projet'!$B$17,Paramètres!$A$1:$I$89,5,0)</f>
        <v>284.16335999999995</v>
      </c>
      <c r="GB72" s="13">
        <f t="shared" si="103"/>
        <v>67.846089314219739</v>
      </c>
      <c r="GC72" s="20">
        <f t="shared" si="79"/>
        <v>613.08312422226595</v>
      </c>
      <c r="GD72" s="59">
        <f t="shared" si="80"/>
        <v>906.41645755559921</v>
      </c>
      <c r="GE72" s="59">
        <f ca="1">AVERAGE(OFFSET($GD$3,0,0,'Données projet'!$E$17+1,1))-AVERAGE(OFFSET($H$3,0,0,'Données projet'!$E$17+1,1))</f>
        <v>337.76140497227715</v>
      </c>
      <c r="GF72" s="59">
        <f t="shared" si="104"/>
        <v>219.76562717496353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3.6087369664539333</v>
      </c>
      <c r="GM72" s="21">
        <f>EXP(-LN(2)/25)*GM71+(1-EXP(-LN(2)/25))/(LN(2)/25)*Calculateur!GH72*Calculateur!GJ72*VLOOKUP('Données projet'!$B$17,Paramètres!$A$1:$I$89,3,0)*0.475*44/12</f>
        <v>3.3951099127371762</v>
      </c>
      <c r="GN72" s="21">
        <f>EXP(-LN(2)/2)*GN71+(1-EXP(-LN(2)/2))/(LN(2)/2)*GH72*GK72*VLOOKUP('Données projet'!$B$17,Paramètres!$A$1:$I$89,3,0)*0.475*44/12</f>
        <v>1.2304778132378916E-5</v>
      </c>
      <c r="GO72" s="21">
        <f t="shared" si="81"/>
        <v>7.0038591839692419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301.99999999999994</v>
      </c>
      <c r="O73" s="13">
        <f>N73*VLOOKUP('Données projet'!$B$9,Paramètres!$A$1:$I$89,3,0)*VLOOKUP('Données projet'!$B$9,Paramètres!$A$1:$I$89,5,0)</f>
        <v>273.24959999999999</v>
      </c>
      <c r="P73" s="13">
        <f t="shared" si="87"/>
        <v>65.538435495514321</v>
      </c>
      <c r="Q73" s="20">
        <f t="shared" si="54"/>
        <v>590.05582848802067</v>
      </c>
      <c r="R73" s="59">
        <f t="shared" si="55"/>
        <v>883.38916182135404</v>
      </c>
      <c r="S73" s="59">
        <f ca="1">AVERAGE(OFFSET($R$3,0,0,'Données projet'!$E$9+1,1))-AVERAGE(OFFSET($H$3,0,0,'Données projet'!$E$9+1,1))</f>
        <v>312.53389584272878</v>
      </c>
      <c r="T73" s="59">
        <f t="shared" si="88"/>
        <v>203.5274665601915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3.3097155881924305</v>
      </c>
      <c r="AA73" s="21">
        <f>EXP(-LN(2)/25)*AA72+(1-EXP(-LN(2)/25))/(LN(2)/25)*Calculateur!V73*Calculateur!X73*VLOOKUP('Données projet'!$B$9,Paramètres!$A$1:$I$89,3,0)*0.475*44/12</f>
        <v>3.0892207469463502</v>
      </c>
      <c r="AB73" s="21">
        <f>EXP(-LN(2)/2)*AB72+(1-EXP(-LN(2)/2))/(LN(2)/2)*V73*Y73*VLOOKUP('Données projet'!$B$9,Paramètres!$A$1:$I$89,3,0)*0.475*44/12</f>
        <v>8.1394506352784209E-6</v>
      </c>
      <c r="AC73" s="22">
        <f t="shared" si="57"/>
        <v>6.398944474589416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5.6843418860808015E-14</v>
      </c>
      <c r="AJ73" s="13">
        <f>AI73*VLOOKUP('Données projet'!$B$10,Paramètres!$A$1:$I$89,3,0)*VLOOKUP('Données projet'!$B$10,Paramètres!$A$1:$I$89,5,0)</f>
        <v>4.9658410716801891E-14</v>
      </c>
      <c r="AK73" s="13">
        <f t="shared" si="89"/>
        <v>8.0934058173791862E-13</v>
      </c>
      <c r="AL73" s="20">
        <f t="shared" si="58"/>
        <v>1.4960899118586383E-12</v>
      </c>
      <c r="AM73" s="59">
        <f t="shared" si="59"/>
        <v>293.33333333333479</v>
      </c>
      <c r="AN73" s="59">
        <f ca="1">AVERAGE(OFFSET($AM$3,0,0,'Données projet'!$E$10+1,1))-AVERAGE(OFFSET($H$3,0,0,'Données projet'!$E$10+1,1))</f>
        <v>243.05628303465238</v>
      </c>
      <c r="AO73" s="59">
        <f t="shared" si="90"/>
        <v>352.47096767658394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3.5752706197168149</v>
      </c>
      <c r="AV73" s="21">
        <f>EXP(-LN(2)/25)*AV72+(1-EXP(-LN(2)/25))/(LN(2)/25)*Calculateur!AQ73*Calculateur!AS73*VLOOKUP('Données projet'!$B$10,Paramètres!$A$1:$I$89,3,0)*0.475*44/12</f>
        <v>5.976736415955064</v>
      </c>
      <c r="AW73" s="21">
        <f>EXP(-LN(2)/2)*AW72+(1-EXP(-LN(2)/2))/(LN(2)/2)*AQ73*AT73*VLOOKUP('Données projet'!$B$10,Paramètres!$A$1:$I$89,3,0)*0.475*44/12</f>
        <v>1.0750930974071626E-5</v>
      </c>
      <c r="AX73" s="21">
        <f t="shared" si="60"/>
        <v>9.5520177866028533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366</v>
      </c>
      <c r="BB73" s="12">
        <f>VLOOKUP(A73,'Données projet'!$A$87:$I$107,9,0)</f>
        <v>5.2</v>
      </c>
      <c r="BC73" s="12">
        <f t="array" ref="BC73">INDEX(BB:BB,MIN(IF(ISNUMBER(BB73:BB269),ROW(BB73:BB269),"")))</f>
        <v>5.2</v>
      </c>
      <c r="BD73" s="12">
        <f>IF('Données projet'!$A$88&gt;35,BD72+BC73-BL72,IF(A73&lt;'Données projet'!$A$88,$BA$205^A73,IF(A73='Données projet'!$A$88,'Données projet'!$B$88,BD72+BC73-BL72)))</f>
        <v>365.99999999999966</v>
      </c>
      <c r="BE73" s="13">
        <f>BD73*VLOOKUP('Données projet'!$B$11,Paramètres!$A$1:$I$89,3,0)*VLOOKUP('Données projet'!$B$11,Paramètres!$A$1:$I$89,5,0)</f>
        <v>291.18959999999976</v>
      </c>
      <c r="BF73" s="13">
        <f t="shared" si="91"/>
        <v>69.326273255048633</v>
      </c>
      <c r="BG73" s="20">
        <f t="shared" si="61"/>
        <v>627.89847925254264</v>
      </c>
      <c r="BH73" s="59">
        <f t="shared" si="62"/>
        <v>921.23181258587601</v>
      </c>
      <c r="BI73" s="59">
        <f ca="1">AVERAGE(OFFSET($BH$3,0,0,'Données projet'!$E$11+1,1))-AVERAGE(OFFSET($H$3,0,0,'Données projet'!$E$11+1,1))</f>
        <v>325.72928944930294</v>
      </c>
      <c r="BJ73" s="59">
        <f t="shared" si="92"/>
        <v>318.38876834819752</v>
      </c>
      <c r="BK73" s="15">
        <f>IF(ISNA(VLOOKUP(A73,'Données projet'!$A$87:$I$107,3,0)),0,VLOOKUP(A73,'Données projet'!$A$87:$I$107,3,0))</f>
        <v>13</v>
      </c>
      <c r="BL73" s="15">
        <f>IF(ISNA(VLOOKUP(A73,'Données projet'!$A$87:$I$107,4,0)),0,VLOOKUP(A73,'Données projet'!$A$87:$I$107,4,0))</f>
        <v>15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7.8410359351409591</v>
      </c>
      <c r="BQ73" s="21">
        <f>EXP(-LN(2)/25)*BQ72+(1-EXP(-LN(2)/25))/(LN(2)/25)*Calculateur!BL73*Calculateur!BN73*VLOOKUP('Données projet'!$B$11,Paramètres!$A$1:$I$89,3,0)*0.475*44/12</f>
        <v>6.8218165992221298</v>
      </c>
      <c r="BR73" s="21">
        <f>EXP(-LN(2)/2)*BR72+(1-EXP(-LN(2)/2))/(LN(2)/2)*BL73*BO73*VLOOKUP('Données projet'!$B$11,Paramètres!$A$1:$I$89,3,0)*0.475*44/12</f>
        <v>1.1281701120456759E-5</v>
      </c>
      <c r="BS73" s="22">
        <f t="shared" si="63"/>
        <v>14.66286381606421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-3.4106051316484809E-13</v>
      </c>
      <c r="BZ73" s="13">
        <f>BY73*VLOOKUP('Données projet'!$B$12,Paramètres!$A$1:$I$89,3,0)*VLOOKUP('Données projet'!$B$12,Paramètres!$A$1:$I$89,5,0)</f>
        <v>-1.9065282685915009E-13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475.54809021014017</v>
      </c>
      <c r="CE73" s="59">
        <f t="shared" si="94"/>
        <v>593.51433014569966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3.3246128424949619</v>
      </c>
      <c r="CL73" s="21">
        <f>EXP(-LN(2)/25)*CL72+(1-EXP(-LN(2)/25))/(LN(2)/25)*Calculateur!CG73*Calculateur!CI73*VLOOKUP('Données projet'!$B$12,Paramètres!$A$1:$I$89,3,0)*0.475*44/12</f>
        <v>14.056791528860829</v>
      </c>
      <c r="CM73" s="21">
        <f>EXP(-LN(2)/2)*CM72+(1-EXP(-LN(2)/2))/(LN(2)/2)*CG73*CJ73*VLOOKUP('Données projet'!$B$12,Paramètres!$A$1:$I$89,3,0)*0.475*44/12</f>
        <v>1.3750036015260355E-5</v>
      </c>
      <c r="CN73" s="22">
        <f t="shared" si="66"/>
        <v>17.381418121391807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423.5</v>
      </c>
      <c r="CR73" s="12">
        <f>VLOOKUP(A73,'Données projet'!$A$139:$I$159,9,0)</f>
        <v>15.5</v>
      </c>
      <c r="CS73" s="12">
        <f t="array" ref="CS73">INDEX(CR:CR,MIN(IF(ISNUMBER(CR73:CR269),ROW(CR73:CR269),"")))</f>
        <v>15.5</v>
      </c>
      <c r="CT73" s="12">
        <f>IF('Données projet'!$A$140&gt;35,CT72+CS73-DB72,IF(A73&lt;'Données projet'!$A$140,$CQ$205^A73,IF(A73='Données projet'!$A$140,'Données projet'!$B$140,CT72+CS73-DB72)))</f>
        <v>423.49999999999989</v>
      </c>
      <c r="CU73" s="17">
        <f>CT73*VLOOKUP('Données projet'!$B$13,Paramètres!$A$1:$I$89,3,0)*VLOOKUP('Données projet'!$B$13,Paramètres!$A$1:$I$89,5,0)</f>
        <v>198.19799999999995</v>
      </c>
      <c r="CV73" s="13">
        <f t="shared" si="95"/>
        <v>49.347934298451406</v>
      </c>
      <c r="CW73" s="20">
        <f t="shared" si="67"/>
        <v>431.14250223646945</v>
      </c>
      <c r="CX73" s="59">
        <f t="shared" si="68"/>
        <v>724.47583556980271</v>
      </c>
      <c r="CY73" s="59">
        <f ca="1">AVERAGE(OFFSET($CX$3,0,0,'Données projet'!$E$13+1,1))-AVERAGE(OFFSET($H$3,0,0,'Données projet'!$E$13+1,1))</f>
        <v>226.0452828290525</v>
      </c>
      <c r="CZ73" s="59">
        <f t="shared" si="96"/>
        <v>179.89696397462069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87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4.1102496774911872</v>
      </c>
      <c r="DG73" s="21">
        <f>EXP(-LN(2)/25)*DG72+(1-EXP(-LN(2)/25))/(LN(2)/25)*Calculateur!DB73*Calculateur!DD73*VLOOKUP('Données projet'!$B$13,Paramètres!$A$1:$I$89,3,0)*0.475*44/12</f>
        <v>3.6785638103710192</v>
      </c>
      <c r="DH73" s="21">
        <f>EXP(-LN(2)/2)*DH72+(1-EXP(-LN(2)/2))/(LN(2)/2)*DB73*DE73*VLOOKUP('Données projet'!$B$13,Paramètres!$A$1:$I$89,3,0)*0.475*44/12</f>
        <v>1.0531548160169968E-5</v>
      </c>
      <c r="DI73" s="22">
        <f t="shared" si="69"/>
        <v>7.7888240194103666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1.1368683772161603E-13</v>
      </c>
      <c r="DP73" s="17">
        <f>DO73*VLOOKUP('Données projet'!$B$14,Paramètres!$A$1:$I$89,3,0)*VLOOKUP('Données projet'!$B$14,Paramètres!$A$1:$I$89,5,0)</f>
        <v>6.7984728957526396E-14</v>
      </c>
      <c r="DQ73" s="13">
        <f t="shared" si="97"/>
        <v>1.0682447123141398E-12</v>
      </c>
      <c r="DR73" s="20">
        <f t="shared" si="70"/>
        <v>1.978932943548152E-12</v>
      </c>
      <c r="DS73" s="59">
        <f t="shared" si="71"/>
        <v>293.3333333333353</v>
      </c>
      <c r="DT73" s="59">
        <f ca="1">AVERAGE(OFFSET($DS$3,0,0,'Données projet'!$E$14+1,1))-AVERAGE(OFFSET($H$3,0,0,'Données projet'!$E$14+1,1))</f>
        <v>252.81045065813976</v>
      </c>
      <c r="DU73" s="59">
        <f t="shared" si="98"/>
        <v>254.36590349790589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8.1761835968429732</v>
      </c>
      <c r="EB73" s="21">
        <f>EXP(-LN(2)/25)*EB72+(1-EXP(-LN(2)/25))/(LN(2)/25)*Calculateur!DW73*Calculateur!DY73*VLOOKUP('Données projet'!$B$14,Paramètres!$A$1:$I$89,3,0)*0.475*44/12</f>
        <v>5.3196017962732673</v>
      </c>
      <c r="EC73" s="21">
        <f>EXP(-LN(2)/2)*EC72+(1-EXP(-LN(2)/2))/(LN(2)/2)*DW73*DZ73*VLOOKUP('Données projet'!$B$14,Paramètres!$A$1:$I$89,3,0)*0.475*44/12</f>
        <v>5.4754101601963165E-6</v>
      </c>
      <c r="ED73" s="22">
        <f t="shared" si="72"/>
        <v>13.495790868526401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366</v>
      </c>
      <c r="EH73" s="12">
        <f>VLOOKUP(A73,'Données projet'!$A$191:$I$211,9,0)</f>
        <v>5.2</v>
      </c>
      <c r="EI73" s="12">
        <f t="array" ref="EI73">INDEX(EH:EH,MIN(IF(ISNUMBER(EH73:EH269),ROW(EH73:EH269),"")))</f>
        <v>5.2</v>
      </c>
      <c r="EJ73" s="12">
        <f>IF('Données projet'!$A$192&gt;35,EJ72+EI73-ER72,IF(A73&lt;'Données projet'!$A$192,$EG$205^A73,IF(A73='Données projet'!$A$192,'Données projet'!$B$192,EJ72+EI73-ER72)))</f>
        <v>365.99999999999966</v>
      </c>
      <c r="EK73" s="17">
        <f>EJ73*VLOOKUP('Données projet'!$B$15,Paramètres!$A$1:$I$89,3,0)*VLOOKUP('Données projet'!$B$15,Paramètres!$A$1:$I$89,5,0)</f>
        <v>268.35119999999978</v>
      </c>
      <c r="EL73" s="13">
        <f t="shared" si="99"/>
        <v>64.499227668096069</v>
      </c>
      <c r="EM73" s="20">
        <f t="shared" si="73"/>
        <v>579.71449485526693</v>
      </c>
      <c r="EN73" s="59">
        <f t="shared" si="74"/>
        <v>873.04782818860031</v>
      </c>
      <c r="EO73" s="59">
        <f ca="1">AVERAGE(OFFSET($EN$3,0,0,'Données projet'!$E$15+1,1))-AVERAGE(OFFSET($H$3,0,0,'Données projet'!$E$15+1,1))</f>
        <v>296.91321813251051</v>
      </c>
      <c r="EP73" s="59">
        <f t="shared" si="100"/>
        <v>291.0718079639509</v>
      </c>
      <c r="EQ73" s="15">
        <f>IF(ISNA(VLOOKUP(A73,'Données projet'!$A$191:$I$211,3,0)),0,VLOOKUP(A73,'Données projet'!$A$191:$I$211,3,0))</f>
        <v>13</v>
      </c>
      <c r="ER73" s="15">
        <f>IF(ISNA(VLOOKUP(A73,'Données projet'!$A$191:$I$211,4,0)),0,VLOOKUP(A73,'Données projet'!$A$191:$I$211,4,0))</f>
        <v>15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5.8626465500998473</v>
      </c>
      <c r="EW73" s="21">
        <f>EXP(-LN(2)/25)*EW72+(1-EXP(-LN(2)/25))/(LN(2)/25)*Calculateur!ER73*Calculateur!ET73*VLOOKUP('Données projet'!$B$15,Paramètres!$A$1:$I$89,3,0)*0.475*44/12</f>
        <v>5.1005887336396301</v>
      </c>
      <c r="EX73" s="21">
        <f>EXP(-LN(2)/2)*EX72+(1-EXP(-LN(2)/2))/(LN(2)/2)*ER73*EU73*VLOOKUP('Données projet'!$B$15,Paramètres!$A$1:$I$89,3,0)*0.475*44/12</f>
        <v>1.0396861816891548E-5</v>
      </c>
      <c r="EY73" s="22">
        <f t="shared" si="75"/>
        <v>10.963245680601295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302</v>
      </c>
      <c r="FC73" s="12">
        <f>VLOOKUP(A73,'Données projet'!$A$217:$I$237,9,0)</f>
        <v>8.1999999999999993</v>
      </c>
      <c r="FD73" s="12">
        <f t="array" ref="FD73">INDEX(FC:FC,MIN(IF(ISNUMBER(FC73:FC269),ROW(FC73:FC269),"")))</f>
        <v>8.1999999999999993</v>
      </c>
      <c r="FE73" s="12">
        <f>IF('Données projet'!$A$218&gt;35,FE72+FD73-FM72,IF(A73&lt;'Données projet'!$A$218,$FB$205^A73,IF(A73='Données projet'!$A$218,'Données projet'!$B$218,FE72+FD73-FM72)))</f>
        <v>301.99999999999994</v>
      </c>
      <c r="FF73" s="17">
        <f>FE73*VLOOKUP('Données projet'!$B$16,Paramètres!$A$1:$I$89,3,0)*VLOOKUP('Données projet'!$B$16,Paramètres!$A$1:$I$89,5,0)</f>
        <v>306.22800000000001</v>
      </c>
      <c r="FG73" s="13">
        <f t="shared" si="101"/>
        <v>72.480526049067294</v>
      </c>
      <c r="FH73" s="20">
        <f t="shared" si="76"/>
        <v>659.58401620212555</v>
      </c>
      <c r="FI73" s="59">
        <f t="shared" si="77"/>
        <v>952.91734953545892</v>
      </c>
      <c r="FJ73" s="59">
        <f ca="1">AVERAGE(OFFSET($FI$3,0,0,'Données projet'!$E$16+1,1))-AVERAGE(OFFSET($H$3,0,0,'Données projet'!$E$16+1,1))</f>
        <v>356.65981389369125</v>
      </c>
      <c r="FK73" s="59">
        <f t="shared" si="102"/>
        <v>231.92898690465887</v>
      </c>
      <c r="FL73" s="15">
        <f>IF(ISNA(VLOOKUP(A73,'Données projet'!$A$217:$I$237,3,0)),0,VLOOKUP(A73,'Données projet'!$A$217:$I$237,3,0))</f>
        <v>11</v>
      </c>
      <c r="FM73" s="15">
        <f>IF(ISNA(VLOOKUP(A73,'Données projet'!$A$217:$I$237,4,0)),0,VLOOKUP(A73,'Données projet'!$A$217:$I$237,4,0))</f>
        <v>28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3.7091640212501411</v>
      </c>
      <c r="FR73" s="21">
        <f>EXP(-LN(2)/25)*FR72+(1-EXP(-LN(2)/25))/(LN(2)/25)*Calculateur!FM73*Calculateur!FO73*VLOOKUP('Données projet'!$B$16,Paramètres!$A$1:$I$89,3,0)*0.475*44/12</f>
        <v>3.4620577336467746</v>
      </c>
      <c r="FS73" s="21">
        <f>EXP(-LN(2)/2)*FS72+(1-EXP(-LN(2)/2))/(LN(2)/2)*FM73*FP73*VLOOKUP('Données projet'!$B$16,Paramètres!$A$1:$I$89,3,0)*0.475*44/12</f>
        <v>9.1217981257430583E-6</v>
      </c>
      <c r="FT73" s="22">
        <f t="shared" si="78"/>
        <v>7.1712308766950414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302</v>
      </c>
      <c r="FX73" s="12">
        <f>VLOOKUP(A73,'Données projet'!$A$243:$I$263,9,0)</f>
        <v>8.1999999999999993</v>
      </c>
      <c r="FY73" s="12">
        <f t="array" ref="FY73">INDEX(FX:FX,MIN(IF(ISNUMBER(FX73:FX269),ROW(FX73:FX269),"")))</f>
        <v>8.1999999999999993</v>
      </c>
      <c r="FZ73" s="12">
        <f>IF('Données projet'!$A$244&gt;35,FZ72+FY73-GH72,IF(A73&lt;'Données projet'!$A$244,$FW$205^A73,IF(A73='Données projet'!$A$244,'Données projet'!$B$244,FZ72+FY73-GH72)))</f>
        <v>301.99999999999994</v>
      </c>
      <c r="GA73" s="17">
        <f>FZ73*VLOOKUP('Données projet'!$B$17,Paramètres!$A$1:$I$89,3,0)*VLOOKUP('Données projet'!$B$17,Paramètres!$A$1:$I$89,5,0)</f>
        <v>292.09439999999995</v>
      </c>
      <c r="GB73" s="13">
        <f t="shared" si="103"/>
        <v>69.516578973599849</v>
      </c>
      <c r="GC73" s="20">
        <f t="shared" si="79"/>
        <v>629.80578837901965</v>
      </c>
      <c r="GD73" s="59">
        <f t="shared" si="80"/>
        <v>923.13912171235302</v>
      </c>
      <c r="GE73" s="59">
        <f ca="1">AVERAGE(OFFSET($GD$3,0,0,'Données projet'!$E$17+1,1))-AVERAGE(OFFSET($H$3,0,0,'Données projet'!$E$17+1,1))</f>
        <v>337.76140497227715</v>
      </c>
      <c r="GF73" s="59">
        <f t="shared" si="104"/>
        <v>219.76562717496353</v>
      </c>
      <c r="GG73" s="15">
        <f>IF(ISNA(VLOOKUP(A73,'Données projet'!$A$243:$I$263,3,0)),0,VLOOKUP(A73,'Données projet'!$A$243:$I$263,3,0))</f>
        <v>11</v>
      </c>
      <c r="GH73" s="15">
        <f>IF(ISNA(VLOOKUP(A73,'Données projet'!$A$243:$I$263,4,0)),0,VLOOKUP(A73,'Données projet'!$A$243:$I$263,4,0))</f>
        <v>28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3.5379718356539795</v>
      </c>
      <c r="GM73" s="21">
        <f>EXP(-LN(2)/25)*GM72+(1-EXP(-LN(2)/25))/(LN(2)/25)*Calculateur!GH73*Calculateur!GJ73*VLOOKUP('Données projet'!$B$17,Paramètres!$A$1:$I$89,3,0)*0.475*44/12</f>
        <v>3.3022704536323073</v>
      </c>
      <c r="GN73" s="21">
        <f>EXP(-LN(2)/2)*GN72+(1-EXP(-LN(2)/2))/(LN(2)/2)*GH73*GK73*VLOOKUP('Données projet'!$B$17,Paramètres!$A$1:$I$89,3,0)*0.475*44/12</f>
        <v>8.700792058401073E-6</v>
      </c>
      <c r="GO73" s="21">
        <f t="shared" si="81"/>
        <v>6.8402509900783457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281.59999999999997</v>
      </c>
      <c r="O74" s="13">
        <f>N74*VLOOKUP('Données projet'!$B$9,Paramètres!$A$1:$I$89,3,0)*VLOOKUP('Données projet'!$B$9,Paramètres!$A$1:$I$89,5,0)</f>
        <v>254.79167999999996</v>
      </c>
      <c r="P74" s="13">
        <f t="shared" si="87"/>
        <v>61.610870508448471</v>
      </c>
      <c r="Q74" s="20">
        <f t="shared" si="54"/>
        <v>551.067775468881</v>
      </c>
      <c r="R74" s="59">
        <f t="shared" si="55"/>
        <v>844.40110880221437</v>
      </c>
      <c r="S74" s="59">
        <f ca="1">AVERAGE(OFFSET($R$3,0,0,'Données projet'!$E$9+1,1))-AVERAGE(OFFSET($H$3,0,0,'Données projet'!$E$9+1,1))</f>
        <v>312.53389584272878</v>
      </c>
      <c r="T74" s="59">
        <f t="shared" si="88"/>
        <v>203.5274665601915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3.2448140842351529</v>
      </c>
      <c r="AA74" s="21">
        <f>EXP(-LN(2)/25)*AA73+(1-EXP(-LN(2)/25))/(LN(2)/25)*Calculateur!V74*Calculateur!X74*VLOOKUP('Données projet'!$B$9,Paramètres!$A$1:$I$89,3,0)*0.475*44/12</f>
        <v>3.0047458431660439</v>
      </c>
      <c r="AB74" s="21">
        <f>EXP(-LN(2)/2)*AB73+(1-EXP(-LN(2)/2))/(LN(2)/2)*V74*Y74*VLOOKUP('Données projet'!$B$9,Paramètres!$A$1:$I$89,3,0)*0.475*44/12</f>
        <v>5.7554607393385237E-6</v>
      </c>
      <c r="AC74" s="22">
        <f t="shared" si="57"/>
        <v>6.2495656828619364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5.6843418860808015E-14</v>
      </c>
      <c r="AJ74" s="13">
        <f>AI74*VLOOKUP('Données projet'!$B$10,Paramètres!$A$1:$I$89,3,0)*VLOOKUP('Données projet'!$B$10,Paramètres!$A$1:$I$89,5,0)</f>
        <v>4.9658410716801891E-14</v>
      </c>
      <c r="AK74" s="13">
        <f t="shared" si="89"/>
        <v>8.0934058173791862E-13</v>
      </c>
      <c r="AL74" s="20">
        <f t="shared" si="58"/>
        <v>1.4960899118586383E-12</v>
      </c>
      <c r="AM74" s="59">
        <f t="shared" si="59"/>
        <v>293.33333333333479</v>
      </c>
      <c r="AN74" s="59">
        <f ca="1">AVERAGE(OFFSET($AM$3,0,0,'Données projet'!$E$10+1,1))-AVERAGE(OFFSET($H$3,0,0,'Données projet'!$E$10+1,1))</f>
        <v>243.05628303465238</v>
      </c>
      <c r="AO74" s="59">
        <f t="shared" si="90"/>
        <v>352.47096767658394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3.50516174356392</v>
      </c>
      <c r="AV74" s="21">
        <f>EXP(-LN(2)/25)*AV73+(1-EXP(-LN(2)/25))/(LN(2)/25)*Calculateur!AQ74*Calculateur!AS74*VLOOKUP('Données projet'!$B$10,Paramètres!$A$1:$I$89,3,0)*0.475*44/12</f>
        <v>5.8133022443578648</v>
      </c>
      <c r="AW74" s="21">
        <f>EXP(-LN(2)/2)*AW73+(1-EXP(-LN(2)/2))/(LN(2)/2)*AQ74*AT74*VLOOKUP('Données projet'!$B$10,Paramètres!$A$1:$I$89,3,0)*0.475*44/12</f>
        <v>7.6020561958345418E-6</v>
      </c>
      <c r="AX74" s="21">
        <f t="shared" si="60"/>
        <v>9.31847158997798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4.8</v>
      </c>
      <c r="BD74" s="12">
        <f>IF('Données projet'!$A$88&gt;35,BD73+BC74-BL73,IF(A74&lt;'Données projet'!$A$88,$BA$205^A74,IF(A74='Données projet'!$A$88,'Données projet'!$B$88,BD73+BC74-BL73)))</f>
        <v>355.79999999999967</v>
      </c>
      <c r="BE74" s="13">
        <f>BD74*VLOOKUP('Données projet'!$B$11,Paramètres!$A$1:$I$89,3,0)*VLOOKUP('Données projet'!$B$11,Paramètres!$A$1:$I$89,5,0)</f>
        <v>283.07447999999977</v>
      </c>
      <c r="BF74" s="13">
        <f t="shared" si="91"/>
        <v>67.616321363645156</v>
      </c>
      <c r="BG74" s="20">
        <f t="shared" si="61"/>
        <v>610.78647904168156</v>
      </c>
      <c r="BH74" s="59">
        <f t="shared" si="62"/>
        <v>904.11981237501482</v>
      </c>
      <c r="BI74" s="59">
        <f ca="1">AVERAGE(OFFSET($BH$3,0,0,'Données projet'!$E$11+1,1))-AVERAGE(OFFSET($H$3,0,0,'Données projet'!$E$11+1,1))</f>
        <v>325.72928944930294</v>
      </c>
      <c r="BJ74" s="59">
        <f t="shared" si="92"/>
        <v>318.38876834819752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7.6872780030125272</v>
      </c>
      <c r="BQ74" s="21">
        <f>EXP(-LN(2)/25)*BQ73+(1-EXP(-LN(2)/25))/(LN(2)/25)*Calculateur!BL74*Calculateur!BN74*VLOOKUP('Données projet'!$B$11,Paramètres!$A$1:$I$89,3,0)*0.475*44/12</f>
        <v>6.6352736655726572</v>
      </c>
      <c r="BR74" s="21">
        <f>EXP(-LN(2)/2)*BR73+(1-EXP(-LN(2)/2))/(LN(2)/2)*BL74*BO74*VLOOKUP('Données projet'!$B$11,Paramètres!$A$1:$I$89,3,0)*0.475*44/12</f>
        <v>7.9773673655948451E-6</v>
      </c>
      <c r="BS74" s="22">
        <f t="shared" si="63"/>
        <v>14.32255964595255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-3.4106051316484809E-13</v>
      </c>
      <c r="BZ74" s="13">
        <f>BY74*VLOOKUP('Données projet'!$B$12,Paramètres!$A$1:$I$89,3,0)*VLOOKUP('Données projet'!$B$12,Paramètres!$A$1:$I$89,5,0)</f>
        <v>-1.9065282685915009E-13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475.54809021014017</v>
      </c>
      <c r="CE74" s="59">
        <f t="shared" si="94"/>
        <v>593.51433014569966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3.2594192124672396</v>
      </c>
      <c r="CL74" s="21">
        <f>EXP(-LN(2)/25)*CL73+(1-EXP(-LN(2)/25))/(LN(2)/25)*Calculateur!CG74*Calculateur!CI74*VLOOKUP('Données projet'!$B$12,Paramètres!$A$1:$I$89,3,0)*0.475*44/12</f>
        <v>13.672407825289591</v>
      </c>
      <c r="CM74" s="21">
        <f>EXP(-LN(2)/2)*CM73+(1-EXP(-LN(2)/2))/(LN(2)/2)*CG74*CJ74*VLOOKUP('Données projet'!$B$12,Paramètres!$A$1:$I$89,3,0)*0.475*44/12</f>
        <v>9.7227437079498512E-6</v>
      </c>
      <c r="CN74" s="22">
        <f t="shared" si="66"/>
        <v>16.931836760500541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17</v>
      </c>
      <c r="CT74" s="12">
        <f>IF('Données projet'!$A$140&gt;35,CT73+CS74-DB73,IF(A74&lt;'Données projet'!$A$140,$CQ$205^A74,IF(A74='Données projet'!$A$140,'Données projet'!$B$140,CT73+CS74-DB73)))</f>
        <v>353.49999999999989</v>
      </c>
      <c r="CU74" s="17">
        <f>CT74*VLOOKUP('Données projet'!$B$13,Paramètres!$A$1:$I$89,3,0)*VLOOKUP('Données projet'!$B$13,Paramètres!$A$1:$I$89,5,0)</f>
        <v>165.43799999999993</v>
      </c>
      <c r="CV74" s="13">
        <f t="shared" si="95"/>
        <v>42.066675415215769</v>
      </c>
      <c r="CW74" s="20">
        <f t="shared" si="67"/>
        <v>361.40397634816736</v>
      </c>
      <c r="CX74" s="59">
        <f t="shared" si="68"/>
        <v>654.73730968150062</v>
      </c>
      <c r="CY74" s="59">
        <f ca="1">AVERAGE(OFFSET($CX$3,0,0,'Données projet'!$E$13+1,1))-AVERAGE(OFFSET($H$3,0,0,'Données projet'!$E$13+1,1))</f>
        <v>226.0452828290525</v>
      </c>
      <c r="CZ74" s="59">
        <f t="shared" si="96"/>
        <v>179.89696397462069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4.0296501883203417</v>
      </c>
      <c r="DG74" s="21">
        <f>EXP(-LN(2)/25)*DG73+(1-EXP(-LN(2)/25))/(LN(2)/25)*Calculateur!DB74*Calculateur!DD74*VLOOKUP('Données projet'!$B$13,Paramètres!$A$1:$I$89,3,0)*0.475*44/12</f>
        <v>3.5779732895291603</v>
      </c>
      <c r="DH74" s="21">
        <f>EXP(-LN(2)/2)*DH73+(1-EXP(-LN(2)/2))/(LN(2)/2)*DB74*DE74*VLOOKUP('Données projet'!$B$13,Paramètres!$A$1:$I$89,3,0)*0.475*44/12</f>
        <v>7.4469291204488931E-6</v>
      </c>
      <c r="DI74" s="22">
        <f t="shared" si="69"/>
        <v>7.6076309247786229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1.1368683772161603E-13</v>
      </c>
      <c r="DP74" s="17">
        <f>DO74*VLOOKUP('Données projet'!$B$14,Paramètres!$A$1:$I$89,3,0)*VLOOKUP('Données projet'!$B$14,Paramètres!$A$1:$I$89,5,0)</f>
        <v>6.7984728957526396E-14</v>
      </c>
      <c r="DQ74" s="13">
        <f t="shared" si="97"/>
        <v>1.0682447123141398E-12</v>
      </c>
      <c r="DR74" s="20">
        <f t="shared" si="70"/>
        <v>1.978932943548152E-12</v>
      </c>
      <c r="DS74" s="59">
        <f t="shared" si="71"/>
        <v>293.3333333333353</v>
      </c>
      <c r="DT74" s="59">
        <f ca="1">AVERAGE(OFFSET($DS$3,0,0,'Données projet'!$E$14+1,1))-AVERAGE(OFFSET($H$3,0,0,'Données projet'!$E$14+1,1))</f>
        <v>252.81045065813976</v>
      </c>
      <c r="DU74" s="59">
        <f t="shared" si="98"/>
        <v>254.36590349790589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8.0158536234884536</v>
      </c>
      <c r="EB74" s="21">
        <f>EXP(-LN(2)/25)*EB73+(1-EXP(-LN(2)/25))/(LN(2)/25)*Calculateur!DW74*Calculateur!DY74*VLOOKUP('Données projet'!$B$14,Paramètres!$A$1:$I$89,3,0)*0.475*44/12</f>
        <v>5.1741370054084745</v>
      </c>
      <c r="EC74" s="21">
        <f>EXP(-LN(2)/2)*EC73+(1-EXP(-LN(2)/2))/(LN(2)/2)*DW74*DZ74*VLOOKUP('Données projet'!$B$14,Paramètres!$A$1:$I$89,3,0)*0.475*44/12</f>
        <v>3.8716996540525359E-6</v>
      </c>
      <c r="ED74" s="22">
        <f t="shared" si="72"/>
        <v>13.189994500596583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4.8</v>
      </c>
      <c r="EJ74" s="12">
        <f>IF('Données projet'!$A$192&gt;35,EJ73+EI74-ER73,IF(A74&lt;'Données projet'!$A$192,$EG$205^A74,IF(A74='Données projet'!$A$192,'Données projet'!$B$192,EJ73+EI74-ER73)))</f>
        <v>355.79999999999967</v>
      </c>
      <c r="EK74" s="17">
        <f>EJ74*VLOOKUP('Données projet'!$B$15,Paramètres!$A$1:$I$89,3,0)*VLOOKUP('Données projet'!$B$15,Paramètres!$A$1:$I$89,5,0)</f>
        <v>260.87255999999974</v>
      </c>
      <c r="EL74" s="13">
        <f t="shared" si="99"/>
        <v>62.908336204200786</v>
      </c>
      <c r="EM74" s="20">
        <f t="shared" si="73"/>
        <v>563.9183942223159</v>
      </c>
      <c r="EN74" s="59">
        <f t="shared" si="74"/>
        <v>857.25172755564927</v>
      </c>
      <c r="EO74" s="59">
        <f ca="1">AVERAGE(OFFSET($EN$3,0,0,'Données projet'!$E$15+1,1))-AVERAGE(OFFSET($H$3,0,0,'Données projet'!$E$15+1,1))</f>
        <v>296.91321813251051</v>
      </c>
      <c r="EP74" s="59">
        <f t="shared" si="100"/>
        <v>291.0718079639509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5.7476836271136982</v>
      </c>
      <c r="EW74" s="21">
        <f>EXP(-LN(2)/25)*EW73+(1-EXP(-LN(2)/25))/(LN(2)/25)*Calculateur!ER74*Calculateur!ET74*VLOOKUP('Données projet'!$B$15,Paramètres!$A$1:$I$89,3,0)*0.475*44/12</f>
        <v>4.9611128664899509</v>
      </c>
      <c r="EX74" s="21">
        <f>EXP(-LN(2)/2)*EX73+(1-EXP(-LN(2)/2))/(LN(2)/2)*ER74*EU74*VLOOKUP('Données projet'!$B$15,Paramètres!$A$1:$I$89,3,0)*0.475*44/12</f>
        <v>7.3516914937835027E-6</v>
      </c>
      <c r="EY74" s="22">
        <f t="shared" si="75"/>
        <v>10.708803845295144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7.6</v>
      </c>
      <c r="FE74" s="12">
        <f>IF('Données projet'!$A$218&gt;35,FE73+FD74-FM73,IF(A74&lt;'Données projet'!$A$218,$FB$205^A74,IF(A74='Données projet'!$A$218,'Données projet'!$B$218,FE73+FD74-FM73)))</f>
        <v>281.59999999999997</v>
      </c>
      <c r="FF74" s="17">
        <f>FE74*VLOOKUP('Données projet'!$B$16,Paramètres!$A$1:$I$89,3,0)*VLOOKUP('Données projet'!$B$16,Paramètres!$A$1:$I$89,5,0)</f>
        <v>285.54239999999999</v>
      </c>
      <c r="FG74" s="13">
        <f t="shared" si="101"/>
        <v>68.136937829389524</v>
      </c>
      <c r="FH74" s="20">
        <f t="shared" si="76"/>
        <v>615.99151338618674</v>
      </c>
      <c r="FI74" s="59">
        <f t="shared" si="77"/>
        <v>909.32484671952011</v>
      </c>
      <c r="FJ74" s="59">
        <f ca="1">AVERAGE(OFFSET($FI$3,0,0,'Données projet'!$E$16+1,1))-AVERAGE(OFFSET($H$3,0,0,'Données projet'!$E$16+1,1))</f>
        <v>356.65981389369125</v>
      </c>
      <c r="FK74" s="59">
        <f t="shared" si="102"/>
        <v>231.92898690465887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3.6364295771600887</v>
      </c>
      <c r="FR74" s="21">
        <f>EXP(-LN(2)/25)*FR73+(1-EXP(-LN(2)/25))/(LN(2)/25)*Calculateur!FM74*Calculateur!FO74*VLOOKUP('Données projet'!$B$16,Paramètres!$A$1:$I$89,3,0)*0.475*44/12</f>
        <v>3.3673875828585</v>
      </c>
      <c r="FS74" s="21">
        <f>EXP(-LN(2)/2)*FS73+(1-EXP(-LN(2)/2))/(LN(2)/2)*FM74*FP74*VLOOKUP('Données projet'!$B$16,Paramètres!$A$1:$I$89,3,0)*0.475*44/12</f>
        <v>6.4500853113276561E-6</v>
      </c>
      <c r="FT74" s="22">
        <f t="shared" si="78"/>
        <v>7.0038236101038995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7.6</v>
      </c>
      <c r="FZ74" s="12">
        <f>IF('Données projet'!$A$244&gt;35,FZ73+FY74-GH73,IF(A74&lt;'Données projet'!$A$244,$FW$205^A74,IF(A74='Données projet'!$A$244,'Données projet'!$B$244,FZ73+FY74-GH73)))</f>
        <v>281.59999999999997</v>
      </c>
      <c r="GA74" s="17">
        <f>FZ74*VLOOKUP('Données projet'!$B$17,Paramètres!$A$1:$I$89,3,0)*VLOOKUP('Données projet'!$B$17,Paramètres!$A$1:$I$89,5,0)</f>
        <v>272.36351999999999</v>
      </c>
      <c r="GB74" s="13">
        <f t="shared" si="103"/>
        <v>65.350613162347059</v>
      </c>
      <c r="GC74" s="20">
        <f t="shared" si="79"/>
        <v>588.18544859108772</v>
      </c>
      <c r="GD74" s="59">
        <f t="shared" si="80"/>
        <v>881.51878192442109</v>
      </c>
      <c r="GE74" s="59">
        <f ca="1">AVERAGE(OFFSET($GD$3,0,0,'Données projet'!$E$17+1,1))-AVERAGE(OFFSET($H$3,0,0,'Données projet'!$E$17+1,1))</f>
        <v>337.76140497227715</v>
      </c>
      <c r="GF74" s="59">
        <f t="shared" si="104"/>
        <v>219.76562717496353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3.468594365906545</v>
      </c>
      <c r="GM74" s="21">
        <f>EXP(-LN(2)/25)*GM73+(1-EXP(-LN(2)/25))/(LN(2)/25)*Calculateur!GH74*Calculateur!GJ74*VLOOKUP('Données projet'!$B$17,Paramètres!$A$1:$I$89,3,0)*0.475*44/12</f>
        <v>3.211969694418876</v>
      </c>
      <c r="GN74" s="21">
        <f>EXP(-LN(2)/2)*GN73+(1-EXP(-LN(2)/2))/(LN(2)/2)*GH74*GK74*VLOOKUP('Données projet'!$B$17,Paramètres!$A$1:$I$89,3,0)*0.475*44/12</f>
        <v>6.1523890661894581E-6</v>
      </c>
      <c r="GO74" s="21">
        <f t="shared" si="81"/>
        <v>6.6805702127144873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289.2</v>
      </c>
      <c r="O75" s="13">
        <f>N75*VLOOKUP('Données projet'!$B$9,Paramètres!$A$1:$I$89,3,0)*VLOOKUP('Données projet'!$B$9,Paramètres!$A$1:$I$89,5,0)</f>
        <v>261.66816</v>
      </c>
      <c r="P75" s="13">
        <f t="shared" si="87"/>
        <v>63.077829793082856</v>
      </c>
      <c r="Q75" s="20">
        <f t="shared" si="54"/>
        <v>565.5992655562859</v>
      </c>
      <c r="R75" s="59">
        <f t="shared" si="55"/>
        <v>858.93259888961916</v>
      </c>
      <c r="S75" s="59">
        <f ca="1">AVERAGE(OFFSET($R$3,0,0,'Données projet'!$E$9+1,1))-AVERAGE(OFFSET($H$3,0,0,'Données projet'!$E$9+1,1))</f>
        <v>312.53389584272878</v>
      </c>
      <c r="T75" s="59">
        <f t="shared" si="88"/>
        <v>203.5274665601915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3.1811852591844691</v>
      </c>
      <c r="AA75" s="21">
        <f>EXP(-LN(2)/25)*AA74+(1-EXP(-LN(2)/25))/(LN(2)/25)*Calculateur!V75*Calculateur!X75*VLOOKUP('Données projet'!$B$9,Paramètres!$A$1:$I$89,3,0)*0.475*44/12</f>
        <v>2.922580910071952</v>
      </c>
      <c r="AB75" s="21">
        <f>EXP(-LN(2)/2)*AB74+(1-EXP(-LN(2)/2))/(LN(2)/2)*V75*Y75*VLOOKUP('Données projet'!$B$9,Paramètres!$A$1:$I$89,3,0)*0.475*44/12</f>
        <v>4.0697253176392105E-6</v>
      </c>
      <c r="AC75" s="22">
        <f t="shared" si="57"/>
        <v>6.1037702389817383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5.6843418860808015E-14</v>
      </c>
      <c r="AJ75" s="13">
        <f>AI75*VLOOKUP('Données projet'!$B$10,Paramètres!$A$1:$I$89,3,0)*VLOOKUP('Données projet'!$B$10,Paramètres!$A$1:$I$89,5,0)</f>
        <v>4.9658410716801891E-14</v>
      </c>
      <c r="AK75" s="13">
        <f t="shared" si="89"/>
        <v>8.0934058173791862E-13</v>
      </c>
      <c r="AL75" s="20">
        <f t="shared" si="58"/>
        <v>1.4960899118586383E-12</v>
      </c>
      <c r="AM75" s="59">
        <f t="shared" si="59"/>
        <v>293.33333333333479</v>
      </c>
      <c r="AN75" s="59">
        <f ca="1">AVERAGE(OFFSET($AM$3,0,0,'Données projet'!$E$10+1,1))-AVERAGE(OFFSET($H$3,0,0,'Données projet'!$E$10+1,1))</f>
        <v>243.05628303465238</v>
      </c>
      <c r="AO75" s="59">
        <f t="shared" si="90"/>
        <v>352.47096767658394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3.4364276597101915</v>
      </c>
      <c r="AV75" s="21">
        <f>EXP(-LN(2)/25)*AV74+(1-EXP(-LN(2)/25))/(LN(2)/25)*Calculateur!AQ75*Calculateur!AS75*VLOOKUP('Données projet'!$B$10,Paramètres!$A$1:$I$89,3,0)*0.475*44/12</f>
        <v>5.6543371887776201</v>
      </c>
      <c r="AW75" s="21">
        <f>EXP(-LN(2)/2)*AW74+(1-EXP(-LN(2)/2))/(LN(2)/2)*AQ75*AT75*VLOOKUP('Données projet'!$B$10,Paramètres!$A$1:$I$89,3,0)*0.475*44/12</f>
        <v>5.3754654870358137E-6</v>
      </c>
      <c r="AX75" s="21">
        <f t="shared" si="60"/>
        <v>9.0907702239532995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4.8</v>
      </c>
      <c r="BD75" s="12">
        <f>IF('Données projet'!$A$88&gt;35,BD74+BC75-BL74,IF(A75&lt;'Données projet'!$A$88,$BA$205^A75,IF(A75='Données projet'!$A$88,'Données projet'!$B$88,BD74+BC75-BL74)))</f>
        <v>360.59999999999968</v>
      </c>
      <c r="BE75" s="13">
        <f>BD75*VLOOKUP('Données projet'!$B$11,Paramètres!$A$1:$I$89,3,0)*VLOOKUP('Données projet'!$B$11,Paramètres!$A$1:$I$89,5,0)</f>
        <v>286.89335999999975</v>
      </c>
      <c r="BF75" s="13">
        <f t="shared" si="91"/>
        <v>68.421705584684744</v>
      </c>
      <c r="BG75" s="20">
        <f t="shared" si="61"/>
        <v>618.84040589332551</v>
      </c>
      <c r="BH75" s="59">
        <f t="shared" si="62"/>
        <v>912.17373922665888</v>
      </c>
      <c r="BI75" s="59">
        <f ca="1">AVERAGE(OFFSET($BH$3,0,0,'Données projet'!$E$11+1,1))-AVERAGE(OFFSET($H$3,0,0,'Données projet'!$E$11+1,1))</f>
        <v>325.72928944930294</v>
      </c>
      <c r="BJ75" s="59">
        <f t="shared" si="92"/>
        <v>318.38876834819752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7.5365351701500547</v>
      </c>
      <c r="BQ75" s="21">
        <f>EXP(-LN(2)/25)*BQ74+(1-EXP(-LN(2)/25))/(LN(2)/25)*Calculateur!BL75*Calculateur!BN75*VLOOKUP('Données projet'!$B$11,Paramètres!$A$1:$I$89,3,0)*0.475*44/12</f>
        <v>6.4538317582536955</v>
      </c>
      <c r="BR75" s="21">
        <f>EXP(-LN(2)/2)*BR74+(1-EXP(-LN(2)/2))/(LN(2)/2)*BL75*BO75*VLOOKUP('Données projet'!$B$11,Paramètres!$A$1:$I$89,3,0)*0.475*44/12</f>
        <v>5.6408505602283794E-6</v>
      </c>
      <c r="BS75" s="22">
        <f t="shared" si="63"/>
        <v>13.99037256925431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-3.4106051316484809E-13</v>
      </c>
      <c r="BZ75" s="13">
        <f>BY75*VLOOKUP('Données projet'!$B$12,Paramètres!$A$1:$I$89,3,0)*VLOOKUP('Données projet'!$B$12,Paramètres!$A$1:$I$89,5,0)</f>
        <v>-1.9065282685915009E-13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475.54809021014017</v>
      </c>
      <c r="CE75" s="59">
        <f t="shared" si="94"/>
        <v>593.51433014569966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3.1955039897601729</v>
      </c>
      <c r="CL75" s="21">
        <f>EXP(-LN(2)/25)*CL74+(1-EXP(-LN(2)/25))/(LN(2)/25)*Calculateur!CG75*Calculateur!CI75*VLOOKUP('Données projet'!$B$12,Paramètres!$A$1:$I$89,3,0)*0.475*44/12</f>
        <v>13.298535114306368</v>
      </c>
      <c r="CM75" s="21">
        <f>EXP(-LN(2)/2)*CM74+(1-EXP(-LN(2)/2))/(LN(2)/2)*CG75*CJ75*VLOOKUP('Données projet'!$B$12,Paramètres!$A$1:$I$89,3,0)*0.475*44/12</f>
        <v>6.8750180076301773E-6</v>
      </c>
      <c r="CN75" s="22">
        <f t="shared" si="66"/>
        <v>16.49404597908455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17</v>
      </c>
      <c r="CT75" s="12">
        <f>IF('Données projet'!$A$140&gt;35,CT74+CS75-DB74,IF(A75&lt;'Données projet'!$A$140,$CQ$205^A75,IF(A75='Données projet'!$A$140,'Données projet'!$B$140,CT74+CS75-DB74)))</f>
        <v>370.49999999999989</v>
      </c>
      <c r="CU75" s="17">
        <f>CT75*VLOOKUP('Données projet'!$B$13,Paramètres!$A$1:$I$89,3,0)*VLOOKUP('Données projet'!$B$13,Paramètres!$A$1:$I$89,5,0)</f>
        <v>173.39399999999998</v>
      </c>
      <c r="CV75" s="13">
        <f t="shared" si="95"/>
        <v>43.849289930196633</v>
      </c>
      <c r="CW75" s="20">
        <f t="shared" si="67"/>
        <v>378.36539662842574</v>
      </c>
      <c r="CX75" s="59">
        <f t="shared" si="68"/>
        <v>671.698729961759</v>
      </c>
      <c r="CY75" s="59">
        <f ca="1">AVERAGE(OFFSET($CX$3,0,0,'Données projet'!$E$13+1,1))-AVERAGE(OFFSET($H$3,0,0,'Données projet'!$E$13+1,1))</f>
        <v>226.0452828290525</v>
      </c>
      <c r="CZ75" s="59">
        <f t="shared" si="96"/>
        <v>179.89696397462069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3.9506312059713027</v>
      </c>
      <c r="DG75" s="21">
        <f>EXP(-LN(2)/25)*DG74+(1-EXP(-LN(2)/25))/(LN(2)/25)*Calculateur!DB75*Calculateur!DD75*VLOOKUP('Données projet'!$B$13,Paramètres!$A$1:$I$89,3,0)*0.475*44/12</f>
        <v>3.4801334217695477</v>
      </c>
      <c r="DH75" s="21">
        <f>EXP(-LN(2)/2)*DH74+(1-EXP(-LN(2)/2))/(LN(2)/2)*DB75*DE75*VLOOKUP('Données projet'!$B$13,Paramètres!$A$1:$I$89,3,0)*0.475*44/12</f>
        <v>5.265774080084985E-6</v>
      </c>
      <c r="DI75" s="22">
        <f t="shared" si="69"/>
        <v>7.4307698935149302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1.1368683772161603E-13</v>
      </c>
      <c r="DP75" s="17">
        <f>DO75*VLOOKUP('Données projet'!$B$14,Paramètres!$A$1:$I$89,3,0)*VLOOKUP('Données projet'!$B$14,Paramètres!$A$1:$I$89,5,0)</f>
        <v>6.7984728957526396E-14</v>
      </c>
      <c r="DQ75" s="13">
        <f t="shared" si="97"/>
        <v>1.0682447123141398E-12</v>
      </c>
      <c r="DR75" s="20">
        <f t="shared" si="70"/>
        <v>1.978932943548152E-12</v>
      </c>
      <c r="DS75" s="59">
        <f t="shared" si="71"/>
        <v>293.3333333333353</v>
      </c>
      <c r="DT75" s="59">
        <f ca="1">AVERAGE(OFFSET($DS$3,0,0,'Données projet'!$E$14+1,1))-AVERAGE(OFFSET($H$3,0,0,'Données projet'!$E$14+1,1))</f>
        <v>252.81045065813976</v>
      </c>
      <c r="DU75" s="59">
        <f t="shared" si="98"/>
        <v>254.36590349790589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7.8586676231197883</v>
      </c>
      <c r="EB75" s="21">
        <f>EXP(-LN(2)/25)*EB74+(1-EXP(-LN(2)/25))/(LN(2)/25)*Calculateur!DW75*Calculateur!DY75*VLOOKUP('Données projet'!$B$14,Paramètres!$A$1:$I$89,3,0)*0.475*44/12</f>
        <v>5.0326499568995402</v>
      </c>
      <c r="EC75" s="21">
        <f>EXP(-LN(2)/2)*EC74+(1-EXP(-LN(2)/2))/(LN(2)/2)*DW75*DZ75*VLOOKUP('Données projet'!$B$14,Paramètres!$A$1:$I$89,3,0)*0.475*44/12</f>
        <v>2.7377050800981583E-6</v>
      </c>
      <c r="ED75" s="22">
        <f t="shared" si="72"/>
        <v>12.891320317724409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4.8</v>
      </c>
      <c r="EJ75" s="12">
        <f>IF('Données projet'!$A$192&gt;35,EJ74+EI75-ER74,IF(A75&lt;'Données projet'!$A$192,$EG$205^A75,IF(A75='Données projet'!$A$192,'Données projet'!$B$192,EJ74+EI75-ER74)))</f>
        <v>360.59999999999968</v>
      </c>
      <c r="EK75" s="17">
        <f>EJ75*VLOOKUP('Données projet'!$B$15,Paramètres!$A$1:$I$89,3,0)*VLOOKUP('Données projet'!$B$15,Paramètres!$A$1:$I$89,5,0)</f>
        <v>264.39191999999974</v>
      </c>
      <c r="EL75" s="13">
        <f t="shared" si="99"/>
        <v>63.657643181110089</v>
      </c>
      <c r="EM75" s="20">
        <f t="shared" si="73"/>
        <v>571.35298920709954</v>
      </c>
      <c r="EN75" s="59">
        <f t="shared" si="74"/>
        <v>864.68632254043291</v>
      </c>
      <c r="EO75" s="59">
        <f ca="1">AVERAGE(OFFSET($EN$3,0,0,'Données projet'!$E$15+1,1))-AVERAGE(OFFSET($H$3,0,0,'Données projet'!$E$15+1,1))</f>
        <v>296.91321813251051</v>
      </c>
      <c r="EP75" s="59">
        <f t="shared" si="100"/>
        <v>291.0718079639509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5.634975056926848</v>
      </c>
      <c r="EW75" s="21">
        <f>EXP(-LN(2)/25)*EW74+(1-EXP(-LN(2)/25))/(LN(2)/25)*Calculateur!ER75*Calculateur!ET75*VLOOKUP('Données projet'!$B$15,Paramètres!$A$1:$I$89,3,0)*0.475*44/12</f>
        <v>4.8254509742621963</v>
      </c>
      <c r="EX75" s="21">
        <f>EXP(-LN(2)/2)*EX74+(1-EXP(-LN(2)/2))/(LN(2)/2)*ER75*EU75*VLOOKUP('Données projet'!$B$15,Paramètres!$A$1:$I$89,3,0)*0.475*44/12</f>
        <v>5.1984309084457739E-6</v>
      </c>
      <c r="EY75" s="22">
        <f t="shared" si="75"/>
        <v>10.460431229619953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7.6</v>
      </c>
      <c r="FE75" s="12">
        <f>IF('Données projet'!$A$218&gt;35,FE74+FD75-FM74,IF(A75&lt;'Données projet'!$A$218,$FB$205^A75,IF(A75='Données projet'!$A$218,'Données projet'!$B$218,FE74+FD75-FM74)))</f>
        <v>289.2</v>
      </c>
      <c r="FF75" s="17">
        <f>FE75*VLOOKUP('Données projet'!$B$16,Paramètres!$A$1:$I$89,3,0)*VLOOKUP('Données projet'!$B$16,Paramètres!$A$1:$I$89,5,0)</f>
        <v>293.24880000000002</v>
      </c>
      <c r="FG75" s="13">
        <f t="shared" si="101"/>
        <v>69.759283249126327</v>
      </c>
      <c r="FH75" s="20">
        <f t="shared" si="76"/>
        <v>632.23907832556176</v>
      </c>
      <c r="FI75" s="59">
        <f t="shared" si="77"/>
        <v>925.57241165889513</v>
      </c>
      <c r="FJ75" s="59">
        <f ca="1">AVERAGE(OFFSET($FI$3,0,0,'Données projet'!$E$16+1,1))-AVERAGE(OFFSET($H$3,0,0,'Données projet'!$E$16+1,1))</f>
        <v>356.65981389369125</v>
      </c>
      <c r="FK75" s="59">
        <f t="shared" si="102"/>
        <v>231.92898690465887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3.5651214111550118</v>
      </c>
      <c r="FR75" s="21">
        <f>EXP(-LN(2)/25)*FR74+(1-EXP(-LN(2)/25))/(LN(2)/25)*Calculateur!FM75*Calculateur!FO75*VLOOKUP('Données projet'!$B$16,Paramètres!$A$1:$I$89,3,0)*0.475*44/12</f>
        <v>3.2753061923220175</v>
      </c>
      <c r="FS75" s="21">
        <f>EXP(-LN(2)/2)*FS74+(1-EXP(-LN(2)/2))/(LN(2)/2)*FM75*FP75*VLOOKUP('Données projet'!$B$16,Paramètres!$A$1:$I$89,3,0)*0.475*44/12</f>
        <v>4.5608990628715292E-6</v>
      </c>
      <c r="FT75" s="22">
        <f t="shared" si="78"/>
        <v>6.8404321643760921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7.6</v>
      </c>
      <c r="FZ75" s="12">
        <f>IF('Données projet'!$A$244&gt;35,FZ74+FY75-GH74,IF(A75&lt;'Données projet'!$A$244,$FW$205^A75,IF(A75='Données projet'!$A$244,'Données projet'!$B$244,FZ74+FY75-GH74)))</f>
        <v>289.2</v>
      </c>
      <c r="GA75" s="17">
        <f>FZ75*VLOOKUP('Données projet'!$B$17,Paramètres!$A$1:$I$89,3,0)*VLOOKUP('Données projet'!$B$17,Paramètres!$A$1:$I$89,5,0)</f>
        <v>279.71424000000002</v>
      </c>
      <c r="GB75" s="13">
        <f t="shared" si="103"/>
        <v>66.906615990158315</v>
      </c>
      <c r="GC75" s="20">
        <f t="shared" si="79"/>
        <v>603.69799084952581</v>
      </c>
      <c r="GD75" s="59">
        <f t="shared" si="80"/>
        <v>897.03132418285918</v>
      </c>
      <c r="GE75" s="59">
        <f ca="1">AVERAGE(OFFSET($GD$3,0,0,'Données projet'!$E$17+1,1))-AVERAGE(OFFSET($H$3,0,0,'Données projet'!$E$17+1,1))</f>
        <v>337.76140497227715</v>
      </c>
      <c r="GF75" s="59">
        <f t="shared" si="104"/>
        <v>219.76562717496353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3.4005773460247792</v>
      </c>
      <c r="GM75" s="21">
        <f>EXP(-LN(2)/25)*GM74+(1-EXP(-LN(2)/25))/(LN(2)/25)*Calculateur!GH75*Calculateur!GJ75*VLOOKUP('Données projet'!$B$17,Paramètres!$A$1:$I$89,3,0)*0.475*44/12</f>
        <v>3.1241382142148466</v>
      </c>
      <c r="GN75" s="21">
        <f>EXP(-LN(2)/2)*GN74+(1-EXP(-LN(2)/2))/(LN(2)/2)*GH75*GK75*VLOOKUP('Données projet'!$B$17,Paramètres!$A$1:$I$89,3,0)*0.475*44/12</f>
        <v>4.3503960292005365E-6</v>
      </c>
      <c r="GO75" s="21">
        <f t="shared" si="81"/>
        <v>6.524719910635655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296.8</v>
      </c>
      <c r="O76" s="13">
        <f>N76*VLOOKUP('Données projet'!$B$9,Paramètres!$A$1:$I$89,3,0)*VLOOKUP('Données projet'!$B$9,Paramètres!$A$1:$I$89,5,0)</f>
        <v>268.54464000000002</v>
      </c>
      <c r="P76" s="13">
        <f t="shared" si="87"/>
        <v>64.54030807605065</v>
      </c>
      <c r="Q76" s="20">
        <f t="shared" si="54"/>
        <v>580.12295123245474</v>
      </c>
      <c r="R76" s="59">
        <f t="shared" si="55"/>
        <v>873.45628456578811</v>
      </c>
      <c r="S76" s="59">
        <f ca="1">AVERAGE(OFFSET($R$3,0,0,'Données projet'!$E$9+1,1))-AVERAGE(OFFSET($H$3,0,0,'Données projet'!$E$9+1,1))</f>
        <v>312.53389584272878</v>
      </c>
      <c r="T76" s="59">
        <f t="shared" si="88"/>
        <v>203.5274665601915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3.1188041565832778</v>
      </c>
      <c r="AA76" s="21">
        <f>EXP(-LN(2)/25)*AA75+(1-EXP(-LN(2)/25))/(LN(2)/25)*Calculateur!V76*Calculateur!X76*VLOOKUP('Données projet'!$B$9,Paramètres!$A$1:$I$89,3,0)*0.475*44/12</f>
        <v>2.8426627813941838</v>
      </c>
      <c r="AB76" s="21">
        <f>EXP(-LN(2)/2)*AB75+(1-EXP(-LN(2)/2))/(LN(2)/2)*V76*Y76*VLOOKUP('Données projet'!$B$9,Paramètres!$A$1:$I$89,3,0)*0.475*44/12</f>
        <v>2.8777303696692618E-6</v>
      </c>
      <c r="AC76" s="22">
        <f t="shared" si="57"/>
        <v>5.9614698157078312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5.6843418860808015E-14</v>
      </c>
      <c r="AJ76" s="13">
        <f>AI76*VLOOKUP('Données projet'!$B$10,Paramètres!$A$1:$I$89,3,0)*VLOOKUP('Données projet'!$B$10,Paramètres!$A$1:$I$89,5,0)</f>
        <v>4.9658410716801891E-14</v>
      </c>
      <c r="AK76" s="13">
        <f t="shared" si="89"/>
        <v>8.0934058173791862E-13</v>
      </c>
      <c r="AL76" s="20">
        <f t="shared" si="58"/>
        <v>1.4960899118586383E-12</v>
      </c>
      <c r="AM76" s="59">
        <f t="shared" si="59"/>
        <v>293.33333333333479</v>
      </c>
      <c r="AN76" s="59">
        <f ca="1">AVERAGE(OFFSET($AM$3,0,0,'Données projet'!$E$10+1,1))-AVERAGE(OFFSET($H$3,0,0,'Données projet'!$E$10+1,1))</f>
        <v>243.05628303465238</v>
      </c>
      <c r="AO76" s="59">
        <f t="shared" si="90"/>
        <v>352.47096767658394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3.369041409317183</v>
      </c>
      <c r="AV76" s="21">
        <f>EXP(-LN(2)/25)*AV75+(1-EXP(-LN(2)/25))/(LN(2)/25)*Calculateur!AQ76*Calculateur!AS76*VLOOKUP('Données projet'!$B$10,Paramètres!$A$1:$I$89,3,0)*0.475*44/12</f>
        <v>5.4997190410018266</v>
      </c>
      <c r="AW76" s="21">
        <f>EXP(-LN(2)/2)*AW75+(1-EXP(-LN(2)/2))/(LN(2)/2)*AQ76*AT76*VLOOKUP('Données projet'!$B$10,Paramètres!$A$1:$I$89,3,0)*0.475*44/12</f>
        <v>3.8010280979172713E-6</v>
      </c>
      <c r="AX76" s="21">
        <f t="shared" si="60"/>
        <v>8.8687642513471072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4.8</v>
      </c>
      <c r="BD76" s="12">
        <f>IF('Données projet'!$A$88&gt;35,BD75+BC76-BL75,IF(A76&lt;'Données projet'!$A$88,$BA$205^A76,IF(A76='Données projet'!$A$88,'Données projet'!$B$88,BD75+BC76-BL75)))</f>
        <v>365.39999999999969</v>
      </c>
      <c r="BE76" s="13">
        <f>BD76*VLOOKUP('Données projet'!$B$11,Paramètres!$A$1:$I$89,3,0)*VLOOKUP('Données projet'!$B$11,Paramètres!$A$1:$I$89,5,0)</f>
        <v>290.71223999999978</v>
      </c>
      <c r="BF76" s="13">
        <f t="shared" si="91"/>
        <v>69.225842856510994</v>
      </c>
      <c r="BG76" s="20">
        <f t="shared" si="61"/>
        <v>626.89216097508961</v>
      </c>
      <c r="BH76" s="59">
        <f t="shared" si="62"/>
        <v>920.22549430842287</v>
      </c>
      <c r="BI76" s="59">
        <f ca="1">AVERAGE(OFFSET($BH$3,0,0,'Données projet'!$E$11+1,1))-AVERAGE(OFFSET($H$3,0,0,'Données projet'!$E$11+1,1))</f>
        <v>325.72928944930294</v>
      </c>
      <c r="BJ76" s="59">
        <f t="shared" si="92"/>
        <v>318.38876834819752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7.3887483122959665</v>
      </c>
      <c r="BQ76" s="21">
        <f>EXP(-LN(2)/25)*BQ75+(1-EXP(-LN(2)/25))/(LN(2)/25)*Calculateur!BL76*Calculateur!BN76*VLOOKUP('Données projet'!$B$11,Paramètres!$A$1:$I$89,3,0)*0.475*44/12</f>
        <v>6.2773513894319866</v>
      </c>
      <c r="BR76" s="21">
        <f>EXP(-LN(2)/2)*BR75+(1-EXP(-LN(2)/2))/(LN(2)/2)*BL76*BO76*VLOOKUP('Données projet'!$B$11,Paramètres!$A$1:$I$89,3,0)*0.475*44/12</f>
        <v>3.9886836827974226E-6</v>
      </c>
      <c r="BS76" s="22">
        <f t="shared" si="63"/>
        <v>13.666103690411635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-3.4106051316484809E-13</v>
      </c>
      <c r="BZ76" s="13">
        <f>BY76*VLOOKUP('Données projet'!$B$12,Paramètres!$A$1:$I$89,3,0)*VLOOKUP('Données projet'!$B$12,Paramètres!$A$1:$I$89,5,0)</f>
        <v>-1.9065282685915009E-13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475.54809021014017</v>
      </c>
      <c r="CE76" s="59">
        <f t="shared" si="94"/>
        <v>593.51433014569966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3.1328421055859557</v>
      </c>
      <c r="CL76" s="21">
        <f>EXP(-LN(2)/25)*CL75+(1-EXP(-LN(2)/25))/(LN(2)/25)*Calculateur!CG76*Calculateur!CI76*VLOOKUP('Données projet'!$B$12,Paramètres!$A$1:$I$89,3,0)*0.475*44/12</f>
        <v>12.934885972266093</v>
      </c>
      <c r="CM76" s="21">
        <f>EXP(-LN(2)/2)*CM75+(1-EXP(-LN(2)/2))/(LN(2)/2)*CG76*CJ76*VLOOKUP('Données projet'!$B$12,Paramètres!$A$1:$I$89,3,0)*0.475*44/12</f>
        <v>4.8613718539749256E-6</v>
      </c>
      <c r="CN76" s="22">
        <f t="shared" si="66"/>
        <v>16.067732939223902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17</v>
      </c>
      <c r="CT76" s="12">
        <f>IF('Données projet'!$A$140&gt;35,CT75+CS76-DB75,IF(A76&lt;'Données projet'!$A$140,$CQ$205^A76,IF(A76='Données projet'!$A$140,'Données projet'!$B$140,CT75+CS76-DB75)))</f>
        <v>387.49999999999989</v>
      </c>
      <c r="CU76" s="17">
        <f>CT76*VLOOKUP('Données projet'!$B$13,Paramètres!$A$1:$I$89,3,0)*VLOOKUP('Données projet'!$B$13,Paramètres!$A$1:$I$89,5,0)</f>
        <v>181.34999999999994</v>
      </c>
      <c r="CV76" s="13">
        <f t="shared" si="95"/>
        <v>45.622405555921837</v>
      </c>
      <c r="CW76" s="20">
        <f t="shared" si="67"/>
        <v>395.310273009897</v>
      </c>
      <c r="CX76" s="59">
        <f t="shared" si="68"/>
        <v>688.64360634323032</v>
      </c>
      <c r="CY76" s="59">
        <f ca="1">AVERAGE(OFFSET($CX$3,0,0,'Données projet'!$E$13+1,1))-AVERAGE(OFFSET($H$3,0,0,'Données projet'!$E$13+1,1))</f>
        <v>226.0452828290525</v>
      </c>
      <c r="CZ76" s="59">
        <f t="shared" si="96"/>
        <v>179.89696397462069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3.8731617376693084</v>
      </c>
      <c r="DG76" s="21">
        <f>EXP(-LN(2)/25)*DG75+(1-EXP(-LN(2)/25))/(LN(2)/25)*Calculateur!DB76*Calculateur!DD76*VLOOKUP('Données projet'!$B$13,Paramètres!$A$1:$I$89,3,0)*0.475*44/12</f>
        <v>3.3849689903389968</v>
      </c>
      <c r="DH76" s="21">
        <f>EXP(-LN(2)/2)*DH75+(1-EXP(-LN(2)/2))/(LN(2)/2)*DB76*DE76*VLOOKUP('Données projet'!$B$13,Paramètres!$A$1:$I$89,3,0)*0.475*44/12</f>
        <v>3.7234645602244474E-6</v>
      </c>
      <c r="DI76" s="22">
        <f t="shared" si="69"/>
        <v>7.2581344514728654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1.1368683772161603E-13</v>
      </c>
      <c r="DP76" s="17">
        <f>DO76*VLOOKUP('Données projet'!$B$14,Paramètres!$A$1:$I$89,3,0)*VLOOKUP('Données projet'!$B$14,Paramètres!$A$1:$I$89,5,0)</f>
        <v>6.7984728957526396E-14</v>
      </c>
      <c r="DQ76" s="13">
        <f t="shared" si="97"/>
        <v>1.0682447123141398E-12</v>
      </c>
      <c r="DR76" s="20">
        <f t="shared" si="70"/>
        <v>1.978932943548152E-12</v>
      </c>
      <c r="DS76" s="59">
        <f t="shared" si="71"/>
        <v>293.3333333333353</v>
      </c>
      <c r="DT76" s="59">
        <f ca="1">AVERAGE(OFFSET($DS$3,0,0,'Données projet'!$E$14+1,1))-AVERAGE(OFFSET($H$3,0,0,'Données projet'!$E$14+1,1))</f>
        <v>252.81045065813976</v>
      </c>
      <c r="DU76" s="59">
        <f t="shared" si="98"/>
        <v>254.36590349790589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7.7045639443443585</v>
      </c>
      <c r="EB76" s="21">
        <f>EXP(-LN(2)/25)*EB75+(1-EXP(-LN(2)/25))/(LN(2)/25)*Calculateur!DW76*Calculateur!DY76*VLOOKUP('Données projet'!$B$14,Paramètres!$A$1:$I$89,3,0)*0.475*44/12</f>
        <v>4.8950318791725635</v>
      </c>
      <c r="EC76" s="21">
        <f>EXP(-LN(2)/2)*EC75+(1-EXP(-LN(2)/2))/(LN(2)/2)*DW76*DZ76*VLOOKUP('Données projet'!$B$14,Paramètres!$A$1:$I$89,3,0)*0.475*44/12</f>
        <v>1.9358498270262679E-6</v>
      </c>
      <c r="ED76" s="22">
        <f t="shared" si="72"/>
        <v>12.599597759366748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4.8</v>
      </c>
      <c r="EJ76" s="12">
        <f>IF('Données projet'!$A$192&gt;35,EJ75+EI76-ER75,IF(A76&lt;'Données projet'!$A$192,$EG$205^A76,IF(A76='Données projet'!$A$192,'Données projet'!$B$192,EJ75+EI76-ER75)))</f>
        <v>365.39999999999969</v>
      </c>
      <c r="EK76" s="17">
        <f>EJ76*VLOOKUP('Données projet'!$B$15,Paramètres!$A$1:$I$89,3,0)*VLOOKUP('Données projet'!$B$15,Paramètres!$A$1:$I$89,5,0)</f>
        <v>267.91127999999981</v>
      </c>
      <c r="EL76" s="13">
        <f t="shared" si="99"/>
        <v>64.405790031310872</v>
      </c>
      <c r="EM76" s="20">
        <f t="shared" si="73"/>
        <v>578.78556363786606</v>
      </c>
      <c r="EN76" s="59">
        <f t="shared" si="74"/>
        <v>872.11889697119932</v>
      </c>
      <c r="EO76" s="59">
        <f ca="1">AVERAGE(OFFSET($EN$3,0,0,'Données projet'!$E$15+1,1))-AVERAGE(OFFSET($H$3,0,0,'Données projet'!$E$15+1,1))</f>
        <v>296.91321813251051</v>
      </c>
      <c r="EP76" s="59">
        <f t="shared" si="100"/>
        <v>291.0718079639509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5.5244766330559223</v>
      </c>
      <c r="EW76" s="21">
        <f>EXP(-LN(2)/25)*EW75+(1-EXP(-LN(2)/25))/(LN(2)/25)*Calculateur!ER76*Calculateur!ET76*VLOOKUP('Données projet'!$B$15,Paramètres!$A$1:$I$89,3,0)*0.475*44/12</f>
        <v>4.6934987636115588</v>
      </c>
      <c r="EX76" s="21">
        <f>EXP(-LN(2)/2)*EX75+(1-EXP(-LN(2)/2))/(LN(2)/2)*ER76*EU76*VLOOKUP('Données projet'!$B$15,Paramètres!$A$1:$I$89,3,0)*0.475*44/12</f>
        <v>3.6758457468917514E-6</v>
      </c>
      <c r="EY76" s="22">
        <f t="shared" si="75"/>
        <v>10.217979072513227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7.6</v>
      </c>
      <c r="FE76" s="12">
        <f>IF('Données projet'!$A$218&gt;35,FE75+FD76-FM75,IF(A76&lt;'Données projet'!$A$218,$FB$205^A76,IF(A76='Données projet'!$A$218,'Données projet'!$B$218,FE75+FD76-FM75)))</f>
        <v>296.8</v>
      </c>
      <c r="FF76" s="17">
        <f>FE76*VLOOKUP('Données projet'!$B$16,Paramètres!$A$1:$I$89,3,0)*VLOOKUP('Données projet'!$B$16,Paramètres!$A$1:$I$89,5,0)</f>
        <v>300.95520000000005</v>
      </c>
      <c r="FG76" s="13">
        <f t="shared" si="101"/>
        <v>71.376673021759785</v>
      </c>
      <c r="FH76" s="20">
        <f t="shared" si="76"/>
        <v>648.4780121795651</v>
      </c>
      <c r="FI76" s="59">
        <f t="shared" si="77"/>
        <v>941.81134551289847</v>
      </c>
      <c r="FJ76" s="59">
        <f ca="1">AVERAGE(OFFSET($FI$3,0,0,'Données projet'!$E$16+1,1))-AVERAGE(OFFSET($H$3,0,0,'Données projet'!$E$16+1,1))</f>
        <v>356.65981389369125</v>
      </c>
      <c r="FK76" s="59">
        <f t="shared" si="102"/>
        <v>231.92898690465887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3.4952115547916081</v>
      </c>
      <c r="FR76" s="21">
        <f>EXP(-LN(2)/25)*FR75+(1-EXP(-LN(2)/25))/(LN(2)/25)*Calculateur!FM76*Calculateur!FO76*VLOOKUP('Données projet'!$B$16,Paramètres!$A$1:$I$89,3,0)*0.475*44/12</f>
        <v>3.1857427722521052</v>
      </c>
      <c r="FS76" s="21">
        <f>EXP(-LN(2)/2)*FS75+(1-EXP(-LN(2)/2))/(LN(2)/2)*FM76*FP76*VLOOKUP('Données projet'!$B$16,Paramètres!$A$1:$I$89,3,0)*0.475*44/12</f>
        <v>3.2250426556638281E-6</v>
      </c>
      <c r="FT76" s="22">
        <f t="shared" si="78"/>
        <v>6.6809575520863689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7.6</v>
      </c>
      <c r="FZ76" s="12">
        <f>IF('Données projet'!$A$244&gt;35,FZ75+FY76-GH75,IF(A76&lt;'Données projet'!$A$244,$FW$205^A76,IF(A76='Données projet'!$A$244,'Données projet'!$B$244,FZ75+FY76-GH75)))</f>
        <v>296.8</v>
      </c>
      <c r="GA76" s="17">
        <f>FZ76*VLOOKUP('Données projet'!$B$17,Paramètres!$A$1:$I$89,3,0)*VLOOKUP('Données projet'!$B$17,Paramètres!$A$1:$I$89,5,0)</f>
        <v>287.06496000000004</v>
      </c>
      <c r="GB76" s="13">
        <f t="shared" si="103"/>
        <v>68.457865822206315</v>
      </c>
      <c r="GC76" s="20">
        <f t="shared" si="79"/>
        <v>619.20225497367608</v>
      </c>
      <c r="GD76" s="59">
        <f t="shared" si="80"/>
        <v>912.53558830700945</v>
      </c>
      <c r="GE76" s="59">
        <f ca="1">AVERAGE(OFFSET($GD$3,0,0,'Données projet'!$E$17+1,1))-AVERAGE(OFFSET($H$3,0,0,'Données projet'!$E$17+1,1))</f>
        <v>337.76140497227715</v>
      </c>
      <c r="GF76" s="59">
        <f t="shared" si="104"/>
        <v>219.76562717496353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3.3338940984166094</v>
      </c>
      <c r="GM76" s="21">
        <f>EXP(-LN(2)/25)*GM75+(1-EXP(-LN(2)/25))/(LN(2)/25)*Calculateur!GH76*Calculateur!GJ76*VLOOKUP('Données projet'!$B$17,Paramètres!$A$1:$I$89,3,0)*0.475*44/12</f>
        <v>3.0387084904558535</v>
      </c>
      <c r="GN76" s="21">
        <f>EXP(-LN(2)/2)*GN75+(1-EXP(-LN(2)/2))/(LN(2)/2)*GH76*GK76*VLOOKUP('Données projet'!$B$17,Paramètres!$A$1:$I$89,3,0)*0.475*44/12</f>
        <v>3.076194533094729E-6</v>
      </c>
      <c r="GO76" s="21">
        <f t="shared" si="81"/>
        <v>6.3726056650669953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304.40000000000003</v>
      </c>
      <c r="O77" s="13">
        <f>N77*VLOOKUP('Données projet'!$B$9,Paramètres!$A$1:$I$89,3,0)*VLOOKUP('Données projet'!$B$9,Paramètres!$A$1:$I$89,5,0)</f>
        <v>275.42112000000003</v>
      </c>
      <c r="P77" s="13">
        <f t="shared" si="87"/>
        <v>65.998433293601067</v>
      </c>
      <c r="Q77" s="20">
        <f t="shared" si="54"/>
        <v>594.63905531968851</v>
      </c>
      <c r="R77" s="59">
        <f t="shared" si="55"/>
        <v>887.97238865302188</v>
      </c>
      <c r="S77" s="59">
        <f ca="1">AVERAGE(OFFSET($R$3,0,0,'Données projet'!$E$9+1,1))-AVERAGE(OFFSET($H$3,0,0,'Données projet'!$E$9+1,1))</f>
        <v>312.53389584272878</v>
      </c>
      <c r="T77" s="59">
        <f t="shared" si="88"/>
        <v>203.5274665601915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3.0576463093553805</v>
      </c>
      <c r="AA77" s="21">
        <f>EXP(-LN(2)/25)*AA76+(1-EXP(-LN(2)/25))/(LN(2)/25)*Calculateur!V77*Calculateur!X77*VLOOKUP('Données projet'!$B$9,Paramètres!$A$1:$I$89,3,0)*0.475*44/12</f>
        <v>2.7649300181478211</v>
      </c>
      <c r="AB77" s="21">
        <f>EXP(-LN(2)/2)*AB76+(1-EXP(-LN(2)/2))/(LN(2)/2)*V77*Y77*VLOOKUP('Données projet'!$B$9,Paramètres!$A$1:$I$89,3,0)*0.475*44/12</f>
        <v>2.0348626588196052E-6</v>
      </c>
      <c r="AC77" s="22">
        <f t="shared" si="57"/>
        <v>5.82257836236586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5.6843418860808015E-14</v>
      </c>
      <c r="AJ77" s="13">
        <f>AI77*VLOOKUP('Données projet'!$B$10,Paramètres!$A$1:$I$89,3,0)*VLOOKUP('Données projet'!$B$10,Paramètres!$A$1:$I$89,5,0)</f>
        <v>4.9658410716801891E-14</v>
      </c>
      <c r="AK77" s="13">
        <f t="shared" si="89"/>
        <v>8.0934058173791862E-13</v>
      </c>
      <c r="AL77" s="20">
        <f t="shared" si="58"/>
        <v>1.4960899118586383E-12</v>
      </c>
      <c r="AM77" s="59">
        <f t="shared" si="59"/>
        <v>293.33333333333479</v>
      </c>
      <c r="AN77" s="59">
        <f ca="1">AVERAGE(OFFSET($AM$3,0,0,'Données projet'!$E$10+1,1))-AVERAGE(OFFSET($H$3,0,0,'Données projet'!$E$10+1,1))</f>
        <v>243.05628303465238</v>
      </c>
      <c r="AO77" s="59">
        <f t="shared" si="90"/>
        <v>352.47096767658394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3.3029765621928271</v>
      </c>
      <c r="AV77" s="21">
        <f>EXP(-LN(2)/25)*AV76+(1-EXP(-LN(2)/25))/(LN(2)/25)*Calculateur!AQ77*Calculateur!AS77*VLOOKUP('Données projet'!$B$10,Paramètres!$A$1:$I$89,3,0)*0.475*44/12</f>
        <v>5.3493289346079766</v>
      </c>
      <c r="AW77" s="21">
        <f>EXP(-LN(2)/2)*AW76+(1-EXP(-LN(2)/2))/(LN(2)/2)*AQ77*AT77*VLOOKUP('Données projet'!$B$10,Paramètres!$A$1:$I$89,3,0)*0.475*44/12</f>
        <v>2.6877327435179073E-6</v>
      </c>
      <c r="AX77" s="21">
        <f t="shared" si="60"/>
        <v>8.6523081845335472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4.8</v>
      </c>
      <c r="BD77" s="12">
        <f>IF('Données projet'!$A$88&gt;35,BD76+BC77-BL76,IF(A77&lt;'Données projet'!$A$88,$BA$205^A77,IF(A77='Données projet'!$A$88,'Données projet'!$B$88,BD76+BC77-BL76)))</f>
        <v>370.1999999999997</v>
      </c>
      <c r="BE77" s="13">
        <f>BD77*VLOOKUP('Données projet'!$B$11,Paramètres!$A$1:$I$89,3,0)*VLOOKUP('Données projet'!$B$11,Paramètres!$A$1:$I$89,5,0)</f>
        <v>294.53111999999976</v>
      </c>
      <c r="BF77" s="13">
        <f t="shared" si="91"/>
        <v>70.028751453157682</v>
      </c>
      <c r="BG77" s="20">
        <f t="shared" si="61"/>
        <v>634.94177611424914</v>
      </c>
      <c r="BH77" s="59">
        <f t="shared" si="62"/>
        <v>928.27510944758251</v>
      </c>
      <c r="BI77" s="59">
        <f ca="1">AVERAGE(OFFSET($BH$3,0,0,'Données projet'!$E$11+1,1))-AVERAGE(OFFSET($H$3,0,0,'Données projet'!$E$11+1,1))</f>
        <v>325.72928944930294</v>
      </c>
      <c r="BJ77" s="59">
        <f t="shared" si="92"/>
        <v>318.38876834819752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7.2438594645833145</v>
      </c>
      <c r="BQ77" s="21">
        <f>EXP(-LN(2)/25)*BQ76+(1-EXP(-LN(2)/25))/(LN(2)/25)*Calculateur!BL77*Calculateur!BN77*VLOOKUP('Données projet'!$B$11,Paramètres!$A$1:$I$89,3,0)*0.475*44/12</f>
        <v>6.105696885576406</v>
      </c>
      <c r="BR77" s="21">
        <f>EXP(-LN(2)/2)*BR76+(1-EXP(-LN(2)/2))/(LN(2)/2)*BL77*BO77*VLOOKUP('Données projet'!$B$11,Paramètres!$A$1:$I$89,3,0)*0.475*44/12</f>
        <v>2.8204252801141897E-6</v>
      </c>
      <c r="BS77" s="22">
        <f t="shared" si="63"/>
        <v>13.349559170585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-3.4106051316484809E-13</v>
      </c>
      <c r="BZ77" s="13">
        <f>BY77*VLOOKUP('Données projet'!$B$12,Paramètres!$A$1:$I$89,3,0)*VLOOKUP('Données projet'!$B$12,Paramètres!$A$1:$I$89,5,0)</f>
        <v>-1.9065282685915009E-13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475.54809021014017</v>
      </c>
      <c r="CE77" s="59">
        <f t="shared" si="94"/>
        <v>593.51433014569966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3.0714089827404192</v>
      </c>
      <c r="CL77" s="21">
        <f>EXP(-LN(2)/25)*CL76+(1-EXP(-LN(2)/25))/(LN(2)/25)*Calculateur!CG77*Calculateur!CI77*VLOOKUP('Données projet'!$B$12,Paramètres!$A$1:$I$89,3,0)*0.475*44/12</f>
        <v>12.581180835138387</v>
      </c>
      <c r="CM77" s="21">
        <f>EXP(-LN(2)/2)*CM76+(1-EXP(-LN(2)/2))/(LN(2)/2)*CG77*CJ77*VLOOKUP('Données projet'!$B$12,Paramètres!$A$1:$I$89,3,0)*0.475*44/12</f>
        <v>3.4375090038150886E-6</v>
      </c>
      <c r="CN77" s="22">
        <f t="shared" si="66"/>
        <v>15.65259325538781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17</v>
      </c>
      <c r="CT77" s="12">
        <f>IF('Données projet'!$A$140&gt;35,CT76+CS77-DB76,IF(A77&lt;'Données projet'!$A$140,$CQ$205^A77,IF(A77='Données projet'!$A$140,'Données projet'!$B$140,CT76+CS77-DB76)))</f>
        <v>404.49999999999989</v>
      </c>
      <c r="CU77" s="17">
        <f>CT77*VLOOKUP('Données projet'!$B$13,Paramètres!$A$1:$I$89,3,0)*VLOOKUP('Données projet'!$B$13,Paramètres!$A$1:$I$89,5,0)</f>
        <v>189.30599999999993</v>
      </c>
      <c r="CV77" s="13">
        <f t="shared" si="95"/>
        <v>47.386486642979079</v>
      </c>
      <c r="CW77" s="20">
        <f t="shared" si="67"/>
        <v>412.23941423652178</v>
      </c>
      <c r="CX77" s="59">
        <f t="shared" si="68"/>
        <v>705.5727475698551</v>
      </c>
      <c r="CY77" s="59">
        <f ca="1">AVERAGE(OFFSET($CX$3,0,0,'Données projet'!$E$13+1,1))-AVERAGE(OFFSET($H$3,0,0,'Données projet'!$E$13+1,1))</f>
        <v>226.0452828290525</v>
      </c>
      <c r="CZ77" s="59">
        <f t="shared" si="96"/>
        <v>179.89696397462069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3.7972113983890061</v>
      </c>
      <c r="DG77" s="21">
        <f>EXP(-LN(2)/25)*DG76+(1-EXP(-LN(2)/25))/(LN(2)/25)*Calculateur!DB77*Calculateur!DD77*VLOOKUP('Données projet'!$B$13,Paramètres!$A$1:$I$89,3,0)*0.475*44/12</f>
        <v>3.2924068352903944</v>
      </c>
      <c r="DH77" s="21">
        <f>EXP(-LN(2)/2)*DH76+(1-EXP(-LN(2)/2))/(LN(2)/2)*DB77*DE77*VLOOKUP('Données projet'!$B$13,Paramètres!$A$1:$I$89,3,0)*0.475*44/12</f>
        <v>2.6328870400424929E-6</v>
      </c>
      <c r="DI77" s="22">
        <f t="shared" si="69"/>
        <v>7.0896208665664409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1.1368683772161603E-13</v>
      </c>
      <c r="DP77" s="17">
        <f>DO77*VLOOKUP('Données projet'!$B$14,Paramètres!$A$1:$I$89,3,0)*VLOOKUP('Données projet'!$B$14,Paramètres!$A$1:$I$89,5,0)</f>
        <v>6.7984728957526396E-14</v>
      </c>
      <c r="DQ77" s="13">
        <f t="shared" si="97"/>
        <v>1.0682447123141398E-12</v>
      </c>
      <c r="DR77" s="20">
        <f t="shared" si="70"/>
        <v>1.978932943548152E-12</v>
      </c>
      <c r="DS77" s="59">
        <f t="shared" si="71"/>
        <v>293.3333333333353</v>
      </c>
      <c r="DT77" s="59">
        <f ca="1">AVERAGE(OFFSET($DS$3,0,0,'Données projet'!$E$14+1,1))-AVERAGE(OFFSET($H$3,0,0,'Données projet'!$E$14+1,1))</f>
        <v>252.81045065813976</v>
      </c>
      <c r="DU77" s="59">
        <f t="shared" si="98"/>
        <v>254.36590349790589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7.5534821447157521</v>
      </c>
      <c r="EB77" s="21">
        <f>EXP(-LN(2)/25)*EB76+(1-EXP(-LN(2)/25))/(LN(2)/25)*Calculateur!DW77*Calculateur!DY77*VLOOKUP('Données projet'!$B$14,Paramètres!$A$1:$I$89,3,0)*0.475*44/12</f>
        <v>4.761176975018051</v>
      </c>
      <c r="EC77" s="21">
        <f>EXP(-LN(2)/2)*EC76+(1-EXP(-LN(2)/2))/(LN(2)/2)*DW77*DZ77*VLOOKUP('Données projet'!$B$14,Paramètres!$A$1:$I$89,3,0)*0.475*44/12</f>
        <v>1.3688525400490791E-6</v>
      </c>
      <c r="ED77" s="22">
        <f t="shared" si="72"/>
        <v>12.314660488586345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4.8</v>
      </c>
      <c r="EJ77" s="12">
        <f>IF('Données projet'!$A$192&gt;35,EJ76+EI77-ER76,IF(A77&lt;'Données projet'!$A$192,$EG$205^A77,IF(A77='Données projet'!$A$192,'Données projet'!$B$192,EJ76+EI77-ER76)))</f>
        <v>370.1999999999997</v>
      </c>
      <c r="EK77" s="17">
        <f>EJ77*VLOOKUP('Données projet'!$B$15,Paramètres!$A$1:$I$89,3,0)*VLOOKUP('Données projet'!$B$15,Paramètres!$A$1:$I$89,5,0)</f>
        <v>271.43063999999981</v>
      </c>
      <c r="EL77" s="13">
        <f t="shared" si="99"/>
        <v>65.152793756453633</v>
      </c>
      <c r="EM77" s="20">
        <f t="shared" si="73"/>
        <v>586.21614712582311</v>
      </c>
      <c r="EN77" s="59">
        <f t="shared" si="74"/>
        <v>879.54948045915648</v>
      </c>
      <c r="EO77" s="59">
        <f ca="1">AVERAGE(OFFSET($EN$3,0,0,'Données projet'!$E$15+1,1))-AVERAGE(OFFSET($H$3,0,0,'Données projet'!$E$15+1,1))</f>
        <v>296.91321813251051</v>
      </c>
      <c r="EP77" s="59">
        <f t="shared" si="100"/>
        <v>291.0718079639509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5.4161450158797217</v>
      </c>
      <c r="EW77" s="21">
        <f>EXP(-LN(2)/25)*EW76+(1-EXP(-LN(2)/25))/(LN(2)/25)*Calculateur!ER77*Calculateur!ET77*VLOOKUP('Données projet'!$B$15,Paramètres!$A$1:$I$89,3,0)*0.475*44/12</f>
        <v>4.5651547931002279</v>
      </c>
      <c r="EX77" s="21">
        <f>EXP(-LN(2)/2)*EX76+(1-EXP(-LN(2)/2))/(LN(2)/2)*ER77*EU77*VLOOKUP('Données projet'!$B$15,Paramètres!$A$1:$I$89,3,0)*0.475*44/12</f>
        <v>2.599215454222887E-6</v>
      </c>
      <c r="EY77" s="22">
        <f t="shared" si="75"/>
        <v>9.981302408195404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7.6</v>
      </c>
      <c r="FE77" s="12">
        <f>IF('Données projet'!$A$218&gt;35,FE76+FD77-FM76,IF(A77&lt;'Données projet'!$A$218,$FB$205^A77,IF(A77='Données projet'!$A$218,'Données projet'!$B$218,FE76+FD77-FM76)))</f>
        <v>304.40000000000003</v>
      </c>
      <c r="FF77" s="17">
        <f>FE77*VLOOKUP('Données projet'!$B$16,Paramètres!$A$1:$I$89,3,0)*VLOOKUP('Données projet'!$B$16,Paramètres!$A$1:$I$89,5,0)</f>
        <v>308.66160000000008</v>
      </c>
      <c r="FG77" s="13">
        <f t="shared" si="101"/>
        <v>72.98924863505313</v>
      </c>
      <c r="FH77" s="20">
        <f t="shared" si="76"/>
        <v>664.70856137271755</v>
      </c>
      <c r="FI77" s="59">
        <f t="shared" si="77"/>
        <v>958.04189470605093</v>
      </c>
      <c r="FJ77" s="59">
        <f ca="1">AVERAGE(OFFSET($FI$3,0,0,'Données projet'!$E$16+1,1))-AVERAGE(OFFSET($H$3,0,0,'Données projet'!$E$16+1,1))</f>
        <v>356.65981389369125</v>
      </c>
      <c r="FK77" s="59">
        <f t="shared" si="102"/>
        <v>231.92898690465887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3.4266725880706885</v>
      </c>
      <c r="FR77" s="21">
        <f>EXP(-LN(2)/25)*FR76+(1-EXP(-LN(2)/25))/(LN(2)/25)*Calculateur!FM77*Calculateur!FO77*VLOOKUP('Données projet'!$B$16,Paramètres!$A$1:$I$89,3,0)*0.475*44/12</f>
        <v>3.0986284686139403</v>
      </c>
      <c r="FS77" s="21">
        <f>EXP(-LN(2)/2)*FS76+(1-EXP(-LN(2)/2))/(LN(2)/2)*FM77*FP77*VLOOKUP('Données projet'!$B$16,Paramètres!$A$1:$I$89,3,0)*0.475*44/12</f>
        <v>2.2804495314357646E-6</v>
      </c>
      <c r="FT77" s="22">
        <f t="shared" si="78"/>
        <v>6.5253033371341607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7.6</v>
      </c>
      <c r="FZ77" s="12">
        <f>IF('Données projet'!$A$244&gt;35,FZ76+FY77-GH76,IF(A77&lt;'Données projet'!$A$244,$FW$205^A77,IF(A77='Données projet'!$A$244,'Données projet'!$B$244,FZ76+FY77-GH76)))</f>
        <v>304.40000000000003</v>
      </c>
      <c r="GA77" s="17">
        <f>FZ77*VLOOKUP('Données projet'!$B$17,Paramètres!$A$1:$I$89,3,0)*VLOOKUP('Données projet'!$B$17,Paramètres!$A$1:$I$89,5,0)</f>
        <v>294.41568000000001</v>
      </c>
      <c r="GB77" s="13">
        <f t="shared" si="103"/>
        <v>70.004498360393455</v>
      </c>
      <c r="GC77" s="20">
        <f t="shared" si="79"/>
        <v>634.69847731101868</v>
      </c>
      <c r="GD77" s="59">
        <f t="shared" si="80"/>
        <v>928.03181064435194</v>
      </c>
      <c r="GE77" s="59">
        <f ca="1">AVERAGE(OFFSET($GD$3,0,0,'Données projet'!$E$17+1,1))-AVERAGE(OFFSET($H$3,0,0,'Données projet'!$E$17+1,1))</f>
        <v>337.76140497227715</v>
      </c>
      <c r="GF77" s="59">
        <f t="shared" si="104"/>
        <v>219.76562717496353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3.2685184686212709</v>
      </c>
      <c r="GM77" s="21">
        <f>EXP(-LN(2)/25)*GM76+(1-EXP(-LN(2)/25))/(LN(2)/25)*Calculateur!GH77*Calculateur!GJ77*VLOOKUP('Données projet'!$B$17,Paramètres!$A$1:$I$89,3,0)*0.475*44/12</f>
        <v>2.9556148469856036</v>
      </c>
      <c r="GN77" s="21">
        <f>EXP(-LN(2)/2)*GN76+(1-EXP(-LN(2)/2))/(LN(2)/2)*GH77*GK77*VLOOKUP('Données projet'!$B$17,Paramètres!$A$1:$I$89,3,0)*0.475*44/12</f>
        <v>2.1751980146002683E-6</v>
      </c>
      <c r="GO77" s="21">
        <f t="shared" si="81"/>
        <v>6.2241354908048887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312.00000000000006</v>
      </c>
      <c r="O78" s="13">
        <f>N78*VLOOKUP('Données projet'!$B$9,Paramètres!$A$1:$I$89,3,0)*VLOOKUP('Données projet'!$B$9,Paramètres!$A$1:$I$89,5,0)</f>
        <v>282.29760000000005</v>
      </c>
      <c r="P78" s="13">
        <f t="shared" si="87"/>
        <v>67.452326629470178</v>
      </c>
      <c r="Q78" s="20">
        <f t="shared" si="54"/>
        <v>609.14778887966054</v>
      </c>
      <c r="R78" s="59">
        <f t="shared" si="55"/>
        <v>902.4811222129938</v>
      </c>
      <c r="S78" s="59">
        <f ca="1">AVERAGE(OFFSET($R$3,0,0,'Données projet'!$E$9+1,1))-AVERAGE(OFFSET($H$3,0,0,'Données projet'!$E$9+1,1))</f>
        <v>312.53389584272878</v>
      </c>
      <c r="T78" s="59">
        <f t="shared" si="88"/>
        <v>203.5274665601915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2.9976877302090186</v>
      </c>
      <c r="AA78" s="21">
        <f>EXP(-LN(2)/25)*AA77+(1-EXP(-LN(2)/25))/(LN(2)/25)*Calculateur!V78*Calculateur!X78*VLOOKUP('Données projet'!$B$9,Paramètres!$A$1:$I$89,3,0)*0.475*44/12</f>
        <v>2.6893228614002185</v>
      </c>
      <c r="AB78" s="21">
        <f>EXP(-LN(2)/2)*AB77+(1-EXP(-LN(2)/2))/(LN(2)/2)*V78*Y78*VLOOKUP('Données projet'!$B$9,Paramètres!$A$1:$I$89,3,0)*0.475*44/12</f>
        <v>1.4388651848346309E-6</v>
      </c>
      <c r="AC78" s="22">
        <f t="shared" si="57"/>
        <v>5.6870120304744223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5.6843418860808015E-14</v>
      </c>
      <c r="AJ78" s="13">
        <f>AI78*VLOOKUP('Données projet'!$B$10,Paramètres!$A$1:$I$89,3,0)*VLOOKUP('Données projet'!$B$10,Paramètres!$A$1:$I$89,5,0)</f>
        <v>4.9658410716801891E-14</v>
      </c>
      <c r="AK78" s="13">
        <f t="shared" si="89"/>
        <v>8.0934058173791862E-13</v>
      </c>
      <c r="AL78" s="20">
        <f t="shared" si="58"/>
        <v>1.4960899118586383E-12</v>
      </c>
      <c r="AM78" s="59">
        <f t="shared" si="59"/>
        <v>293.33333333333479</v>
      </c>
      <c r="AN78" s="59">
        <f ca="1">AVERAGE(OFFSET($AM$3,0,0,'Données projet'!$E$10+1,1))-AVERAGE(OFFSET($H$3,0,0,'Données projet'!$E$10+1,1))</f>
        <v>243.05628303465238</v>
      </c>
      <c r="AO78" s="59">
        <f t="shared" si="90"/>
        <v>352.47096767658394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3.2382072064250016</v>
      </c>
      <c r="AV78" s="21">
        <f>EXP(-LN(2)/25)*AV77+(1-EXP(-LN(2)/25))/(LN(2)/25)*Calculateur!AQ78*Calculateur!AS78*VLOOKUP('Données projet'!$B$10,Paramètres!$A$1:$I$89,3,0)*0.475*44/12</f>
        <v>5.2030512535821387</v>
      </c>
      <c r="AW78" s="21">
        <f>EXP(-LN(2)/2)*AW77+(1-EXP(-LN(2)/2))/(LN(2)/2)*AQ78*AT78*VLOOKUP('Données projet'!$B$10,Paramètres!$A$1:$I$89,3,0)*0.475*44/12</f>
        <v>1.9005140489586361E-6</v>
      </c>
      <c r="AX78" s="21">
        <f t="shared" si="60"/>
        <v>8.4412603605211896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375</v>
      </c>
      <c r="BB78" s="12">
        <f>VLOOKUP(A78,'Données projet'!$A$87:$I$107,9,0)</f>
        <v>4.8</v>
      </c>
      <c r="BC78" s="12">
        <f t="array" ref="BC78">INDEX(BB:BB,MIN(IF(ISNUMBER(BB78:BB274),ROW(BB78:BB274),"")))</f>
        <v>4.8</v>
      </c>
      <c r="BD78" s="12">
        <f>IF('Données projet'!$A$88&gt;35,BD77+BC78-BL77,IF(A78&lt;'Données projet'!$A$88,$BA$205^A78,IF(A78='Données projet'!$A$88,'Données projet'!$B$88,BD77+BC78-BL77)))</f>
        <v>374.99999999999972</v>
      </c>
      <c r="BE78" s="13">
        <f>BD78*VLOOKUP('Données projet'!$B$11,Paramètres!$A$1:$I$89,3,0)*VLOOKUP('Données projet'!$B$11,Paramètres!$A$1:$I$89,5,0)</f>
        <v>298.3499999999998</v>
      </c>
      <c r="BF78" s="13">
        <f t="shared" si="91"/>
        <v>70.83044914753448</v>
      </c>
      <c r="BG78" s="20">
        <f t="shared" si="61"/>
        <v>642.98928226528881</v>
      </c>
      <c r="BH78" s="59">
        <f t="shared" si="62"/>
        <v>936.32261559862218</v>
      </c>
      <c r="BI78" s="59">
        <f ca="1">AVERAGE(OFFSET($BH$3,0,0,'Données projet'!$E$11+1,1))-AVERAGE(OFFSET($H$3,0,0,'Données projet'!$E$11+1,1))</f>
        <v>325.72928944930294</v>
      </c>
      <c r="BJ78" s="59">
        <f t="shared" si="92"/>
        <v>318.38876834819752</v>
      </c>
      <c r="BK78" s="15">
        <f>IF(ISNA(VLOOKUP(A78,'Données projet'!$A$87:$I$107,3,0)),0,VLOOKUP(A78,'Données projet'!$A$87:$I$107,3,0))</f>
        <v>14</v>
      </c>
      <c r="BL78" s="15">
        <f>IF(ISNA(VLOOKUP(A78,'Données projet'!$A$87:$I$107,4,0)),0,VLOOKUP(A78,'Données projet'!$A$87:$I$107,4,0))</f>
        <v>14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7.1018117988008367</v>
      </c>
      <c r="BQ78" s="21">
        <f>EXP(-LN(2)/25)*BQ77+(1-EXP(-LN(2)/25))/(LN(2)/25)*Calculateur!BL78*Calculateur!BN78*VLOOKUP('Données projet'!$B$11,Paramètres!$A$1:$I$89,3,0)*0.475*44/12</f>
        <v>5.9387362831556745</v>
      </c>
      <c r="BR78" s="21">
        <f>EXP(-LN(2)/2)*BR77+(1-EXP(-LN(2)/2))/(LN(2)/2)*BL78*BO78*VLOOKUP('Données projet'!$B$11,Paramètres!$A$1:$I$89,3,0)*0.475*44/12</f>
        <v>1.9943418413987113E-6</v>
      </c>
      <c r="BS78" s="22">
        <f t="shared" si="63"/>
        <v>13.040550076298354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-3.4106051316484809E-13</v>
      </c>
      <c r="BZ78" s="13">
        <f>BY78*VLOOKUP('Données projet'!$B$12,Paramètres!$A$1:$I$89,3,0)*VLOOKUP('Données projet'!$B$12,Paramètres!$A$1:$I$89,5,0)</f>
        <v>-1.9065282685915009E-13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475.54809021014017</v>
      </c>
      <c r="CE78" s="59">
        <f t="shared" si="94"/>
        <v>593.51433014569966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3.0111805259633786</v>
      </c>
      <c r="CL78" s="21">
        <f>EXP(-LN(2)/25)*CL77+(1-EXP(-LN(2)/25))/(LN(2)/25)*Calculateur!CG78*Calculateur!CI78*VLOOKUP('Données projet'!$B$12,Paramètres!$A$1:$I$89,3,0)*0.475*44/12</f>
        <v>12.237147783585982</v>
      </c>
      <c r="CM78" s="21">
        <f>EXP(-LN(2)/2)*CM77+(1-EXP(-LN(2)/2))/(LN(2)/2)*CG78*CJ78*VLOOKUP('Données projet'!$B$12,Paramètres!$A$1:$I$89,3,0)*0.475*44/12</f>
        <v>2.4306859269874628E-6</v>
      </c>
      <c r="CN78" s="22">
        <f t="shared" si="66"/>
        <v>15.248330740235287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17</v>
      </c>
      <c r="CT78" s="12">
        <f>IF('Données projet'!$A$140&gt;35,CT77+CS78-DB77,IF(A78&lt;'Données projet'!$A$140,$CQ$205^A78,IF(A78='Données projet'!$A$140,'Données projet'!$B$140,CT77+CS78-DB77)))</f>
        <v>421.49999999999989</v>
      </c>
      <c r="CU78" s="17">
        <f>CT78*VLOOKUP('Données projet'!$B$13,Paramètres!$A$1:$I$89,3,0)*VLOOKUP('Données projet'!$B$13,Paramètres!$A$1:$I$89,5,0)</f>
        <v>197.26199999999994</v>
      </c>
      <c r="CV78" s="13">
        <f t="shared" si="95"/>
        <v>49.141956303266518</v>
      </c>
      <c r="CW78" s="20">
        <f t="shared" si="67"/>
        <v>429.15355722818907</v>
      </c>
      <c r="CX78" s="59">
        <f t="shared" si="68"/>
        <v>722.48689056152239</v>
      </c>
      <c r="CY78" s="59">
        <f ca="1">AVERAGE(OFFSET($CX$3,0,0,'Données projet'!$E$13+1,1))-AVERAGE(OFFSET($H$3,0,0,'Données projet'!$E$13+1,1))</f>
        <v>226.0452828290525</v>
      </c>
      <c r="CZ78" s="59">
        <f t="shared" si="96"/>
        <v>179.89696397462069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3.7227503989368578</v>
      </c>
      <c r="DG78" s="21">
        <f>EXP(-LN(2)/25)*DG77+(1-EXP(-LN(2)/25))/(LN(2)/25)*Calculateur!DB78*Calculateur!DD78*VLOOKUP('Données projet'!$B$13,Paramètres!$A$1:$I$89,3,0)*0.475*44/12</f>
        <v>3.2023757972392279</v>
      </c>
      <c r="DH78" s="21">
        <f>EXP(-LN(2)/2)*DH77+(1-EXP(-LN(2)/2))/(LN(2)/2)*DB78*DE78*VLOOKUP('Données projet'!$B$13,Paramètres!$A$1:$I$89,3,0)*0.475*44/12</f>
        <v>1.8617322801122239E-6</v>
      </c>
      <c r="DI78" s="22">
        <f t="shared" si="69"/>
        <v>6.9251280579083661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1.1368683772161603E-13</v>
      </c>
      <c r="DP78" s="17">
        <f>DO78*VLOOKUP('Données projet'!$B$14,Paramètres!$A$1:$I$89,3,0)*VLOOKUP('Données projet'!$B$14,Paramètres!$A$1:$I$89,5,0)</f>
        <v>6.7984728957526396E-14</v>
      </c>
      <c r="DQ78" s="13">
        <f t="shared" si="97"/>
        <v>1.0682447123141398E-12</v>
      </c>
      <c r="DR78" s="20">
        <f t="shared" si="70"/>
        <v>1.978932943548152E-12</v>
      </c>
      <c r="DS78" s="59">
        <f t="shared" si="71"/>
        <v>293.3333333333353</v>
      </c>
      <c r="DT78" s="59">
        <f ca="1">AVERAGE(OFFSET($DS$3,0,0,'Données projet'!$E$14+1,1))-AVERAGE(OFFSET($H$3,0,0,'Données projet'!$E$14+1,1))</f>
        <v>252.81045065813976</v>
      </c>
      <c r="DU78" s="59">
        <f t="shared" si="98"/>
        <v>254.36590349790589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7.405362967027064</v>
      </c>
      <c r="EB78" s="21">
        <f>EXP(-LN(2)/25)*EB77+(1-EXP(-LN(2)/25))/(LN(2)/25)*Calculateur!DW78*Calculateur!DY78*VLOOKUP('Données projet'!$B$14,Paramètres!$A$1:$I$89,3,0)*0.475*44/12</f>
        <v>4.6309823402567671</v>
      </c>
      <c r="EC78" s="21">
        <f>EXP(-LN(2)/2)*EC77+(1-EXP(-LN(2)/2))/(LN(2)/2)*DW78*DZ78*VLOOKUP('Données projet'!$B$14,Paramètres!$A$1:$I$89,3,0)*0.475*44/12</f>
        <v>9.6792491351313397E-7</v>
      </c>
      <c r="ED78" s="22">
        <f t="shared" si="72"/>
        <v>12.036346275208745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375</v>
      </c>
      <c r="EH78" s="12">
        <f>VLOOKUP(A78,'Données projet'!$A$191:$I$211,9,0)</f>
        <v>4.8</v>
      </c>
      <c r="EI78" s="12">
        <f t="array" ref="EI78">INDEX(EH:EH,MIN(IF(ISNUMBER(EH78:EH274),ROW(EH78:EH274),"")))</f>
        <v>4.8</v>
      </c>
      <c r="EJ78" s="12">
        <f>IF('Données projet'!$A$192&gt;35,EJ77+EI78-ER77,IF(A78&lt;'Données projet'!$A$192,$EG$205^A78,IF(A78='Données projet'!$A$192,'Données projet'!$B$192,EJ77+EI78-ER77)))</f>
        <v>374.99999999999972</v>
      </c>
      <c r="EK78" s="17">
        <f>EJ78*VLOOKUP('Données projet'!$B$15,Paramètres!$A$1:$I$89,3,0)*VLOOKUP('Données projet'!$B$15,Paramètres!$A$1:$I$89,5,0)</f>
        <v>274.94999999999976</v>
      </c>
      <c r="EL78" s="13">
        <f t="shared" si="99"/>
        <v>65.898670891956897</v>
      </c>
      <c r="EM78" s="20">
        <f t="shared" si="73"/>
        <v>593.64476847015783</v>
      </c>
      <c r="EN78" s="59">
        <f t="shared" si="74"/>
        <v>886.9781018034912</v>
      </c>
      <c r="EO78" s="59">
        <f ca="1">AVERAGE(OFFSET($EN$3,0,0,'Données projet'!$E$15+1,1))-AVERAGE(OFFSET($H$3,0,0,'Données projet'!$E$15+1,1))</f>
        <v>296.91321813251051</v>
      </c>
      <c r="EP78" s="59">
        <f t="shared" si="100"/>
        <v>291.0718079639509</v>
      </c>
      <c r="EQ78" s="15">
        <f>IF(ISNA(VLOOKUP(A78,'Données projet'!$A$191:$I$211,3,0)),0,VLOOKUP(A78,'Données projet'!$A$191:$I$211,3,0))</f>
        <v>14</v>
      </c>
      <c r="ER78" s="15">
        <f>IF(ISNA(VLOOKUP(A78,'Données projet'!$A$191:$I$211,4,0)),0,VLOOKUP(A78,'Données projet'!$A$191:$I$211,4,0))</f>
        <v>14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5.3099377156405847</v>
      </c>
      <c r="EW78" s="21">
        <f>EXP(-LN(2)/25)*EW77+(1-EXP(-LN(2)/25))/(LN(2)/25)*Calculateur!ER78*Calculateur!ET78*VLOOKUP('Données projet'!$B$15,Paramètres!$A$1:$I$89,3,0)*0.475*44/12</f>
        <v>4.4403203952118453</v>
      </c>
      <c r="EX78" s="21">
        <f>EXP(-LN(2)/2)*EX77+(1-EXP(-LN(2)/2))/(LN(2)/2)*ER78*EU78*VLOOKUP('Données projet'!$B$15,Paramètres!$A$1:$I$89,3,0)*0.475*44/12</f>
        <v>1.8379228734458757E-6</v>
      </c>
      <c r="EY78" s="22">
        <f t="shared" si="75"/>
        <v>9.7502599487753034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312</v>
      </c>
      <c r="FC78" s="12">
        <f>VLOOKUP(A78,'Données projet'!$A$217:$I$237,9,0)</f>
        <v>7.6</v>
      </c>
      <c r="FD78" s="12">
        <f t="array" ref="FD78">INDEX(FC:FC,MIN(IF(ISNUMBER(FC78:FC274),ROW(FC78:FC274),"")))</f>
        <v>7.6</v>
      </c>
      <c r="FE78" s="12">
        <f>IF('Données projet'!$A$218&gt;35,FE77+FD78-FM77,IF(A78&lt;'Données projet'!$A$218,$FB$205^A78,IF(A78='Données projet'!$A$218,'Données projet'!$B$218,FE77+FD78-FM77)))</f>
        <v>312.00000000000006</v>
      </c>
      <c r="FF78" s="17">
        <f>FE78*VLOOKUP('Données projet'!$B$16,Paramètres!$A$1:$I$89,3,0)*VLOOKUP('Données projet'!$B$16,Paramètres!$A$1:$I$89,5,0)</f>
        <v>316.36800000000005</v>
      </c>
      <c r="FG78" s="13">
        <f t="shared" si="101"/>
        <v>74.597144109003438</v>
      </c>
      <c r="FH78" s="20">
        <f t="shared" si="76"/>
        <v>680.93095932318113</v>
      </c>
      <c r="FI78" s="59">
        <f t="shared" si="77"/>
        <v>974.2642926565145</v>
      </c>
      <c r="FJ78" s="59">
        <f ca="1">AVERAGE(OFFSET($FI$3,0,0,'Données projet'!$E$16+1,1))-AVERAGE(OFFSET($H$3,0,0,'Données projet'!$E$16+1,1))</f>
        <v>356.65981389369125</v>
      </c>
      <c r="FK78" s="59">
        <f t="shared" si="102"/>
        <v>231.92898690465887</v>
      </c>
      <c r="FL78" s="15">
        <f>IF(ISNA(VLOOKUP(A78,'Données projet'!$A$217:$I$237,3,0)),0,VLOOKUP(A78,'Données projet'!$A$217:$I$237,3,0))</f>
        <v>12</v>
      </c>
      <c r="FM78" s="15">
        <f>IF(ISNA(VLOOKUP(A78,'Données projet'!$A$217:$I$237,4,0)),0,VLOOKUP(A78,'Données projet'!$A$217:$I$237,4,0))</f>
        <v>28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3.3594776286825243</v>
      </c>
      <c r="FR78" s="21">
        <f>EXP(-LN(2)/25)*FR77+(1-EXP(-LN(2)/25))/(LN(2)/25)*Calculateur!FM78*Calculateur!FO78*VLOOKUP('Données projet'!$B$16,Paramètres!$A$1:$I$89,3,0)*0.475*44/12</f>
        <v>3.013896310189903</v>
      </c>
      <c r="FS78" s="21">
        <f>EXP(-LN(2)/2)*FS77+(1-EXP(-LN(2)/2))/(LN(2)/2)*FM78*FP78*VLOOKUP('Données projet'!$B$16,Paramètres!$A$1:$I$89,3,0)*0.475*44/12</f>
        <v>1.612521327831914E-6</v>
      </c>
      <c r="FT78" s="22">
        <f t="shared" si="78"/>
        <v>6.3733755513937558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312</v>
      </c>
      <c r="FX78" s="12">
        <f>VLOOKUP(A78,'Données projet'!$A$243:$I$263,9,0)</f>
        <v>7.6</v>
      </c>
      <c r="FY78" s="12">
        <f t="array" ref="FY78">INDEX(FX:FX,MIN(IF(ISNUMBER(FX78:FX274),ROW(FX78:FX274),"")))</f>
        <v>7.6</v>
      </c>
      <c r="FZ78" s="12">
        <f>IF('Données projet'!$A$244&gt;35,FZ77+FY78-GH77,IF(A78&lt;'Données projet'!$A$244,$FW$205^A78,IF(A78='Données projet'!$A$244,'Données projet'!$B$244,FZ77+FY78-GH77)))</f>
        <v>312.00000000000006</v>
      </c>
      <c r="GA78" s="17">
        <f>FZ78*VLOOKUP('Données projet'!$B$17,Paramètres!$A$1:$I$89,3,0)*VLOOKUP('Données projet'!$B$17,Paramètres!$A$1:$I$89,5,0)</f>
        <v>301.76640000000003</v>
      </c>
      <c r="GB78" s="13">
        <f t="shared" si="103"/>
        <v>71.546642144235364</v>
      </c>
      <c r="GC78" s="20">
        <f t="shared" si="79"/>
        <v>650.18688173454336</v>
      </c>
      <c r="GD78" s="59">
        <f t="shared" si="80"/>
        <v>943.52021506787673</v>
      </c>
      <c r="GE78" s="59">
        <f ca="1">AVERAGE(OFFSET($GD$3,0,0,'Données projet'!$E$17+1,1))-AVERAGE(OFFSET($H$3,0,0,'Données projet'!$E$17+1,1))</f>
        <v>337.76140497227715</v>
      </c>
      <c r="GF78" s="59">
        <f t="shared" si="104"/>
        <v>219.76562717496353</v>
      </c>
      <c r="GG78" s="15">
        <f>IF(ISNA(VLOOKUP(A78,'Données projet'!$A$243:$I$263,3,0)),0,VLOOKUP(A78,'Données projet'!$A$243:$I$263,3,0))</f>
        <v>12</v>
      </c>
      <c r="GH78" s="15">
        <f>IF(ISNA(VLOOKUP(A78,'Données projet'!$A$243:$I$263,4,0)),0,VLOOKUP(A78,'Données projet'!$A$243:$I$263,4,0))</f>
        <v>28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3.2044248150510222</v>
      </c>
      <c r="GM78" s="21">
        <f>EXP(-LN(2)/25)*GM77+(1-EXP(-LN(2)/25))/(LN(2)/25)*Calculateur!GH78*Calculateur!GJ78*VLOOKUP('Données projet'!$B$17,Paramètres!$A$1:$I$89,3,0)*0.475*44/12</f>
        <v>2.8747934035657527</v>
      </c>
      <c r="GN78" s="21">
        <f>EXP(-LN(2)/2)*GN77+(1-EXP(-LN(2)/2))/(LN(2)/2)*GH78*GK78*VLOOKUP('Données projet'!$B$17,Paramètres!$A$1:$I$89,3,0)*0.475*44/12</f>
        <v>1.5380972665473645E-6</v>
      </c>
      <c r="GO78" s="21">
        <f t="shared" si="81"/>
        <v>6.0792197567140418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291.20000000000005</v>
      </c>
      <c r="O79" s="13">
        <f>N79*VLOOKUP('Données projet'!$B$9,Paramètres!$A$1:$I$89,3,0)*VLOOKUP('Données projet'!$B$9,Paramètres!$A$1:$I$89,5,0)</f>
        <v>263.47776000000005</v>
      </c>
      <c r="P79" s="13">
        <f t="shared" si="87"/>
        <v>63.46312159763346</v>
      </c>
      <c r="Q79" s="20">
        <f t="shared" si="54"/>
        <v>569.42203544921165</v>
      </c>
      <c r="R79" s="59">
        <f t="shared" si="55"/>
        <v>862.75536878254502</v>
      </c>
      <c r="S79" s="59">
        <f ca="1">AVERAGE(OFFSET($R$3,0,0,'Données projet'!$E$9+1,1))-AVERAGE(OFFSET($H$3,0,0,'Données projet'!$E$9+1,1))</f>
        <v>312.53389584272878</v>
      </c>
      <c r="T79" s="59">
        <f t="shared" si="88"/>
        <v>203.5274665601915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2.9389049022285949</v>
      </c>
      <c r="AA79" s="21">
        <f>EXP(-LN(2)/25)*AA78+(1-EXP(-LN(2)/25))/(LN(2)/25)*Calculateur!V79*Calculateur!X79*VLOOKUP('Données projet'!$B$9,Paramètres!$A$1:$I$89,3,0)*0.475*44/12</f>
        <v>2.6157831863298866</v>
      </c>
      <c r="AB79" s="21">
        <f>EXP(-LN(2)/2)*AB78+(1-EXP(-LN(2)/2))/(LN(2)/2)*V79*Y79*VLOOKUP('Données projet'!$B$9,Paramètres!$A$1:$I$89,3,0)*0.475*44/12</f>
        <v>1.0174313294098026E-6</v>
      </c>
      <c r="AC79" s="22">
        <f t="shared" si="57"/>
        <v>5.5546891059898114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5.6843418860808015E-14</v>
      </c>
      <c r="AJ79" s="13">
        <f>AI79*VLOOKUP('Données projet'!$B$10,Paramètres!$A$1:$I$89,3,0)*VLOOKUP('Données projet'!$B$10,Paramètres!$A$1:$I$89,5,0)</f>
        <v>4.9658410716801891E-14</v>
      </c>
      <c r="AK79" s="13">
        <f t="shared" si="89"/>
        <v>8.0934058173791862E-13</v>
      </c>
      <c r="AL79" s="20">
        <f t="shared" si="58"/>
        <v>1.4960899118586383E-12</v>
      </c>
      <c r="AM79" s="59">
        <f t="shared" si="59"/>
        <v>293.33333333333479</v>
      </c>
      <c r="AN79" s="59">
        <f ca="1">AVERAGE(OFFSET($AM$3,0,0,'Données projet'!$E$10+1,1))-AVERAGE(OFFSET($H$3,0,0,'Données projet'!$E$10+1,1))</f>
        <v>243.05628303465238</v>
      </c>
      <c r="AO79" s="59">
        <f t="shared" si="90"/>
        <v>352.47096767658394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3.1747079382183774</v>
      </c>
      <c r="AV79" s="21">
        <f>EXP(-LN(2)/25)*AV78+(1-EXP(-LN(2)/25))/(LN(2)/25)*Calculateur!AQ79*Calculateur!AS79*VLOOKUP('Données projet'!$B$10,Paramètres!$A$1:$I$89,3,0)*0.475*44/12</f>
        <v>5.0607735434363619</v>
      </c>
      <c r="AW79" s="21">
        <f>EXP(-LN(2)/2)*AW78+(1-EXP(-LN(2)/2))/(LN(2)/2)*AQ79*AT79*VLOOKUP('Données projet'!$B$10,Paramètres!$A$1:$I$89,3,0)*0.475*44/12</f>
        <v>1.3438663717589538E-6</v>
      </c>
      <c r="AX79" s="21">
        <f t="shared" si="60"/>
        <v>8.2354828255211103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</v>
      </c>
      <c r="BD79" s="12">
        <f>IF('Données projet'!$A$88&gt;35,BD78+BC79-BL78,IF(A79&lt;'Données projet'!$A$88,$BA$205^A79,IF(A79='Données projet'!$A$88,'Données projet'!$B$88,BD78+BC79-BL78)))</f>
        <v>364.99999999999972</v>
      </c>
      <c r="BE79" s="13">
        <f>BD79*VLOOKUP('Données projet'!$B$11,Paramètres!$A$1:$I$89,3,0)*VLOOKUP('Données projet'!$B$11,Paramètres!$A$1:$I$89,5,0)</f>
        <v>290.39399999999978</v>
      </c>
      <c r="BF79" s="13">
        <f t="shared" si="91"/>
        <v>69.158878594433091</v>
      </c>
      <c r="BG79" s="20">
        <f t="shared" si="61"/>
        <v>626.22126355197054</v>
      </c>
      <c r="BH79" s="59">
        <f t="shared" si="62"/>
        <v>919.55459688530391</v>
      </c>
      <c r="BI79" s="59">
        <f ca="1">AVERAGE(OFFSET($BH$3,0,0,'Données projet'!$E$11+1,1))-AVERAGE(OFFSET($H$3,0,0,'Données projet'!$E$11+1,1))</f>
        <v>325.72928944930294</v>
      </c>
      <c r="BJ79" s="59">
        <f t="shared" si="92"/>
        <v>318.38876834819752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6.9625496011038317</v>
      </c>
      <c r="BQ79" s="21">
        <f>EXP(-LN(2)/25)*BQ78+(1-EXP(-LN(2)/25))/(LN(2)/25)*Calculateur!BL79*Calculateur!BN79*VLOOKUP('Données projet'!$B$11,Paramètres!$A$1:$I$89,3,0)*0.475*44/12</f>
        <v>5.7763412271882144</v>
      </c>
      <c r="BR79" s="21">
        <f>EXP(-LN(2)/2)*BR78+(1-EXP(-LN(2)/2))/(LN(2)/2)*BL79*BO79*VLOOKUP('Données projet'!$B$11,Paramètres!$A$1:$I$89,3,0)*0.475*44/12</f>
        <v>1.4102126400570949E-6</v>
      </c>
      <c r="BS79" s="22">
        <f t="shared" si="63"/>
        <v>12.738892238504686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-3.4106051316484809E-13</v>
      </c>
      <c r="BZ79" s="13">
        <f>BY79*VLOOKUP('Données projet'!$B$12,Paramètres!$A$1:$I$89,3,0)*VLOOKUP('Données projet'!$B$12,Paramètres!$A$1:$I$89,5,0)</f>
        <v>-1.9065282685915009E-13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475.54809021014017</v>
      </c>
      <c r="CE79" s="59">
        <f t="shared" si="94"/>
        <v>593.51433014569966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2.9521331124880046</v>
      </c>
      <c r="CL79" s="21">
        <f>EXP(-LN(2)/25)*CL78+(1-EXP(-LN(2)/25))/(LN(2)/25)*Calculateur!CG79*Calculateur!CI79*VLOOKUP('Données projet'!$B$12,Paramètres!$A$1:$I$89,3,0)*0.475*44/12</f>
        <v>11.90252233392019</v>
      </c>
      <c r="CM79" s="21">
        <f>EXP(-LN(2)/2)*CM78+(1-EXP(-LN(2)/2))/(LN(2)/2)*CG79*CJ79*VLOOKUP('Données projet'!$B$12,Paramètres!$A$1:$I$89,3,0)*0.475*44/12</f>
        <v>1.7187545019075443E-6</v>
      </c>
      <c r="CN79" s="22">
        <f t="shared" si="66"/>
        <v>14.854657165162697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17</v>
      </c>
      <c r="CT79" s="12">
        <f>IF('Données projet'!$A$140&gt;35,CT78+CS79-DB78,IF(A79&lt;'Données projet'!$A$140,$CQ$205^A79,IF(A79='Données projet'!$A$140,'Données projet'!$B$140,CT78+CS79-DB78)))</f>
        <v>438.49999999999989</v>
      </c>
      <c r="CU79" s="17">
        <f>CT79*VLOOKUP('Données projet'!$B$13,Paramètres!$A$1:$I$89,3,0)*VLOOKUP('Données projet'!$B$13,Paramètres!$A$1:$I$89,5,0)</f>
        <v>205.21799999999996</v>
      </c>
      <c r="CV79" s="13">
        <f t="shared" si="95"/>
        <v>50.889201586985514</v>
      </c>
      <c r="CW79" s="20">
        <f t="shared" si="67"/>
        <v>446.05337609733306</v>
      </c>
      <c r="CX79" s="59">
        <f t="shared" si="68"/>
        <v>739.38670943066631</v>
      </c>
      <c r="CY79" s="59">
        <f ca="1">AVERAGE(OFFSET($CX$3,0,0,'Données projet'!$E$13+1,1))-AVERAGE(OFFSET($H$3,0,0,'Données projet'!$E$13+1,1))</f>
        <v>226.0452828290525</v>
      </c>
      <c r="CZ79" s="59">
        <f t="shared" si="96"/>
        <v>179.89696397462069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3.649749534267241</v>
      </c>
      <c r="DG79" s="21">
        <f>EXP(-LN(2)/25)*DG78+(1-EXP(-LN(2)/25))/(LN(2)/25)*Calculateur!DB79*Calculateur!DD79*VLOOKUP('Données projet'!$B$13,Paramètres!$A$1:$I$89,3,0)*0.475*44/12</f>
        <v>3.114806662658097</v>
      </c>
      <c r="DH79" s="21">
        <f>EXP(-LN(2)/2)*DH78+(1-EXP(-LN(2)/2))/(LN(2)/2)*DB79*DE79*VLOOKUP('Données projet'!$B$13,Paramètres!$A$1:$I$89,3,0)*0.475*44/12</f>
        <v>1.3164435200212467E-6</v>
      </c>
      <c r="DI79" s="22">
        <f t="shared" si="69"/>
        <v>6.7645575133688585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1.1368683772161603E-13</v>
      </c>
      <c r="DP79" s="17">
        <f>DO79*VLOOKUP('Données projet'!$B$14,Paramètres!$A$1:$I$89,3,0)*VLOOKUP('Données projet'!$B$14,Paramètres!$A$1:$I$89,5,0)</f>
        <v>6.7984728957526396E-14</v>
      </c>
      <c r="DQ79" s="13">
        <f t="shared" si="97"/>
        <v>1.0682447123141398E-12</v>
      </c>
      <c r="DR79" s="20">
        <f t="shared" si="70"/>
        <v>1.978932943548152E-12</v>
      </c>
      <c r="DS79" s="59">
        <f t="shared" si="71"/>
        <v>293.3333333333353</v>
      </c>
      <c r="DT79" s="59">
        <f ca="1">AVERAGE(OFFSET($DS$3,0,0,'Données projet'!$E$14+1,1))-AVERAGE(OFFSET($H$3,0,0,'Données projet'!$E$14+1,1))</f>
        <v>252.81045065813976</v>
      </c>
      <c r="DU79" s="59">
        <f t="shared" si="98"/>
        <v>254.36590349790589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7.2601483160690741</v>
      </c>
      <c r="EB79" s="21">
        <f>EXP(-LN(2)/25)*EB78+(1-EXP(-LN(2)/25))/(LN(2)/25)*Calculateur!DW79*Calculateur!DY79*VLOOKUP('Données projet'!$B$14,Paramètres!$A$1:$I$89,3,0)*0.475*44/12</f>
        <v>4.5043478846296692</v>
      </c>
      <c r="EC79" s="21">
        <f>EXP(-LN(2)/2)*EC78+(1-EXP(-LN(2)/2))/(LN(2)/2)*DW79*DZ79*VLOOKUP('Données projet'!$B$14,Paramètres!$A$1:$I$89,3,0)*0.475*44/12</f>
        <v>6.8442627002453957E-7</v>
      </c>
      <c r="ED79" s="22">
        <f t="shared" si="72"/>
        <v>11.764496885125014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4</v>
      </c>
      <c r="EJ79" s="12">
        <f>IF('Données projet'!$A$192&gt;35,EJ78+EI79-ER78,IF(A79&lt;'Données projet'!$A$192,$EG$205^A79,IF(A79='Données projet'!$A$192,'Données projet'!$B$192,EJ78+EI79-ER78)))</f>
        <v>364.99999999999972</v>
      </c>
      <c r="EK79" s="17">
        <f>EJ79*VLOOKUP('Données projet'!$B$15,Paramètres!$A$1:$I$89,3,0)*VLOOKUP('Données projet'!$B$15,Paramètres!$A$1:$I$89,5,0)</f>
        <v>267.61799999999982</v>
      </c>
      <c r="EL79" s="13">
        <f t="shared" si="99"/>
        <v>64.343488352847658</v>
      </c>
      <c r="EM79" s="20">
        <f t="shared" si="73"/>
        <v>578.16625888120927</v>
      </c>
      <c r="EN79" s="59">
        <f t="shared" si="74"/>
        <v>871.49959221454264</v>
      </c>
      <c r="EO79" s="59">
        <f ca="1">AVERAGE(OFFSET($EN$3,0,0,'Données projet'!$E$15+1,1))-AVERAGE(OFFSET($H$3,0,0,'Données projet'!$E$15+1,1))</f>
        <v>296.91321813251051</v>
      </c>
      <c r="EP79" s="59">
        <f t="shared" si="100"/>
        <v>291.0718079639509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5.2058130757790799</v>
      </c>
      <c r="EW79" s="21">
        <f>EXP(-LN(2)/25)*EW78+(1-EXP(-LN(2)/25))/(LN(2)/25)*Calculateur!ER79*Calculateur!ET79*VLOOKUP('Données projet'!$B$15,Paramètres!$A$1:$I$89,3,0)*0.475*44/12</f>
        <v>4.3188996004984759</v>
      </c>
      <c r="EX79" s="21">
        <f>EXP(-LN(2)/2)*EX78+(1-EXP(-LN(2)/2))/(LN(2)/2)*ER79*EU79*VLOOKUP('Données projet'!$B$15,Paramètres!$A$1:$I$89,3,0)*0.475*44/12</f>
        <v>1.2996077271114435E-6</v>
      </c>
      <c r="EY79" s="22">
        <f t="shared" si="75"/>
        <v>9.5247139758852821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7.2</v>
      </c>
      <c r="FE79" s="12">
        <f>IF('Données projet'!$A$218&gt;35,FE78+FD79-FM78,IF(A79&lt;'Données projet'!$A$218,$FB$205^A79,IF(A79='Données projet'!$A$218,'Données projet'!$B$218,FE78+FD79-FM78)))</f>
        <v>291.20000000000005</v>
      </c>
      <c r="FF79" s="17">
        <f>FE79*VLOOKUP('Données projet'!$B$16,Paramètres!$A$1:$I$89,3,0)*VLOOKUP('Données projet'!$B$16,Paramètres!$A$1:$I$89,5,0)</f>
        <v>295.27680000000004</v>
      </c>
      <c r="FG79" s="13">
        <f t="shared" si="101"/>
        <v>70.185386686980493</v>
      </c>
      <c r="FH79" s="20">
        <f t="shared" si="76"/>
        <v>636.51330847982445</v>
      </c>
      <c r="FI79" s="59">
        <f t="shared" si="77"/>
        <v>929.8466418131577</v>
      </c>
      <c r="FJ79" s="59">
        <f ca="1">AVERAGE(OFFSET($FI$3,0,0,'Données projet'!$E$16+1,1))-AVERAGE(OFFSET($H$3,0,0,'Données projet'!$E$16+1,1))</f>
        <v>356.65981389369125</v>
      </c>
      <c r="FK79" s="59">
        <f t="shared" si="102"/>
        <v>231.92898690465887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3.2936003214630838</v>
      </c>
      <c r="FR79" s="21">
        <f>EXP(-LN(2)/25)*FR78+(1-EXP(-LN(2)/25))/(LN(2)/25)*Calculateur!FM79*Calculateur!FO79*VLOOKUP('Données projet'!$B$16,Paramètres!$A$1:$I$89,3,0)*0.475*44/12</f>
        <v>2.9314811570938417</v>
      </c>
      <c r="FS79" s="21">
        <f>EXP(-LN(2)/2)*FS78+(1-EXP(-LN(2)/2))/(LN(2)/2)*FM79*FP79*VLOOKUP('Données projet'!$B$16,Paramètres!$A$1:$I$89,3,0)*0.475*44/12</f>
        <v>1.1402247657178823E-6</v>
      </c>
      <c r="FT79" s="22">
        <f t="shared" si="78"/>
        <v>6.2250826187816912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7.2</v>
      </c>
      <c r="FZ79" s="12">
        <f>IF('Données projet'!$A$244&gt;35,FZ78+FY79-GH78,IF(A79&lt;'Données projet'!$A$244,$FW$205^A79,IF(A79='Données projet'!$A$244,'Données projet'!$B$244,FZ78+FY79-GH78)))</f>
        <v>291.20000000000005</v>
      </c>
      <c r="GA79" s="17">
        <f>FZ79*VLOOKUP('Données projet'!$B$17,Paramètres!$A$1:$I$89,3,0)*VLOOKUP('Données projet'!$B$17,Paramètres!$A$1:$I$89,5,0)</f>
        <v>281.64864000000006</v>
      </c>
      <c r="GB79" s="13">
        <f t="shared" si="103"/>
        <v>67.315294774697747</v>
      </c>
      <c r="GC79" s="20">
        <f t="shared" si="79"/>
        <v>607.77885306593191</v>
      </c>
      <c r="GD79" s="59">
        <f t="shared" si="80"/>
        <v>901.11218639926528</v>
      </c>
      <c r="GE79" s="59">
        <f ca="1">AVERAGE(OFFSET($GD$3,0,0,'Données projet'!$E$17+1,1))-AVERAGE(OFFSET($H$3,0,0,'Données projet'!$E$17+1,1))</f>
        <v>337.76140497227715</v>
      </c>
      <c r="GF79" s="59">
        <f t="shared" si="104"/>
        <v>219.76562717496353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3.1415879989340172</v>
      </c>
      <c r="GM79" s="21">
        <f>EXP(-LN(2)/25)*GM78+(1-EXP(-LN(2)/25))/(LN(2)/25)*Calculateur!GH79*Calculateur!GJ79*VLOOKUP('Données projet'!$B$17,Paramètres!$A$1:$I$89,3,0)*0.475*44/12</f>
        <v>2.7961820267664326</v>
      </c>
      <c r="GN79" s="21">
        <f>EXP(-LN(2)/2)*GN78+(1-EXP(-LN(2)/2))/(LN(2)/2)*GH79*GK79*VLOOKUP('Données projet'!$B$17,Paramètres!$A$1:$I$89,3,0)*0.475*44/12</f>
        <v>1.0875990073001341E-6</v>
      </c>
      <c r="GO79" s="21">
        <f t="shared" si="81"/>
        <v>5.9377711132994575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298.40000000000003</v>
      </c>
      <c r="O80" s="13">
        <f>N80*VLOOKUP('Données projet'!$B$9,Paramètres!$A$1:$I$89,3,0)*VLOOKUP('Données projet'!$B$9,Paramètres!$A$1:$I$89,5,0)</f>
        <v>269.99232000000001</v>
      </c>
      <c r="P80" s="13">
        <f t="shared" si="87"/>
        <v>64.847639395310296</v>
      </c>
      <c r="Q80" s="20">
        <f t="shared" si="54"/>
        <v>583.17959594683214</v>
      </c>
      <c r="R80" s="59">
        <f t="shared" si="55"/>
        <v>876.51292928016551</v>
      </c>
      <c r="S80" s="59">
        <f ca="1">AVERAGE(OFFSET($R$3,0,0,'Données projet'!$E$9+1,1))-AVERAGE(OFFSET($H$3,0,0,'Données projet'!$E$9+1,1))</f>
        <v>312.53389584272878</v>
      </c>
      <c r="T80" s="59">
        <f t="shared" si="88"/>
        <v>203.5274665601915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2.8812747696508825</v>
      </c>
      <c r="AA80" s="21">
        <f>EXP(-LN(2)/25)*AA79+(1-EXP(-LN(2)/25))/(LN(2)/25)*Calculateur!V80*Calculateur!X80*VLOOKUP('Données projet'!$B$9,Paramètres!$A$1:$I$89,3,0)*0.475*44/12</f>
        <v>2.5442544575416366</v>
      </c>
      <c r="AB80" s="21">
        <f>EXP(-LN(2)/2)*AB79+(1-EXP(-LN(2)/2))/(LN(2)/2)*V80*Y80*VLOOKUP('Données projet'!$B$9,Paramètres!$A$1:$I$89,3,0)*0.475*44/12</f>
        <v>7.1943259241731546E-7</v>
      </c>
      <c r="AC80" s="22">
        <f t="shared" si="57"/>
        <v>5.4255299466251117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5.6843418860808015E-14</v>
      </c>
      <c r="AJ80" s="13">
        <f>AI80*VLOOKUP('Données projet'!$B$10,Paramètres!$A$1:$I$89,3,0)*VLOOKUP('Données projet'!$B$10,Paramètres!$A$1:$I$89,5,0)</f>
        <v>4.9658410716801891E-14</v>
      </c>
      <c r="AK80" s="13">
        <f t="shared" si="89"/>
        <v>8.0934058173791862E-13</v>
      </c>
      <c r="AL80" s="20">
        <f t="shared" si="58"/>
        <v>1.4960899118586383E-12</v>
      </c>
      <c r="AM80" s="59">
        <f t="shared" si="59"/>
        <v>293.33333333333479</v>
      </c>
      <c r="AN80" s="59">
        <f ca="1">AVERAGE(OFFSET($AM$3,0,0,'Données projet'!$E$10+1,1))-AVERAGE(OFFSET($H$3,0,0,'Données projet'!$E$10+1,1))</f>
        <v>243.05628303465238</v>
      </c>
      <c r="AO80" s="59">
        <f t="shared" si="90"/>
        <v>352.47096767658394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3.1124538519305558</v>
      </c>
      <c r="AV80" s="21">
        <f>EXP(-LN(2)/25)*AV79+(1-EXP(-LN(2)/25))/(LN(2)/25)*Calculateur!AQ80*Calculateur!AS80*VLOOKUP('Données projet'!$B$10,Paramètres!$A$1:$I$89,3,0)*0.475*44/12</f>
        <v>4.9223864247565805</v>
      </c>
      <c r="AW80" s="21">
        <f>EXP(-LN(2)/2)*AW79+(1-EXP(-LN(2)/2))/(LN(2)/2)*AQ80*AT80*VLOOKUP('Données projet'!$B$10,Paramètres!$A$1:$I$89,3,0)*0.475*44/12</f>
        <v>9.5025702447931815E-7</v>
      </c>
      <c r="AX80" s="21">
        <f t="shared" si="60"/>
        <v>8.0348412269441614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</v>
      </c>
      <c r="BD80" s="12">
        <f>IF('Données projet'!$A$88&gt;35,BD79+BC80-BL79,IF(A80&lt;'Données projet'!$A$88,$BA$205^A80,IF(A80='Données projet'!$A$88,'Données projet'!$B$88,BD79+BC80-BL79)))</f>
        <v>368.99999999999972</v>
      </c>
      <c r="BE80" s="13">
        <f>BD80*VLOOKUP('Données projet'!$B$11,Paramètres!$A$1:$I$89,3,0)*VLOOKUP('Données projet'!$B$11,Paramètres!$A$1:$I$89,5,0)</f>
        <v>293.57639999999981</v>
      </c>
      <c r="BF80" s="13">
        <f t="shared" si="91"/>
        <v>69.828138511965548</v>
      </c>
      <c r="BG80" s="20">
        <f t="shared" si="61"/>
        <v>632.92957124167299</v>
      </c>
      <c r="BH80" s="59">
        <f t="shared" si="62"/>
        <v>926.26290457500636</v>
      </c>
      <c r="BI80" s="59">
        <f ca="1">AVERAGE(OFFSET($BH$3,0,0,'Données projet'!$E$11+1,1))-AVERAGE(OFFSET($H$3,0,0,'Données projet'!$E$11+1,1))</f>
        <v>325.72928944930294</v>
      </c>
      <c r="BJ80" s="59">
        <f t="shared" si="92"/>
        <v>318.38876834819752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6.8260182501621118</v>
      </c>
      <c r="BQ80" s="21">
        <f>EXP(-LN(2)/25)*BQ79+(1-EXP(-LN(2)/25))/(LN(2)/25)*Calculateur!BL80*Calculateur!BN80*VLOOKUP('Données projet'!$B$11,Paramètres!$A$1:$I$89,3,0)*0.475*44/12</f>
        <v>5.6183868725661696</v>
      </c>
      <c r="BR80" s="21">
        <f>EXP(-LN(2)/2)*BR79+(1-EXP(-LN(2)/2))/(LN(2)/2)*BL80*BO80*VLOOKUP('Données projet'!$B$11,Paramètres!$A$1:$I$89,3,0)*0.475*44/12</f>
        <v>9.9717092069935564E-7</v>
      </c>
      <c r="BS80" s="22">
        <f t="shared" si="63"/>
        <v>12.444406119899201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-3.4106051316484809E-13</v>
      </c>
      <c r="BZ80" s="13">
        <f>BY80*VLOOKUP('Données projet'!$B$12,Paramètres!$A$1:$I$89,3,0)*VLOOKUP('Données projet'!$B$12,Paramètres!$A$1:$I$89,5,0)</f>
        <v>-1.9065282685915009E-13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475.54809021014017</v>
      </c>
      <c r="CE80" s="59">
        <f t="shared" si="94"/>
        <v>593.51433014569966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2.8942435827755166</v>
      </c>
      <c r="CL80" s="21">
        <f>EXP(-LN(2)/25)*CL79+(1-EXP(-LN(2)/25))/(LN(2)/25)*Calculateur!CG80*Calculateur!CI80*VLOOKUP('Données projet'!$B$12,Paramètres!$A$1:$I$89,3,0)*0.475*44/12</f>
        <v>11.577047234772698</v>
      </c>
      <c r="CM80" s="21">
        <f>EXP(-LN(2)/2)*CM79+(1-EXP(-LN(2)/2))/(LN(2)/2)*CG80*CJ80*VLOOKUP('Données projet'!$B$12,Paramètres!$A$1:$I$89,3,0)*0.475*44/12</f>
        <v>1.2153429634937314E-6</v>
      </c>
      <c r="CN80" s="22">
        <f t="shared" si="66"/>
        <v>14.471292032891178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17</v>
      </c>
      <c r="CT80" s="12">
        <f>IF('Données projet'!$A$140&gt;35,CT79+CS80-DB79,IF(A80&lt;'Données projet'!$A$140,$CQ$205^A80,IF(A80='Données projet'!$A$140,'Données projet'!$B$140,CT79+CS80-DB79)))</f>
        <v>455.49999999999989</v>
      </c>
      <c r="CU80" s="17">
        <f>CT80*VLOOKUP('Données projet'!$B$13,Paramètres!$A$1:$I$89,3,0)*VLOOKUP('Données projet'!$B$13,Paramètres!$A$1:$I$89,5,0)</f>
        <v>213.17399999999995</v>
      </c>
      <c r="CV80" s="13">
        <f t="shared" si="95"/>
        <v>52.628577834232573</v>
      </c>
      <c r="CW80" s="20">
        <f t="shared" si="67"/>
        <v>462.93948972795494</v>
      </c>
      <c r="CX80" s="59">
        <f t="shared" si="68"/>
        <v>756.27282306128825</v>
      </c>
      <c r="CY80" s="59">
        <f ca="1">AVERAGE(OFFSET($CX$3,0,0,'Données projet'!$E$13+1,1))-AVERAGE(OFFSET($H$3,0,0,'Données projet'!$E$13+1,1))</f>
        <v>226.0452828290525</v>
      </c>
      <c r="CZ80" s="59">
        <f t="shared" si="96"/>
        <v>179.89696397462069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3.5781801720276647</v>
      </c>
      <c r="DG80" s="21">
        <f>EXP(-LN(2)/25)*DG79+(1-EXP(-LN(2)/25))/(LN(2)/25)*Calculateur!DB80*Calculateur!DD80*VLOOKUP('Données projet'!$B$13,Paramètres!$A$1:$I$89,3,0)*0.475*44/12</f>
        <v>3.0296321106671478</v>
      </c>
      <c r="DH80" s="21">
        <f>EXP(-LN(2)/2)*DH79+(1-EXP(-LN(2)/2))/(LN(2)/2)*DB80*DE80*VLOOKUP('Données projet'!$B$13,Paramètres!$A$1:$I$89,3,0)*0.475*44/12</f>
        <v>9.3086614005611217E-7</v>
      </c>
      <c r="DI80" s="22">
        <f t="shared" si="69"/>
        <v>6.6078132135609522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1.1368683772161603E-13</v>
      </c>
      <c r="DP80" s="17">
        <f>DO80*VLOOKUP('Données projet'!$B$14,Paramètres!$A$1:$I$89,3,0)*VLOOKUP('Données projet'!$B$14,Paramètres!$A$1:$I$89,5,0)</f>
        <v>6.7984728957526396E-14</v>
      </c>
      <c r="DQ80" s="13">
        <f t="shared" si="97"/>
        <v>1.0682447123141398E-12</v>
      </c>
      <c r="DR80" s="20">
        <f t="shared" si="70"/>
        <v>1.978932943548152E-12</v>
      </c>
      <c r="DS80" s="59">
        <f t="shared" si="71"/>
        <v>293.3333333333353</v>
      </c>
      <c r="DT80" s="59">
        <f ca="1">AVERAGE(OFFSET($DS$3,0,0,'Données projet'!$E$14+1,1))-AVERAGE(OFFSET($H$3,0,0,'Données projet'!$E$14+1,1))</f>
        <v>252.81045065813976</v>
      </c>
      <c r="DU80" s="59">
        <f t="shared" si="98"/>
        <v>254.36590349790589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7.1177812358441788</v>
      </c>
      <c r="EB80" s="21">
        <f>EXP(-LN(2)/25)*EB79+(1-EXP(-LN(2)/25))/(LN(2)/25)*Calculateur!DW80*Calculateur!DY80*VLOOKUP('Données projet'!$B$14,Paramètres!$A$1:$I$89,3,0)*0.475*44/12</f>
        <v>4.3811762548511108</v>
      </c>
      <c r="EC80" s="21">
        <f>EXP(-LN(2)/2)*EC79+(1-EXP(-LN(2)/2))/(LN(2)/2)*DW80*DZ80*VLOOKUP('Données projet'!$B$14,Paramètres!$A$1:$I$89,3,0)*0.475*44/12</f>
        <v>4.8396245675656699E-7</v>
      </c>
      <c r="ED80" s="22">
        <f t="shared" si="72"/>
        <v>11.498957974657745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4</v>
      </c>
      <c r="EJ80" s="12">
        <f>IF('Données projet'!$A$192&gt;35,EJ79+EI80-ER79,IF(A80&lt;'Données projet'!$A$192,$EG$205^A80,IF(A80='Données projet'!$A$192,'Données projet'!$B$192,EJ79+EI80-ER79)))</f>
        <v>368.99999999999972</v>
      </c>
      <c r="EK80" s="17">
        <f>EJ80*VLOOKUP('Données projet'!$B$15,Paramètres!$A$1:$I$89,3,0)*VLOOKUP('Données projet'!$B$15,Paramètres!$A$1:$I$89,5,0)</f>
        <v>270.55079999999981</v>
      </c>
      <c r="EL80" s="13">
        <f t="shared" si="99"/>
        <v>64.966149081071777</v>
      </c>
      <c r="EM80" s="20">
        <f t="shared" si="73"/>
        <v>584.35868631619962</v>
      </c>
      <c r="EN80" s="59">
        <f t="shared" si="74"/>
        <v>877.69201964953299</v>
      </c>
      <c r="EO80" s="59">
        <f ca="1">AVERAGE(OFFSET($EN$3,0,0,'Données projet'!$E$15+1,1))-AVERAGE(OFFSET($H$3,0,0,'Données projet'!$E$15+1,1))</f>
        <v>296.91321813251051</v>
      </c>
      <c r="EP80" s="59">
        <f t="shared" si="100"/>
        <v>291.0718079639509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5.1037302565955001</v>
      </c>
      <c r="EW80" s="21">
        <f>EXP(-LN(2)/25)*EW79+(1-EXP(-LN(2)/25))/(LN(2)/25)*Calculateur!ER80*Calculateur!ET80*VLOOKUP('Données projet'!$B$15,Paramètres!$A$1:$I$89,3,0)*0.475*44/12</f>
        <v>4.200799063801786</v>
      </c>
      <c r="EX80" s="21">
        <f>EXP(-LN(2)/2)*EX79+(1-EXP(-LN(2)/2))/(LN(2)/2)*ER80*EU80*VLOOKUP('Données projet'!$B$15,Paramètres!$A$1:$I$89,3,0)*0.475*44/12</f>
        <v>9.1896143672293784E-7</v>
      </c>
      <c r="EY80" s="22">
        <f t="shared" si="75"/>
        <v>9.3045302393587228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7.2</v>
      </c>
      <c r="FE80" s="12">
        <f>IF('Données projet'!$A$218&gt;35,FE79+FD80-FM79,IF(A80&lt;'Données projet'!$A$218,$FB$205^A80,IF(A80='Données projet'!$A$218,'Données projet'!$B$218,FE79+FD80-FM79)))</f>
        <v>298.40000000000003</v>
      </c>
      <c r="FF80" s="17">
        <f>FE80*VLOOKUP('Données projet'!$B$16,Paramètres!$A$1:$I$89,3,0)*VLOOKUP('Données projet'!$B$16,Paramètres!$A$1:$I$89,5,0)</f>
        <v>302.57760000000007</v>
      </c>
      <c r="FG80" s="13">
        <f t="shared" si="101"/>
        <v>71.716558091076294</v>
      </c>
      <c r="FH80" s="20">
        <f t="shared" si="76"/>
        <v>651.89565867529132</v>
      </c>
      <c r="FI80" s="59">
        <f t="shared" si="77"/>
        <v>945.22899200862457</v>
      </c>
      <c r="FJ80" s="59">
        <f ca="1">AVERAGE(OFFSET($FI$3,0,0,'Données projet'!$E$16+1,1))-AVERAGE(OFFSET($H$3,0,0,'Données projet'!$E$16+1,1))</f>
        <v>356.65981389369125</v>
      </c>
      <c r="FK80" s="59">
        <f t="shared" si="102"/>
        <v>231.92898690465887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3.2290148280570268</v>
      </c>
      <c r="FR80" s="21">
        <f>EXP(-LN(2)/25)*FR79+(1-EXP(-LN(2)/25))/(LN(2)/25)*Calculateur!FM80*Calculateur!FO80*VLOOKUP('Données projet'!$B$16,Paramètres!$A$1:$I$89,3,0)*0.475*44/12</f>
        <v>2.8513196506932164</v>
      </c>
      <c r="FS80" s="21">
        <f>EXP(-LN(2)/2)*FS79+(1-EXP(-LN(2)/2))/(LN(2)/2)*FM80*FP80*VLOOKUP('Données projet'!$B$16,Paramètres!$A$1:$I$89,3,0)*0.475*44/12</f>
        <v>8.0626066391595702E-7</v>
      </c>
      <c r="FT80" s="22">
        <f t="shared" si="78"/>
        <v>6.0803352850109071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7.2</v>
      </c>
      <c r="FZ80" s="12">
        <f>IF('Données projet'!$A$244&gt;35,FZ79+FY80-GH79,IF(A80&lt;'Données projet'!$A$244,$FW$205^A80,IF(A80='Données projet'!$A$244,'Données projet'!$B$244,FZ79+FY80-GH79)))</f>
        <v>298.40000000000003</v>
      </c>
      <c r="GA80" s="17">
        <f>FZ80*VLOOKUP('Données projet'!$B$17,Paramètres!$A$1:$I$89,3,0)*VLOOKUP('Données projet'!$B$17,Paramètres!$A$1:$I$89,5,0)</f>
        <v>288.61248000000001</v>
      </c>
      <c r="GB80" s="13">
        <f t="shared" si="103"/>
        <v>68.783851967051476</v>
      </c>
      <c r="GC80" s="20">
        <f t="shared" si="79"/>
        <v>622.4652781759479</v>
      </c>
      <c r="GD80" s="59">
        <f t="shared" si="80"/>
        <v>915.79861150928127</v>
      </c>
      <c r="GE80" s="59">
        <f ca="1">AVERAGE(OFFSET($GD$3,0,0,'Données projet'!$E$17+1,1))-AVERAGE(OFFSET($H$3,0,0,'Données projet'!$E$17+1,1))</f>
        <v>337.76140497227715</v>
      </c>
      <c r="GF80" s="59">
        <f t="shared" si="104"/>
        <v>219.76562717496353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3.0799833744543936</v>
      </c>
      <c r="GM80" s="21">
        <f>EXP(-LN(2)/25)*GM79+(1-EXP(-LN(2)/25))/(LN(2)/25)*Calculateur!GH80*Calculateur!GJ80*VLOOKUP('Données projet'!$B$17,Paramètres!$A$1:$I$89,3,0)*0.475*44/12</f>
        <v>2.7197202821996824</v>
      </c>
      <c r="GN80" s="21">
        <f>EXP(-LN(2)/2)*GN79+(1-EXP(-LN(2)/2))/(LN(2)/2)*GH80*GK80*VLOOKUP('Données projet'!$B$17,Paramètres!$A$1:$I$89,3,0)*0.475*44/12</f>
        <v>7.6904863327368226E-7</v>
      </c>
      <c r="GO80" s="21">
        <f t="shared" si="81"/>
        <v>5.7997044257027097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305.60000000000002</v>
      </c>
      <c r="O81" s="13">
        <f>N81*VLOOKUP('Données projet'!$B$9,Paramètres!$A$1:$I$89,3,0)*VLOOKUP('Données projet'!$B$9,Paramètres!$A$1:$I$89,5,0)</f>
        <v>276.50687999999997</v>
      </c>
      <c r="P81" s="13">
        <f t="shared" si="87"/>
        <v>66.228273722513677</v>
      </c>
      <c r="Q81" s="20">
        <f t="shared" si="54"/>
        <v>596.93039273337797</v>
      </c>
      <c r="R81" s="59">
        <f t="shared" si="55"/>
        <v>890.26372606671134</v>
      </c>
      <c r="S81" s="59">
        <f ca="1">AVERAGE(OFFSET($R$3,0,0,'Données projet'!$E$9+1,1))-AVERAGE(OFFSET($H$3,0,0,'Données projet'!$E$9+1,1))</f>
        <v>312.53389584272878</v>
      </c>
      <c r="T81" s="59">
        <f t="shared" si="88"/>
        <v>203.5274665601915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2.824774728822109</v>
      </c>
      <c r="AA81" s="21">
        <f>EXP(-LN(2)/25)*AA80+(1-EXP(-LN(2)/25))/(LN(2)/25)*Calculateur!V81*Calculateur!X81*VLOOKUP('Données projet'!$B$9,Paramètres!$A$1:$I$89,3,0)*0.475*44/12</f>
        <v>2.4746816856036338</v>
      </c>
      <c r="AB81" s="21">
        <f>EXP(-LN(2)/2)*AB80+(1-EXP(-LN(2)/2))/(LN(2)/2)*V81*Y81*VLOOKUP('Données projet'!$B$9,Paramètres!$A$1:$I$89,3,0)*0.475*44/12</f>
        <v>5.0871566470490131E-7</v>
      </c>
      <c r="AC81" s="22">
        <f t="shared" si="57"/>
        <v>5.2994569231414079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5.6843418860808015E-14</v>
      </c>
      <c r="AJ81" s="13">
        <f>AI81*VLOOKUP('Données projet'!$B$10,Paramètres!$A$1:$I$89,3,0)*VLOOKUP('Données projet'!$B$10,Paramètres!$A$1:$I$89,5,0)</f>
        <v>4.9658410716801891E-14</v>
      </c>
      <c r="AK81" s="13">
        <f t="shared" si="89"/>
        <v>8.0934058173791862E-13</v>
      </c>
      <c r="AL81" s="20">
        <f t="shared" si="58"/>
        <v>1.4960899118586383E-12</v>
      </c>
      <c r="AM81" s="59">
        <f t="shared" si="59"/>
        <v>293.33333333333479</v>
      </c>
      <c r="AN81" s="59">
        <f ca="1">AVERAGE(OFFSET($AM$3,0,0,'Données projet'!$E$10+1,1))-AVERAGE(OFFSET($H$3,0,0,'Données projet'!$E$10+1,1))</f>
        <v>243.05628303465238</v>
      </c>
      <c r="AO81" s="59">
        <f t="shared" si="90"/>
        <v>352.47096767658394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3.0514205303035951</v>
      </c>
      <c r="AV81" s="21">
        <f>EXP(-LN(2)/25)*AV80+(1-EXP(-LN(2)/25))/(LN(2)/25)*Calculateur!AQ81*Calculateur!AS81*VLOOKUP('Données projet'!$B$10,Paramètres!$A$1:$I$89,3,0)*0.475*44/12</f>
        <v>4.7877835091145604</v>
      </c>
      <c r="AW81" s="21">
        <f>EXP(-LN(2)/2)*AW80+(1-EXP(-LN(2)/2))/(LN(2)/2)*AQ81*AT81*VLOOKUP('Données projet'!$B$10,Paramètres!$A$1:$I$89,3,0)*0.475*44/12</f>
        <v>6.7193318587947703E-7</v>
      </c>
      <c r="AX81" s="21">
        <f t="shared" si="60"/>
        <v>7.839204711351341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</v>
      </c>
      <c r="BD81" s="12">
        <f>IF('Données projet'!$A$88&gt;35,BD80+BC81-BL80,IF(A81&lt;'Données projet'!$A$88,$BA$205^A81,IF(A81='Données projet'!$A$88,'Données projet'!$B$88,BD80+BC81-BL80)))</f>
        <v>372.99999999999972</v>
      </c>
      <c r="BE81" s="13">
        <f>BD81*VLOOKUP('Données projet'!$B$11,Paramètres!$A$1:$I$89,3,0)*VLOOKUP('Données projet'!$B$11,Paramètres!$A$1:$I$89,5,0)</f>
        <v>296.75879999999978</v>
      </c>
      <c r="BF81" s="13">
        <f t="shared" si="91"/>
        <v>70.496554480015604</v>
      </c>
      <c r="BG81" s="20">
        <f t="shared" si="61"/>
        <v>639.63640905269347</v>
      </c>
      <c r="BH81" s="59">
        <f t="shared" si="62"/>
        <v>932.96974238602684</v>
      </c>
      <c r="BI81" s="59">
        <f ca="1">AVERAGE(OFFSET($BH$3,0,0,'Données projet'!$E$11+1,1))-AVERAGE(OFFSET($H$3,0,0,'Données projet'!$E$11+1,1))</f>
        <v>325.72928944930294</v>
      </c>
      <c r="BJ81" s="59">
        <f t="shared" si="92"/>
        <v>318.38876834819752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6.6921641957364582</v>
      </c>
      <c r="BQ81" s="21">
        <f>EXP(-LN(2)/25)*BQ80+(1-EXP(-LN(2)/25))/(LN(2)/25)*Calculateur!BL81*Calculateur!BN81*VLOOKUP('Données projet'!$B$11,Paramètres!$A$1:$I$89,3,0)*0.475*44/12</f>
        <v>5.4647517880777228</v>
      </c>
      <c r="BR81" s="21">
        <f>EXP(-LN(2)/2)*BR80+(1-EXP(-LN(2)/2))/(LN(2)/2)*BL81*BO81*VLOOKUP('Données projet'!$B$11,Paramètres!$A$1:$I$89,3,0)*0.475*44/12</f>
        <v>7.0510632002854743E-7</v>
      </c>
      <c r="BS81" s="22">
        <f t="shared" si="63"/>
        <v>12.1569166889205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-3.4106051316484809E-13</v>
      </c>
      <c r="BZ81" s="13">
        <f>BY81*VLOOKUP('Données projet'!$B$12,Paramètres!$A$1:$I$89,3,0)*VLOOKUP('Données projet'!$B$12,Paramètres!$A$1:$I$89,5,0)</f>
        <v>-1.9065282685915009E-13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475.54809021014017</v>
      </c>
      <c r="CE81" s="59">
        <f t="shared" si="94"/>
        <v>593.51433014569966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2.8374892314315638</v>
      </c>
      <c r="CL81" s="21">
        <f>EXP(-LN(2)/25)*CL80+(1-EXP(-LN(2)/25))/(LN(2)/25)*Calculateur!CG81*Calculateur!CI81*VLOOKUP('Données projet'!$B$12,Paramètres!$A$1:$I$89,3,0)*0.475*44/12</f>
        <v>11.260472269327384</v>
      </c>
      <c r="CM81" s="21">
        <f>EXP(-LN(2)/2)*CM80+(1-EXP(-LN(2)/2))/(LN(2)/2)*CG81*CJ81*VLOOKUP('Données projet'!$B$12,Paramètres!$A$1:$I$89,3,0)*0.475*44/12</f>
        <v>8.5937725095377216E-7</v>
      </c>
      <c r="CN81" s="22">
        <f t="shared" si="66"/>
        <v>14.097962360136197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17</v>
      </c>
      <c r="CT81" s="12">
        <f>IF('Données projet'!$A$140&gt;35,CT80+CS81-DB80,IF(A81&lt;'Données projet'!$A$140,$CQ$205^A81,IF(A81='Données projet'!$A$140,'Données projet'!$B$140,CT80+CS81-DB80)))</f>
        <v>472.49999999999989</v>
      </c>
      <c r="CU81" s="17">
        <f>CT81*VLOOKUP('Données projet'!$B$13,Paramètres!$A$1:$I$89,3,0)*VLOOKUP('Données projet'!$B$13,Paramètres!$A$1:$I$89,5,0)</f>
        <v>221.12999999999997</v>
      </c>
      <c r="CV81" s="13">
        <f t="shared" si="95"/>
        <v>54.360412358692685</v>
      </c>
      <c r="CW81" s="20">
        <f t="shared" si="67"/>
        <v>479.81246819138977</v>
      </c>
      <c r="CX81" s="59">
        <f t="shared" si="68"/>
        <v>773.14580152472308</v>
      </c>
      <c r="CY81" s="59">
        <f ca="1">AVERAGE(OFFSET($CX$3,0,0,'Données projet'!$E$13+1,1))-AVERAGE(OFFSET($H$3,0,0,'Données projet'!$E$13+1,1))</f>
        <v>226.0452828290525</v>
      </c>
      <c r="CZ81" s="59">
        <f t="shared" si="96"/>
        <v>179.89696397462069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3.5080142413286057</v>
      </c>
      <c r="DG81" s="21">
        <f>EXP(-LN(2)/25)*DG80+(1-EXP(-LN(2)/25))/(LN(2)/25)*Calculateur!DB81*Calculateur!DD81*VLOOKUP('Données projet'!$B$13,Paramètres!$A$1:$I$89,3,0)*0.475*44/12</f>
        <v>2.9467866612795262</v>
      </c>
      <c r="DH81" s="21">
        <f>EXP(-LN(2)/2)*DH80+(1-EXP(-LN(2)/2))/(LN(2)/2)*DB81*DE81*VLOOKUP('Données projet'!$B$13,Paramètres!$A$1:$I$89,3,0)*0.475*44/12</f>
        <v>6.5822176001062344E-7</v>
      </c>
      <c r="DI81" s="22">
        <f t="shared" si="69"/>
        <v>6.4548015608298916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1.1368683772161603E-13</v>
      </c>
      <c r="DP81" s="17">
        <f>DO81*VLOOKUP('Données projet'!$B$14,Paramètres!$A$1:$I$89,3,0)*VLOOKUP('Données projet'!$B$14,Paramètres!$A$1:$I$89,5,0)</f>
        <v>6.7984728957526396E-14</v>
      </c>
      <c r="DQ81" s="13">
        <f t="shared" si="97"/>
        <v>1.0682447123141398E-12</v>
      </c>
      <c r="DR81" s="20">
        <f t="shared" si="70"/>
        <v>1.978932943548152E-12</v>
      </c>
      <c r="DS81" s="59">
        <f t="shared" si="71"/>
        <v>293.3333333333353</v>
      </c>
      <c r="DT81" s="59">
        <f ca="1">AVERAGE(OFFSET($DS$3,0,0,'Données projet'!$E$14+1,1))-AVERAGE(OFFSET($H$3,0,0,'Données projet'!$E$14+1,1))</f>
        <v>252.81045065813976</v>
      </c>
      <c r="DU81" s="59">
        <f t="shared" si="98"/>
        <v>254.36590349790589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6.9782058872271486</v>
      </c>
      <c r="EB81" s="21">
        <f>EXP(-LN(2)/25)*EB80+(1-EXP(-LN(2)/25))/(LN(2)/25)*Calculateur!DW81*Calculateur!DY81*VLOOKUP('Données projet'!$B$14,Paramètres!$A$1:$I$89,3,0)*0.475*44/12</f>
        <v>4.2613727597661617</v>
      </c>
      <c r="EC81" s="21">
        <f>EXP(-LN(2)/2)*EC80+(1-EXP(-LN(2)/2))/(LN(2)/2)*DW81*DZ81*VLOOKUP('Données projet'!$B$14,Paramètres!$A$1:$I$89,3,0)*0.475*44/12</f>
        <v>3.4221313501226978E-7</v>
      </c>
      <c r="ED81" s="22">
        <f t="shared" si="72"/>
        <v>11.239578989206445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4</v>
      </c>
      <c r="EJ81" s="12">
        <f>IF('Données projet'!$A$192&gt;35,EJ80+EI81-ER80,IF(A81&lt;'Données projet'!$A$192,$EG$205^A81,IF(A81='Données projet'!$A$192,'Données projet'!$B$192,EJ80+EI81-ER80)))</f>
        <v>372.99999999999972</v>
      </c>
      <c r="EK81" s="17">
        <f>EJ81*VLOOKUP('Données projet'!$B$15,Paramètres!$A$1:$I$89,3,0)*VLOOKUP('Données projet'!$B$15,Paramètres!$A$1:$I$89,5,0)</f>
        <v>273.4835999999998</v>
      </c>
      <c r="EL81" s="13">
        <f t="shared" si="99"/>
        <v>65.588024622277445</v>
      </c>
      <c r="EM81" s="20">
        <f t="shared" si="73"/>
        <v>590.54974621713279</v>
      </c>
      <c r="EN81" s="59">
        <f t="shared" si="74"/>
        <v>883.88307955046616</v>
      </c>
      <c r="EO81" s="59">
        <f ca="1">AVERAGE(OFFSET($EN$3,0,0,'Données projet'!$E$15+1,1))-AVERAGE(OFFSET($H$3,0,0,'Données projet'!$E$15+1,1))</f>
        <v>296.91321813251051</v>
      </c>
      <c r="EP81" s="59">
        <f t="shared" si="100"/>
        <v>291.0718079639509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5.0036492192317388</v>
      </c>
      <c r="EW81" s="21">
        <f>EXP(-LN(2)/25)*EW80+(1-EXP(-LN(2)/25))/(LN(2)/25)*Calculateur!ER81*Calculateur!ET81*VLOOKUP('Données projet'!$B$15,Paramètres!$A$1:$I$89,3,0)*0.475*44/12</f>
        <v>4.0859279924917047</v>
      </c>
      <c r="EX81" s="21">
        <f>EXP(-LN(2)/2)*EX80+(1-EXP(-LN(2)/2))/(LN(2)/2)*ER81*EU81*VLOOKUP('Données projet'!$B$15,Paramètres!$A$1:$I$89,3,0)*0.475*44/12</f>
        <v>6.4980386355572174E-7</v>
      </c>
      <c r="EY81" s="22">
        <f t="shared" si="75"/>
        <v>9.0895778615273084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7.2</v>
      </c>
      <c r="FE81" s="12">
        <f>IF('Données projet'!$A$218&gt;35,FE80+FD81-FM80,IF(A81&lt;'Données projet'!$A$218,$FB$205^A81,IF(A81='Données projet'!$A$218,'Données projet'!$B$218,FE80+FD81-FM80)))</f>
        <v>305.60000000000002</v>
      </c>
      <c r="FF81" s="17">
        <f>FE81*VLOOKUP('Données projet'!$B$16,Paramètres!$A$1:$I$89,3,0)*VLOOKUP('Données projet'!$B$16,Paramètres!$A$1:$I$89,5,0)</f>
        <v>309.87840000000006</v>
      </c>
      <c r="FG81" s="13">
        <f t="shared" si="101"/>
        <v>73.243434672131556</v>
      </c>
      <c r="FH81" s="20">
        <f t="shared" si="76"/>
        <v>667.27052872062916</v>
      </c>
      <c r="FI81" s="59">
        <f t="shared" si="77"/>
        <v>960.60386205396253</v>
      </c>
      <c r="FJ81" s="59">
        <f ca="1">AVERAGE(OFFSET($FI$3,0,0,'Données projet'!$E$16+1,1))-AVERAGE(OFFSET($H$3,0,0,'Données projet'!$E$16+1,1))</f>
        <v>356.65981389369125</v>
      </c>
      <c r="FK81" s="59">
        <f t="shared" si="102"/>
        <v>231.92898690465887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3.1656958167834013</v>
      </c>
      <c r="FR81" s="21">
        <f>EXP(-LN(2)/25)*FR80+(1-EXP(-LN(2)/25))/(LN(2)/25)*Calculateur!FM81*Calculateur!FO81*VLOOKUP('Données projet'!$B$16,Paramètres!$A$1:$I$89,3,0)*0.475*44/12</f>
        <v>2.7733501649006267</v>
      </c>
      <c r="FS81" s="21">
        <f>EXP(-LN(2)/2)*FS80+(1-EXP(-LN(2)/2))/(LN(2)/2)*FM81*FP81*VLOOKUP('Données projet'!$B$16,Paramètres!$A$1:$I$89,3,0)*0.475*44/12</f>
        <v>5.7011238285894114E-7</v>
      </c>
      <c r="FT81" s="22">
        <f t="shared" si="78"/>
        <v>5.9390465517964115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7.2</v>
      </c>
      <c r="FZ81" s="12">
        <f>IF('Données projet'!$A$244&gt;35,FZ80+FY81-GH80,IF(A81&lt;'Données projet'!$A$244,$FW$205^A81,IF(A81='Données projet'!$A$244,'Données projet'!$B$244,FZ80+FY81-GH80)))</f>
        <v>305.60000000000002</v>
      </c>
      <c r="GA81" s="17">
        <f>FZ81*VLOOKUP('Données projet'!$B$17,Paramètres!$A$1:$I$89,3,0)*VLOOKUP('Données projet'!$B$17,Paramètres!$A$1:$I$89,5,0)</f>
        <v>295.57632000000001</v>
      </c>
      <c r="GB81" s="13">
        <f t="shared" si="103"/>
        <v>70.24828996461811</v>
      </c>
      <c r="GC81" s="20">
        <f t="shared" si="79"/>
        <v>637.1445290217099</v>
      </c>
      <c r="GD81" s="59">
        <f t="shared" si="80"/>
        <v>930.47786235504327</v>
      </c>
      <c r="GE81" s="59">
        <f ca="1">AVERAGE(OFFSET($GD$3,0,0,'Données projet'!$E$17+1,1))-AVERAGE(OFFSET($H$3,0,0,'Données projet'!$E$17+1,1))</f>
        <v>337.76140497227715</v>
      </c>
      <c r="GF81" s="59">
        <f t="shared" si="104"/>
        <v>219.76562717496353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3.0195867790857047</v>
      </c>
      <c r="GM81" s="21">
        <f>EXP(-LN(2)/25)*GM80+(1-EXP(-LN(2)/25))/(LN(2)/25)*Calculateur!GH81*Calculateur!GJ81*VLOOKUP('Données projet'!$B$17,Paramètres!$A$1:$I$89,3,0)*0.475*44/12</f>
        <v>2.6453493880590586</v>
      </c>
      <c r="GN81" s="21">
        <f>EXP(-LN(2)/2)*GN80+(1-EXP(-LN(2)/2))/(LN(2)/2)*GH81*GK81*VLOOKUP('Données projet'!$B$17,Paramètres!$A$1:$I$89,3,0)*0.475*44/12</f>
        <v>5.4379950365006706E-7</v>
      </c>
      <c r="GO81" s="21">
        <f t="shared" si="81"/>
        <v>5.664936710944267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312.8</v>
      </c>
      <c r="O82" s="13">
        <f>N82*VLOOKUP('Données projet'!$B$9,Paramètres!$A$1:$I$89,3,0)*VLOOKUP('Données projet'!$B$9,Paramètres!$A$1:$I$89,5,0)</f>
        <v>283.02144000000004</v>
      </c>
      <c r="P82" s="13">
        <f t="shared" si="87"/>
        <v>67.605126603830598</v>
      </c>
      <c r="Q82" s="20">
        <f t="shared" si="54"/>
        <v>610.67460350167164</v>
      </c>
      <c r="R82" s="59">
        <f t="shared" si="55"/>
        <v>904.00793683500501</v>
      </c>
      <c r="S82" s="59">
        <f ca="1">AVERAGE(OFFSET($R$3,0,0,'Données projet'!$E$9+1,1))-AVERAGE(OFFSET($H$3,0,0,'Données projet'!$E$9+1,1))</f>
        <v>312.53389584272878</v>
      </c>
      <c r="T82" s="59">
        <f t="shared" si="88"/>
        <v>203.5274665601915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2.7693826193323656</v>
      </c>
      <c r="AA82" s="21">
        <f>EXP(-LN(2)/25)*AA81+(1-EXP(-LN(2)/25))/(LN(2)/25)*Calculateur!V82*Calculateur!X82*VLOOKUP('Données projet'!$B$9,Paramètres!$A$1:$I$89,3,0)*0.475*44/12</f>
        <v>2.4070113847729484</v>
      </c>
      <c r="AB82" s="21">
        <f>EXP(-LN(2)/2)*AB81+(1-EXP(-LN(2)/2))/(LN(2)/2)*V82*Y82*VLOOKUP('Données projet'!$B$9,Paramètres!$A$1:$I$89,3,0)*0.475*44/12</f>
        <v>3.5971629620865773E-7</v>
      </c>
      <c r="AC82" s="22">
        <f t="shared" si="57"/>
        <v>5.1763943638216094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5.6843418860808015E-14</v>
      </c>
      <c r="AJ82" s="13">
        <f>AI82*VLOOKUP('Données projet'!$B$10,Paramètres!$A$1:$I$89,3,0)*VLOOKUP('Données projet'!$B$10,Paramètres!$A$1:$I$89,5,0)</f>
        <v>4.9658410716801891E-14</v>
      </c>
      <c r="AK82" s="13">
        <f t="shared" si="89"/>
        <v>8.0934058173791862E-13</v>
      </c>
      <c r="AL82" s="20">
        <f t="shared" si="58"/>
        <v>1.4960899118586383E-12</v>
      </c>
      <c r="AM82" s="59">
        <f t="shared" si="59"/>
        <v>293.33333333333479</v>
      </c>
      <c r="AN82" s="59">
        <f ca="1">AVERAGE(OFFSET($AM$3,0,0,'Données projet'!$E$10+1,1))-AVERAGE(OFFSET($H$3,0,0,'Données projet'!$E$10+1,1))</f>
        <v>243.05628303465238</v>
      </c>
      <c r="AO82" s="59">
        <f t="shared" si="90"/>
        <v>352.47096767658394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2.9915840348870884</v>
      </c>
      <c r="AV82" s="21">
        <f>EXP(-LN(2)/25)*AV81+(1-EXP(-LN(2)/25))/(LN(2)/25)*Calculateur!AQ82*Calculateur!AS82*VLOOKUP('Données projet'!$B$10,Paramètres!$A$1:$I$89,3,0)*0.475*44/12</f>
        <v>4.6568613172792306</v>
      </c>
      <c r="AW82" s="21">
        <f>EXP(-LN(2)/2)*AW81+(1-EXP(-LN(2)/2))/(LN(2)/2)*AQ82*AT82*VLOOKUP('Données projet'!$B$10,Paramètres!$A$1:$I$89,3,0)*0.475*44/12</f>
        <v>4.7512851223965918E-7</v>
      </c>
      <c r="AX82" s="21">
        <f t="shared" si="60"/>
        <v>7.6484458272948315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</v>
      </c>
      <c r="BD82" s="12">
        <f>IF('Données projet'!$A$88&gt;35,BD81+BC82-BL81,IF(A82&lt;'Données projet'!$A$88,$BA$205^A82,IF(A82='Données projet'!$A$88,'Données projet'!$B$88,BD81+BC82-BL81)))</f>
        <v>376.99999999999972</v>
      </c>
      <c r="BE82" s="13">
        <f>BD82*VLOOKUP('Données projet'!$B$11,Paramètres!$A$1:$I$89,3,0)*VLOOKUP('Données projet'!$B$11,Paramètres!$A$1:$I$89,5,0)</f>
        <v>299.94119999999981</v>
      </c>
      <c r="BF82" s="13">
        <f t="shared" si="91"/>
        <v>71.164136596531506</v>
      </c>
      <c r="BG82" s="20">
        <f t="shared" si="61"/>
        <v>646.34179457229197</v>
      </c>
      <c r="BH82" s="59">
        <f t="shared" si="62"/>
        <v>939.67512790562523</v>
      </c>
      <c r="BI82" s="59">
        <f ca="1">AVERAGE(OFFSET($BH$3,0,0,'Données projet'!$E$11+1,1))-AVERAGE(OFFSET($H$3,0,0,'Données projet'!$E$11+1,1))</f>
        <v>325.72928944930294</v>
      </c>
      <c r="BJ82" s="59">
        <f t="shared" si="92"/>
        <v>318.38876834819752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6.5609349376751798</v>
      </c>
      <c r="BQ82" s="21">
        <f>EXP(-LN(2)/25)*BQ81+(1-EXP(-LN(2)/25))/(LN(2)/25)*Calculateur!BL82*Calculateur!BN82*VLOOKUP('Données projet'!$B$11,Paramètres!$A$1:$I$89,3,0)*0.475*44/12</f>
        <v>5.3153178630539308</v>
      </c>
      <c r="BR82" s="21">
        <f>EXP(-LN(2)/2)*BR81+(1-EXP(-LN(2)/2))/(LN(2)/2)*BL82*BO82*VLOOKUP('Données projet'!$B$11,Paramètres!$A$1:$I$89,3,0)*0.475*44/12</f>
        <v>4.9858546034967782E-7</v>
      </c>
      <c r="BS82" s="22">
        <f t="shared" si="63"/>
        <v>11.876253299314572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-3.4106051316484809E-13</v>
      </c>
      <c r="BZ82" s="13">
        <f>BY82*VLOOKUP('Données projet'!$B$12,Paramètres!$A$1:$I$89,3,0)*VLOOKUP('Données projet'!$B$12,Paramètres!$A$1:$I$89,5,0)</f>
        <v>-1.9065282685915009E-13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475.54809021014017</v>
      </c>
      <c r="CE82" s="59">
        <f t="shared" si="94"/>
        <v>593.51433014569966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2.7818477983007299</v>
      </c>
      <c r="CL82" s="21">
        <f>EXP(-LN(2)/25)*CL81+(1-EXP(-LN(2)/25))/(LN(2)/25)*Calculateur!CG82*Calculateur!CI82*VLOOKUP('Données projet'!$B$12,Paramètres!$A$1:$I$89,3,0)*0.475*44/12</f>
        <v>10.952554062960125</v>
      </c>
      <c r="CM82" s="21">
        <f>EXP(-LN(2)/2)*CM81+(1-EXP(-LN(2)/2))/(LN(2)/2)*CG82*CJ82*VLOOKUP('Données projet'!$B$12,Paramètres!$A$1:$I$89,3,0)*0.475*44/12</f>
        <v>6.076714817468657E-7</v>
      </c>
      <c r="CN82" s="22">
        <f t="shared" si="66"/>
        <v>13.734402468932336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17</v>
      </c>
      <c r="CT82" s="12">
        <f>IF('Données projet'!$A$140&gt;35,CT81+CS82-DB81,IF(A82&lt;'Données projet'!$A$140,$CQ$205^A82,IF(A82='Données projet'!$A$140,'Données projet'!$B$140,CT81+CS82-DB81)))</f>
        <v>489.49999999999989</v>
      </c>
      <c r="CU82" s="17">
        <f>CT82*VLOOKUP('Données projet'!$B$13,Paramètres!$A$1:$I$89,3,0)*VLOOKUP('Données projet'!$B$13,Paramètres!$A$1:$I$89,5,0)</f>
        <v>229.08599999999993</v>
      </c>
      <c r="CV82" s="13">
        <f t="shared" si="95"/>
        <v>56.085007586294346</v>
      </c>
      <c r="CW82" s="20">
        <f t="shared" si="67"/>
        <v>496.6728382127958</v>
      </c>
      <c r="CX82" s="59">
        <f t="shared" si="68"/>
        <v>790.00617154612905</v>
      </c>
      <c r="CY82" s="59">
        <f ca="1">AVERAGE(OFFSET($CX$3,0,0,'Données projet'!$E$13+1,1))-AVERAGE(OFFSET($H$3,0,0,'Données projet'!$E$13+1,1))</f>
        <v>226.0452828290525</v>
      </c>
      <c r="CZ82" s="59">
        <f t="shared" si="96"/>
        <v>179.89696397462069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3.4392242217335633</v>
      </c>
      <c r="DG82" s="21">
        <f>EXP(-LN(2)/25)*DG81+(1-EXP(-LN(2)/25))/(LN(2)/25)*Calculateur!DB82*Calculateur!DD82*VLOOKUP('Données projet'!$B$13,Paramètres!$A$1:$I$89,3,0)*0.475*44/12</f>
        <v>2.8662066250620621</v>
      </c>
      <c r="DH82" s="21">
        <f>EXP(-LN(2)/2)*DH81+(1-EXP(-LN(2)/2))/(LN(2)/2)*DB82*DE82*VLOOKUP('Données projet'!$B$13,Paramètres!$A$1:$I$89,3,0)*0.475*44/12</f>
        <v>4.6543307002805614E-7</v>
      </c>
      <c r="DI82" s="22">
        <f t="shared" si="69"/>
        <v>6.3054313122286949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1.1368683772161603E-13</v>
      </c>
      <c r="DP82" s="17">
        <f>DO82*VLOOKUP('Données projet'!$B$14,Paramètres!$A$1:$I$89,3,0)*VLOOKUP('Données projet'!$B$14,Paramètres!$A$1:$I$89,5,0)</f>
        <v>6.7984728957526396E-14</v>
      </c>
      <c r="DQ82" s="13">
        <f t="shared" si="97"/>
        <v>1.0682447123141398E-12</v>
      </c>
      <c r="DR82" s="20">
        <f t="shared" si="70"/>
        <v>1.978932943548152E-12</v>
      </c>
      <c r="DS82" s="59">
        <f t="shared" si="71"/>
        <v>293.3333333333353</v>
      </c>
      <c r="DT82" s="59">
        <f ca="1">AVERAGE(OFFSET($DS$3,0,0,'Données projet'!$E$14+1,1))-AVERAGE(OFFSET($H$3,0,0,'Données projet'!$E$14+1,1))</f>
        <v>252.81045065813976</v>
      </c>
      <c r="DU82" s="59">
        <f t="shared" si="98"/>
        <v>254.36590349790589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6.8413675260639426</v>
      </c>
      <c r="EB82" s="21">
        <f>EXP(-LN(2)/25)*EB81+(1-EXP(-LN(2)/25))/(LN(2)/25)*Calculateur!DW82*Calculateur!DY82*VLOOKUP('Données projet'!$B$14,Paramètres!$A$1:$I$89,3,0)*0.475*44/12</f>
        <v>4.144845297554502</v>
      </c>
      <c r="EC82" s="21">
        <f>EXP(-LN(2)/2)*EC81+(1-EXP(-LN(2)/2))/(LN(2)/2)*DW82*DZ82*VLOOKUP('Données projet'!$B$14,Paramètres!$A$1:$I$89,3,0)*0.475*44/12</f>
        <v>2.4198122837828349E-7</v>
      </c>
      <c r="ED82" s="22">
        <f t="shared" si="72"/>
        <v>10.986213065599673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4</v>
      </c>
      <c r="EJ82" s="12">
        <f>IF('Données projet'!$A$192&gt;35,EJ81+EI82-ER81,IF(A82&lt;'Données projet'!$A$192,$EG$205^A82,IF(A82='Données projet'!$A$192,'Données projet'!$B$192,EJ81+EI82-ER81)))</f>
        <v>376.99999999999972</v>
      </c>
      <c r="EK82" s="17">
        <f>EJ82*VLOOKUP('Données projet'!$B$15,Paramètres!$A$1:$I$89,3,0)*VLOOKUP('Données projet'!$B$15,Paramètres!$A$1:$I$89,5,0)</f>
        <v>276.41639999999978</v>
      </c>
      <c r="EL82" s="13">
        <f t="shared" si="99"/>
        <v>66.209124371313351</v>
      </c>
      <c r="EM82" s="20">
        <f t="shared" si="73"/>
        <v>596.73945494670363</v>
      </c>
      <c r="EN82" s="59">
        <f t="shared" si="74"/>
        <v>890.072788280037</v>
      </c>
      <c r="EO82" s="59">
        <f ca="1">AVERAGE(OFFSET($EN$3,0,0,'Données projet'!$E$15+1,1))-AVERAGE(OFFSET($H$3,0,0,'Données projet'!$E$15+1,1))</f>
        <v>296.91321813251051</v>
      </c>
      <c r="EP82" s="59">
        <f t="shared" si="100"/>
        <v>291.0718079639509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4.9055307099672758</v>
      </c>
      <c r="EW82" s="21">
        <f>EXP(-LN(2)/25)*EW81+(1-EXP(-LN(2)/25))/(LN(2)/25)*Calculateur!ER82*Calculateur!ET82*VLOOKUP('Données projet'!$B$15,Paramètres!$A$1:$I$89,3,0)*0.475*44/12</f>
        <v>3.9741980766674043</v>
      </c>
      <c r="EX82" s="21">
        <f>EXP(-LN(2)/2)*EX81+(1-EXP(-LN(2)/2))/(LN(2)/2)*ER82*EU82*VLOOKUP('Données projet'!$B$15,Paramètres!$A$1:$I$89,3,0)*0.475*44/12</f>
        <v>4.5948071836146892E-7</v>
      </c>
      <c r="EY82" s="22">
        <f t="shared" si="75"/>
        <v>8.8797292461153976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7.2</v>
      </c>
      <c r="FE82" s="12">
        <f>IF('Données projet'!$A$218&gt;35,FE81+FD82-FM81,IF(A82&lt;'Données projet'!$A$218,$FB$205^A82,IF(A82='Données projet'!$A$218,'Données projet'!$B$218,FE81+FD82-FM81)))</f>
        <v>312.8</v>
      </c>
      <c r="FF82" s="17">
        <f>FE82*VLOOKUP('Données projet'!$B$16,Paramètres!$A$1:$I$89,3,0)*VLOOKUP('Données projet'!$B$16,Paramètres!$A$1:$I$89,5,0)</f>
        <v>317.17920000000004</v>
      </c>
      <c r="FG82" s="13">
        <f t="shared" si="101"/>
        <v>74.766129261581426</v>
      </c>
      <c r="FH82" s="20">
        <f t="shared" si="76"/>
        <v>682.63811513058772</v>
      </c>
      <c r="FI82" s="59">
        <f t="shared" si="77"/>
        <v>975.97144846392098</v>
      </c>
      <c r="FJ82" s="59">
        <f ca="1">AVERAGE(OFFSET($FI$3,0,0,'Données projet'!$E$16+1,1))-AVERAGE(OFFSET($H$3,0,0,'Données projet'!$E$16+1,1))</f>
        <v>356.65981389369125</v>
      </c>
      <c r="FK82" s="59">
        <f t="shared" si="102"/>
        <v>231.92898690465887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3.1036184527000681</v>
      </c>
      <c r="FR82" s="21">
        <f>EXP(-LN(2)/25)*FR81+(1-EXP(-LN(2)/25))/(LN(2)/25)*Calculateur!FM82*Calculateur!FO82*VLOOKUP('Données projet'!$B$16,Paramètres!$A$1:$I$89,3,0)*0.475*44/12</f>
        <v>2.6975127587972723</v>
      </c>
      <c r="FS82" s="21">
        <f>EXP(-LN(2)/2)*FS81+(1-EXP(-LN(2)/2))/(LN(2)/2)*FM82*FP82*VLOOKUP('Données projet'!$B$16,Paramètres!$A$1:$I$89,3,0)*0.475*44/12</f>
        <v>4.0313033195797851E-7</v>
      </c>
      <c r="FT82" s="22">
        <f t="shared" si="78"/>
        <v>5.8011316146276721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7.2</v>
      </c>
      <c r="FZ82" s="12">
        <f>IF('Données projet'!$A$244&gt;35,FZ81+FY82-GH81,IF(A82&lt;'Données projet'!$A$244,$FW$205^A82,IF(A82='Données projet'!$A$244,'Données projet'!$B$244,FZ81+FY82-GH81)))</f>
        <v>312.8</v>
      </c>
      <c r="GA82" s="17">
        <f>FZ82*VLOOKUP('Données projet'!$B$17,Paramètres!$A$1:$I$89,3,0)*VLOOKUP('Données projet'!$B$17,Paramètres!$A$1:$I$89,5,0)</f>
        <v>302.54016000000001</v>
      </c>
      <c r="GB82" s="13">
        <f t="shared" si="103"/>
        <v>71.708716984815311</v>
      </c>
      <c r="GC82" s="20">
        <f t="shared" si="79"/>
        <v>651.81679408188654</v>
      </c>
      <c r="GD82" s="59">
        <f t="shared" si="80"/>
        <v>945.15012741521991</v>
      </c>
      <c r="GE82" s="59">
        <f ca="1">AVERAGE(OFFSET($GD$3,0,0,'Données projet'!$E$17+1,1))-AVERAGE(OFFSET($H$3,0,0,'Données projet'!$E$17+1,1))</f>
        <v>337.76140497227715</v>
      </c>
      <c r="GF82" s="59">
        <f t="shared" si="104"/>
        <v>219.76562717496353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2.9603745241139099</v>
      </c>
      <c r="GM82" s="21">
        <f>EXP(-LN(2)/25)*GM81+(1-EXP(-LN(2)/25))/(LN(2)/25)*Calculateur!GH82*Calculateur!GJ82*VLOOKUP('Données projet'!$B$17,Paramètres!$A$1:$I$89,3,0)*0.475*44/12</f>
        <v>2.5730121699297053</v>
      </c>
      <c r="GN82" s="21">
        <f>EXP(-LN(2)/2)*GN81+(1-EXP(-LN(2)/2))/(LN(2)/2)*GH82*GK82*VLOOKUP('Données projet'!$B$17,Paramètres!$A$1:$I$89,3,0)*0.475*44/12</f>
        <v>3.8452431663684113E-7</v>
      </c>
      <c r="GO82" s="21">
        <f t="shared" si="81"/>
        <v>5.533387078567932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320</v>
      </c>
      <c r="O83" s="13">
        <f>N83*VLOOKUP('Données projet'!$B$9,Paramètres!$A$1:$I$89,3,0)*VLOOKUP('Données projet'!$B$9,Paramètres!$A$1:$I$89,5,0)</f>
        <v>289.536</v>
      </c>
      <c r="P83" s="13">
        <f t="shared" si="87"/>
        <v>68.97829509904436</v>
      </c>
      <c r="Q83" s="20">
        <f t="shared" si="54"/>
        <v>624.41239729750225</v>
      </c>
      <c r="R83" s="59">
        <f t="shared" si="55"/>
        <v>917.74573063083562</v>
      </c>
      <c r="S83" s="59">
        <f ca="1">AVERAGE(OFFSET($R$3,0,0,'Données projet'!$E$9+1,1))-AVERAGE(OFFSET($H$3,0,0,'Données projet'!$E$9+1,1))</f>
        <v>312.53389584272878</v>
      </c>
      <c r="T83" s="59">
        <f t="shared" si="88"/>
        <v>203.5274665601915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2.7150767153238653</v>
      </c>
      <c r="AA83" s="21">
        <f>EXP(-LN(2)/25)*AA82+(1-EXP(-LN(2)/25))/(LN(2)/25)*Calculateur!V83*Calculateur!X83*VLOOKUP('Données projet'!$B$9,Paramètres!$A$1:$I$89,3,0)*0.475*44/12</f>
        <v>2.3411915318771048</v>
      </c>
      <c r="AB83" s="21">
        <f>EXP(-LN(2)/2)*AB82+(1-EXP(-LN(2)/2))/(LN(2)/2)*V83*Y83*VLOOKUP('Données projet'!$B$9,Paramètres!$A$1:$I$89,3,0)*0.475*44/12</f>
        <v>2.5435783235245065E-7</v>
      </c>
      <c r="AC83" s="22">
        <f t="shared" si="57"/>
        <v>5.0562685015588027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5.6843418860808015E-14</v>
      </c>
      <c r="AJ83" s="13">
        <f>AI83*VLOOKUP('Données projet'!$B$10,Paramètres!$A$1:$I$89,3,0)*VLOOKUP('Données projet'!$B$10,Paramètres!$A$1:$I$89,5,0)</f>
        <v>4.9658410716801891E-14</v>
      </c>
      <c r="AK83" s="13">
        <f t="shared" si="89"/>
        <v>8.0934058173791862E-13</v>
      </c>
      <c r="AL83" s="20">
        <f t="shared" si="58"/>
        <v>1.4960899118586383E-12</v>
      </c>
      <c r="AM83" s="59">
        <f t="shared" si="59"/>
        <v>293.33333333333479</v>
      </c>
      <c r="AN83" s="59">
        <f ca="1">AVERAGE(OFFSET($AM$3,0,0,'Données projet'!$E$10+1,1))-AVERAGE(OFFSET($H$3,0,0,'Données projet'!$E$10+1,1))</f>
        <v>243.05628303465238</v>
      </c>
      <c r="AO83" s="59">
        <f t="shared" si="90"/>
        <v>352.47096767658394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2.932920896649041</v>
      </c>
      <c r="AV83" s="21">
        <f>EXP(-LN(2)/25)*AV82+(1-EXP(-LN(2)/25))/(LN(2)/25)*Calculateur!AQ83*Calculateur!AS83*VLOOKUP('Données projet'!$B$10,Paramètres!$A$1:$I$89,3,0)*0.475*44/12</f>
        <v>4.529519199664537</v>
      </c>
      <c r="AW83" s="21">
        <f>EXP(-LN(2)/2)*AW82+(1-EXP(-LN(2)/2))/(LN(2)/2)*AQ83*AT83*VLOOKUP('Données projet'!$B$10,Paramètres!$A$1:$I$89,3,0)*0.475*44/12</f>
        <v>3.3596659293973857E-7</v>
      </c>
      <c r="AX83" s="21">
        <f t="shared" si="60"/>
        <v>7.4624404322801716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381</v>
      </c>
      <c r="BB83" s="12">
        <f>VLOOKUP(A83,'Données projet'!$A$87:$I$107,9,0)</f>
        <v>4</v>
      </c>
      <c r="BC83" s="12">
        <f t="array" ref="BC83">INDEX(BB:BB,MIN(IF(ISNUMBER(BB83:BB279),ROW(BB83:BB279),"")))</f>
        <v>4</v>
      </c>
      <c r="BD83" s="12">
        <f>IF('Données projet'!$A$88&gt;35,BD82+BC83-BL82,IF(A83&lt;'Données projet'!$A$88,$BA$205^A83,IF(A83='Données projet'!$A$88,'Données projet'!$B$88,BD82+BC83-BL82)))</f>
        <v>380.99999999999972</v>
      </c>
      <c r="BE83" s="13">
        <f>BD83*VLOOKUP('Données projet'!$B$11,Paramètres!$A$1:$I$89,3,0)*VLOOKUP('Données projet'!$B$11,Paramètres!$A$1:$I$89,5,0)</f>
        <v>303.12359999999978</v>
      </c>
      <c r="BF83" s="13">
        <f t="shared" si="91"/>
        <v>71.830894732837621</v>
      </c>
      <c r="BG83" s="20">
        <f t="shared" si="61"/>
        <v>653.0457449930251</v>
      </c>
      <c r="BH83" s="59">
        <f t="shared" si="62"/>
        <v>946.37907832635847</v>
      </c>
      <c r="BI83" s="59">
        <f ca="1">AVERAGE(OFFSET($BH$3,0,0,'Données projet'!$E$11+1,1))-AVERAGE(OFFSET($H$3,0,0,'Données projet'!$E$11+1,1))</f>
        <v>325.72928944930294</v>
      </c>
      <c r="BJ83" s="59">
        <f t="shared" si="92"/>
        <v>318.38876834819752</v>
      </c>
      <c r="BK83" s="15">
        <f>IF(ISNA(VLOOKUP(A83,'Données projet'!$A$87:$I$107,3,0)),0,VLOOKUP(A83,'Données projet'!$A$87:$I$107,3,0))</f>
        <v>15</v>
      </c>
      <c r="BL83" s="21">
        <f>IF(ISNA(VLOOKUP(A83,'Données projet'!$A$87:$I$107,4,0)),0,VLOOKUP(A83,'Données projet'!$A$87:$I$107,4,0))</f>
        <v>381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6.4322790053225392</v>
      </c>
      <c r="BQ83" s="21">
        <f>EXP(-LN(2)/25)*BQ82+(1-EXP(-LN(2)/25))/(LN(2)/25)*Calculateur!BL83*Calculateur!BN83*VLOOKUP('Données projet'!$B$11,Paramètres!$A$1:$I$89,3,0)*0.475*44/12</f>
        <v>5.169970216568303</v>
      </c>
      <c r="BR83" s="21">
        <f>EXP(-LN(2)/2)*BR82+(1-EXP(-LN(2)/2))/(LN(2)/2)*BL83*BO83*VLOOKUP('Données projet'!$B$11,Paramètres!$A$1:$I$89,3,0)*0.475*44/12</f>
        <v>3.5255316001427371E-7</v>
      </c>
      <c r="BS83" s="22">
        <f t="shared" si="63"/>
        <v>11.602249574444002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-3.4106051316484809E-13</v>
      </c>
      <c r="BZ83" s="13">
        <f>BY83*VLOOKUP('Données projet'!$B$12,Paramètres!$A$1:$I$89,3,0)*VLOOKUP('Données projet'!$B$12,Paramètres!$A$1:$I$89,5,0)</f>
        <v>-1.9065282685915009E-13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475.54809021014017</v>
      </c>
      <c r="CE83" s="59">
        <f t="shared" si="94"/>
        <v>593.51433014569966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2.7272974597356683</v>
      </c>
      <c r="CL83" s="21">
        <f>EXP(-LN(2)/25)*CL82+(1-EXP(-LN(2)/25))/(LN(2)/25)*Calculateur!CG83*Calculateur!CI83*VLOOKUP('Données projet'!$B$12,Paramètres!$A$1:$I$89,3,0)*0.475*44/12</f>
        <v>10.653055896138694</v>
      </c>
      <c r="CM83" s="21">
        <f>EXP(-LN(2)/2)*CM82+(1-EXP(-LN(2)/2))/(LN(2)/2)*CG83*CJ83*VLOOKUP('Données projet'!$B$12,Paramètres!$A$1:$I$89,3,0)*0.475*44/12</f>
        <v>4.2968862547688608E-7</v>
      </c>
      <c r="CN83" s="22">
        <f t="shared" si="66"/>
        <v>13.380353785562988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506.5</v>
      </c>
      <c r="CR83" s="12">
        <f>VLOOKUP(A83,'Données projet'!$A$139:$I$159,9,0)</f>
        <v>17</v>
      </c>
      <c r="CS83" s="12">
        <f t="array" ref="CS83">INDEX(CR:CR,MIN(IF(ISNUMBER(CR83:CR279),ROW(CR83:CR279),"")))</f>
        <v>17</v>
      </c>
      <c r="CT83" s="12">
        <f>IF('Données projet'!$A$140&gt;35,CT82+CS83-DB82,IF(A83&lt;'Données projet'!$A$140,$CQ$205^A83,IF(A83='Données projet'!$A$140,'Données projet'!$B$140,CT82+CS83-DB82)))</f>
        <v>506.49999999999989</v>
      </c>
      <c r="CU83" s="17">
        <f>CT83*VLOOKUP('Données projet'!$B$13,Paramètres!$A$1:$I$89,3,0)*VLOOKUP('Données projet'!$B$13,Paramètres!$A$1:$I$89,5,0)</f>
        <v>237.04199999999994</v>
      </c>
      <c r="CV83" s="13">
        <f t="shared" si="95"/>
        <v>57.802643745601223</v>
      </c>
      <c r="CW83" s="20">
        <f t="shared" si="67"/>
        <v>513.52108785692201</v>
      </c>
      <c r="CX83" s="59">
        <f t="shared" si="68"/>
        <v>806.85442119025538</v>
      </c>
      <c r="CY83" s="59">
        <f ca="1">AVERAGE(OFFSET($CX$3,0,0,'Données projet'!$E$13+1,1))-AVERAGE(OFFSET($H$3,0,0,'Données projet'!$E$13+1,1))</f>
        <v>226.0452828290525</v>
      </c>
      <c r="CZ83" s="59">
        <f t="shared" si="96"/>
        <v>179.89696397462069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93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3.3717831324650107</v>
      </c>
      <c r="DG83" s="21">
        <f>EXP(-LN(2)/25)*DG82+(1-EXP(-LN(2)/25))/(LN(2)/25)*Calculateur!DB83*Calculateur!DD83*VLOOKUP('Données projet'!$B$13,Paramètres!$A$1:$I$89,3,0)*0.475*44/12</f>
        <v>2.7878300541724843</v>
      </c>
      <c r="DH83" s="21">
        <f>EXP(-LN(2)/2)*DH82+(1-EXP(-LN(2)/2))/(LN(2)/2)*DB83*DE83*VLOOKUP('Données projet'!$B$13,Paramètres!$A$1:$I$89,3,0)*0.475*44/12</f>
        <v>3.2911088000531177E-7</v>
      </c>
      <c r="DI83" s="22">
        <f t="shared" si="69"/>
        <v>6.1596135157483749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1.1368683772161603E-13</v>
      </c>
      <c r="DP83" s="17">
        <f>DO83*VLOOKUP('Données projet'!$B$14,Paramètres!$A$1:$I$89,3,0)*VLOOKUP('Données projet'!$B$14,Paramètres!$A$1:$I$89,5,0)</f>
        <v>6.7984728957526396E-14</v>
      </c>
      <c r="DQ83" s="13">
        <f t="shared" si="97"/>
        <v>1.0682447123141398E-12</v>
      </c>
      <c r="DR83" s="20">
        <f t="shared" si="70"/>
        <v>1.978932943548152E-12</v>
      </c>
      <c r="DS83" s="59">
        <f t="shared" si="71"/>
        <v>293.3333333333353</v>
      </c>
      <c r="DT83" s="59">
        <f ca="1">AVERAGE(OFFSET($DS$3,0,0,'Données projet'!$E$14+1,1))-AVERAGE(OFFSET($H$3,0,0,'Données projet'!$E$14+1,1))</f>
        <v>252.81045065813976</v>
      </c>
      <c r="DU83" s="59">
        <f t="shared" si="98"/>
        <v>254.36590349790589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6.7072124816999876</v>
      </c>
      <c r="EB83" s="21">
        <f>EXP(-LN(2)/25)*EB82+(1-EXP(-LN(2)/25))/(LN(2)/25)*Calculateur!DW83*Calculateur!DY83*VLOOKUP('Données projet'!$B$14,Paramètres!$A$1:$I$89,3,0)*0.475*44/12</f>
        <v>4.0315042849249334</v>
      </c>
      <c r="EC83" s="21">
        <f>EXP(-LN(2)/2)*EC82+(1-EXP(-LN(2)/2))/(LN(2)/2)*DW83*DZ83*VLOOKUP('Données projet'!$B$14,Paramètres!$A$1:$I$89,3,0)*0.475*44/12</f>
        <v>1.7110656750613489E-7</v>
      </c>
      <c r="ED83" s="22">
        <f t="shared" si="72"/>
        <v>10.738716937731489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381</v>
      </c>
      <c r="EH83" s="12">
        <f>VLOOKUP(A83,'Données projet'!$A$191:$I$211,9,0)</f>
        <v>4</v>
      </c>
      <c r="EI83" s="12">
        <f t="array" ref="EI83">INDEX(EH:EH,MIN(IF(ISNUMBER(EH83:EH279),ROW(EH83:EH279),"")))</f>
        <v>4</v>
      </c>
      <c r="EJ83" s="12">
        <f>IF('Données projet'!$A$192&gt;35,EJ82+EI83-ER82,IF(A83&lt;'Données projet'!$A$192,$EG$205^A83,IF(A83='Données projet'!$A$192,'Données projet'!$B$192,EJ82+EI83-ER82)))</f>
        <v>380.99999999999972</v>
      </c>
      <c r="EK83" s="17">
        <f>EJ83*VLOOKUP('Données projet'!$B$15,Paramètres!$A$1:$I$89,3,0)*VLOOKUP('Données projet'!$B$15,Paramètres!$A$1:$I$89,5,0)</f>
        <v>279.34919999999977</v>
      </c>
      <c r="EL83" s="13">
        <f t="shared" si="99"/>
        <v>66.829457512184078</v>
      </c>
      <c r="EM83" s="20">
        <f t="shared" si="73"/>
        <v>602.92782850038679</v>
      </c>
      <c r="EN83" s="59">
        <f t="shared" si="74"/>
        <v>896.26116183372005</v>
      </c>
      <c r="EO83" s="59">
        <f ca="1">AVERAGE(OFFSET($EN$3,0,0,'Données projet'!$E$15+1,1))-AVERAGE(OFFSET($H$3,0,0,'Données projet'!$E$15+1,1))</f>
        <v>296.91321813251051</v>
      </c>
      <c r="EP83" s="59">
        <f t="shared" si="100"/>
        <v>291.0718079639509</v>
      </c>
      <c r="EQ83" s="15">
        <f>IF(ISNA(VLOOKUP(A83,'Données projet'!$A$191:$I$211,3,0)),0,VLOOKUP(A83,'Données projet'!$A$191:$I$211,3,0))</f>
        <v>15</v>
      </c>
      <c r="ER83" s="15">
        <f>IF(ISNA(VLOOKUP(A83,'Données projet'!$A$191:$I$211,4,0)),0,VLOOKUP(A83,'Données projet'!$A$191:$I$211,4,0))</f>
        <v>381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4.8093362448231076</v>
      </c>
      <c r="EW83" s="21">
        <f>EXP(-LN(2)/25)*EW82+(1-EXP(-LN(2)/25))/(LN(2)/25)*Calculateur!ER83*Calculateur!ET83*VLOOKUP('Données projet'!$B$15,Paramètres!$A$1:$I$89,3,0)*0.475*44/12</f>
        <v>3.8655234212669405</v>
      </c>
      <c r="EX83" s="21">
        <f>EXP(-LN(2)/2)*EX82+(1-EXP(-LN(2)/2))/(LN(2)/2)*ER83*EU83*VLOOKUP('Données projet'!$B$15,Paramètres!$A$1:$I$89,3,0)*0.475*44/12</f>
        <v>3.2490193177786087E-7</v>
      </c>
      <c r="EY83" s="22">
        <f t="shared" si="75"/>
        <v>8.6748599909919797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320</v>
      </c>
      <c r="FC83" s="12">
        <f>VLOOKUP(A83,'Données projet'!$A$217:$I$237,9,0)</f>
        <v>7.2</v>
      </c>
      <c r="FD83" s="12">
        <f t="array" ref="FD83">INDEX(FC:FC,MIN(IF(ISNUMBER(FC83:FC279),ROW(FC83:FC279),"")))</f>
        <v>7.2</v>
      </c>
      <c r="FE83" s="12">
        <f>IF('Données projet'!$A$218&gt;35,FE82+FD83-FM82,IF(A83&lt;'Données projet'!$A$218,$FB$205^A83,IF(A83='Données projet'!$A$218,'Données projet'!$B$218,FE82+FD83-FM82)))</f>
        <v>320</v>
      </c>
      <c r="FF83" s="17">
        <f>FE83*VLOOKUP('Données projet'!$B$16,Paramètres!$A$1:$I$89,3,0)*VLOOKUP('Données projet'!$B$16,Paramètres!$A$1:$I$89,5,0)</f>
        <v>324.48</v>
      </c>
      <c r="FG83" s="13">
        <f t="shared" si="101"/>
        <v>76.284749200165578</v>
      </c>
      <c r="FH83" s="20">
        <f t="shared" si="76"/>
        <v>697.99860485695501</v>
      </c>
      <c r="FI83" s="59">
        <f t="shared" si="77"/>
        <v>991.33193819028838</v>
      </c>
      <c r="FJ83" s="59">
        <f ca="1">AVERAGE(OFFSET($FI$3,0,0,'Données projet'!$E$16+1,1))-AVERAGE(OFFSET($H$3,0,0,'Données projet'!$E$16+1,1))</f>
        <v>356.65981389369125</v>
      </c>
      <c r="FK83" s="59">
        <f t="shared" si="102"/>
        <v>231.92898690465887</v>
      </c>
      <c r="FL83" s="15">
        <f>IF(ISNA(VLOOKUP(A83,'Données projet'!$A$217:$I$237,3,0)),0,VLOOKUP(A83,'Données projet'!$A$217:$I$237,3,0))</f>
        <v>13</v>
      </c>
      <c r="FM83" s="15">
        <f>IF(ISNA(VLOOKUP(A83,'Données projet'!$A$217:$I$237,4,0)),0,VLOOKUP(A83,'Données projet'!$A$217:$I$237,4,0))</f>
        <v>28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3.0427583878629556</v>
      </c>
      <c r="FR83" s="21">
        <f>EXP(-LN(2)/25)*FR82+(1-EXP(-LN(2)/25))/(LN(2)/25)*Calculateur!FM83*Calculateur!FO83*VLOOKUP('Données projet'!$B$16,Paramètres!$A$1:$I$89,3,0)*0.475*44/12</f>
        <v>2.6237491305519303</v>
      </c>
      <c r="FS83" s="21">
        <f>EXP(-LN(2)/2)*FS82+(1-EXP(-LN(2)/2))/(LN(2)/2)*FM83*FP83*VLOOKUP('Données projet'!$B$16,Paramètres!$A$1:$I$89,3,0)*0.475*44/12</f>
        <v>2.8505619142947057E-7</v>
      </c>
      <c r="FT83" s="22">
        <f t="shared" si="78"/>
        <v>5.6665078034710765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320</v>
      </c>
      <c r="FX83" s="12">
        <f>VLOOKUP(A83,'Données projet'!$A$243:$I$263,9,0)</f>
        <v>7.2</v>
      </c>
      <c r="FY83" s="12">
        <f t="array" ref="FY83">INDEX(FX:FX,MIN(IF(ISNUMBER(FX83:FX279),ROW(FX83:FX279),"")))</f>
        <v>7.2</v>
      </c>
      <c r="FZ83" s="12">
        <f>IF('Données projet'!$A$244&gt;35,FZ82+FY83-GH82,IF(A83&lt;'Données projet'!$A$244,$FW$205^A83,IF(A83='Données projet'!$A$244,'Données projet'!$B$244,FZ82+FY83-GH82)))</f>
        <v>320</v>
      </c>
      <c r="GA83" s="17">
        <f>FZ83*VLOOKUP('Données projet'!$B$17,Paramètres!$A$1:$I$89,3,0)*VLOOKUP('Données projet'!$B$17,Paramètres!$A$1:$I$89,5,0)</f>
        <v>309.50400000000002</v>
      </c>
      <c r="GB83" s="13">
        <f t="shared" si="103"/>
        <v>73.165235978896504</v>
      </c>
      <c r="GC83" s="20">
        <f t="shared" si="79"/>
        <v>666.48225266324471</v>
      </c>
      <c r="GD83" s="59">
        <f t="shared" si="80"/>
        <v>959.81558599657797</v>
      </c>
      <c r="GE83" s="59">
        <f ca="1">AVERAGE(OFFSET($GD$3,0,0,'Données projet'!$E$17+1,1))-AVERAGE(OFFSET($H$3,0,0,'Données projet'!$E$17+1,1))</f>
        <v>337.76140497227715</v>
      </c>
      <c r="GF83" s="59">
        <f t="shared" si="104"/>
        <v>219.76562717496353</v>
      </c>
      <c r="GG83" s="15">
        <f>IF(ISNA(VLOOKUP(A83,'Données projet'!$A$243:$I$263,3,0)),0,VLOOKUP(A83,'Données projet'!$A$243:$I$263,3,0))</f>
        <v>13</v>
      </c>
      <c r="GH83" s="15">
        <f>IF(ISNA(VLOOKUP(A83,'Données projet'!$A$243:$I$263,4,0)),0,VLOOKUP(A83,'Données projet'!$A$243:$I$263,4,0))</f>
        <v>28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2.9023233853462025</v>
      </c>
      <c r="GM83" s="21">
        <f>EXP(-LN(2)/25)*GM82+(1-EXP(-LN(2)/25))/(LN(2)/25)*Calculateur!GH83*Calculateur!GJ83*VLOOKUP('Données projet'!$B$17,Paramètres!$A$1:$I$89,3,0)*0.475*44/12</f>
        <v>2.5026530168341483</v>
      </c>
      <c r="GN83" s="21">
        <f>EXP(-LN(2)/2)*GN82+(1-EXP(-LN(2)/2))/(LN(2)/2)*GH83*GK83*VLOOKUP('Données projet'!$B$17,Paramètres!$A$1:$I$89,3,0)*0.475*44/12</f>
        <v>2.7189975182503353E-7</v>
      </c>
      <c r="GO83" s="21">
        <f t="shared" si="81"/>
        <v>5.4049766740801024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6.8</v>
      </c>
      <c r="N84" s="13">
        <f>IF('Données projet'!$A$36&gt;35,N83+M84-V83,IF(A84&lt;'Données projet'!$A$36,$K$205^A84,IF(A84='Données projet'!$A$36,'Données projet'!$B$36,N83+M84-V83)))</f>
        <v>298.8</v>
      </c>
      <c r="O84" s="13">
        <f>N84*VLOOKUP('Données projet'!$B$9,Paramètres!$A$1:$I$89,3,0)*VLOOKUP('Données projet'!$B$9,Paramètres!$A$1:$I$89,5,0)</f>
        <v>270.35424</v>
      </c>
      <c r="P84" s="13">
        <f t="shared" si="87"/>
        <v>64.924442218534367</v>
      </c>
      <c r="Q84" s="20">
        <f t="shared" si="54"/>
        <v>583.94370486394735</v>
      </c>
      <c r="R84" s="59">
        <f t="shared" si="55"/>
        <v>877.27703819728072</v>
      </c>
      <c r="S84" s="59">
        <f ca="1">AVERAGE(OFFSET($R$3,0,0,'Données projet'!$E$9+1,1))-AVERAGE(OFFSET($H$3,0,0,'Données projet'!$E$9+1,1))</f>
        <v>312.53389584272878</v>
      </c>
      <c r="T84" s="59">
        <f t="shared" si="88"/>
        <v>203.5274665601915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2.6618357169696409</v>
      </c>
      <c r="AA84" s="21">
        <f>EXP(-LN(2)/25)*AA83+(1-EXP(-LN(2)/25))/(LN(2)/25)*Calculateur!V84*Calculateur!X84*VLOOKUP('Données projet'!$B$9,Paramètres!$A$1:$I$89,3,0)*0.475*44/12</f>
        <v>2.2771715263200134</v>
      </c>
      <c r="AB84" s="21">
        <f>EXP(-LN(2)/2)*AB83+(1-EXP(-LN(2)/2))/(LN(2)/2)*V84*Y84*VLOOKUP('Données projet'!$B$9,Paramètres!$A$1:$I$89,3,0)*0.475*44/12</f>
        <v>1.7985814810432887E-7</v>
      </c>
      <c r="AC84" s="22">
        <f t="shared" si="57"/>
        <v>4.9390074231478023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5.6843418860808015E-14</v>
      </c>
      <c r="AJ84" s="13">
        <f>AI84*VLOOKUP('Données projet'!$B$10,Paramètres!$A$1:$I$89,3,0)*VLOOKUP('Données projet'!$B$10,Paramètres!$A$1:$I$89,5,0)</f>
        <v>4.9658410716801891E-14</v>
      </c>
      <c r="AK84" s="13">
        <f t="shared" si="89"/>
        <v>8.0934058173791862E-13</v>
      </c>
      <c r="AL84" s="20">
        <f t="shared" si="58"/>
        <v>1.4960899118586383E-12</v>
      </c>
      <c r="AM84" s="59">
        <f t="shared" si="59"/>
        <v>293.33333333333479</v>
      </c>
      <c r="AN84" s="59">
        <f ca="1">AVERAGE(OFFSET($AM$3,0,0,'Données projet'!$E$10+1,1))-AVERAGE(OFFSET($H$3,0,0,'Données projet'!$E$10+1,1))</f>
        <v>243.05628303465238</v>
      </c>
      <c r="AO84" s="59">
        <f t="shared" si="90"/>
        <v>352.47096767658394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2.8754081067708603</v>
      </c>
      <c r="AV84" s="21">
        <f>EXP(-LN(2)/25)*AV83+(1-EXP(-LN(2)/25))/(LN(2)/25)*Calculateur!AQ84*Calculateur!AS84*VLOOKUP('Données projet'!$B$10,Paramètres!$A$1:$I$89,3,0)*0.475*44/12</f>
        <v>4.4056592589526478</v>
      </c>
      <c r="AW84" s="21">
        <f>EXP(-LN(2)/2)*AW83+(1-EXP(-LN(2)/2))/(LN(2)/2)*AQ84*AT84*VLOOKUP('Données projet'!$B$10,Paramètres!$A$1:$I$89,3,0)*0.475*44/12</f>
        <v>2.3756425611982962E-7</v>
      </c>
      <c r="AX84" s="21">
        <f t="shared" si="60"/>
        <v>7.2810676032877648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-2.8421709430404007E-13</v>
      </c>
      <c r="BE84" s="13">
        <f>BD84*VLOOKUP('Données projet'!$B$11,Paramètres!$A$1:$I$89,3,0)*VLOOKUP('Données projet'!$B$11,Paramètres!$A$1:$I$89,5,0)</f>
        <v>-2.2612312022829427E-13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325.72928944930294</v>
      </c>
      <c r="BJ84" s="59">
        <f t="shared" si="92"/>
        <v>318.38876834819752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6.3061459373309638</v>
      </c>
      <c r="BQ84" s="21">
        <f>EXP(-LN(2)/25)*BQ83+(1-EXP(-LN(2)/25))/(LN(2)/25)*Calculateur!BL84*Calculateur!BN84*VLOOKUP('Données projet'!$B$11,Paramètres!$A$1:$I$89,3,0)*0.475*44/12</f>
        <v>5.0285971091193256</v>
      </c>
      <c r="BR84" s="21">
        <f>EXP(-LN(2)/2)*BR83+(1-EXP(-LN(2)/2))/(LN(2)/2)*BL84*BO84*VLOOKUP('Données projet'!$B$11,Paramètres!$A$1:$I$89,3,0)*0.475*44/12</f>
        <v>2.4929273017483891E-7</v>
      </c>
      <c r="BS84" s="22">
        <f t="shared" si="63"/>
        <v>11.334743295743019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-3.4106051316484809E-13</v>
      </c>
      <c r="BZ84" s="13">
        <f>BY84*VLOOKUP('Données projet'!$B$12,Paramètres!$A$1:$I$89,3,0)*VLOOKUP('Données projet'!$B$12,Paramètres!$A$1:$I$89,5,0)</f>
        <v>-1.9065282685915009E-13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475.54809021014017</v>
      </c>
      <c r="CE84" s="59">
        <f t="shared" si="94"/>
        <v>593.51433014569966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2.6738168200374464</v>
      </c>
      <c r="CL84" s="21">
        <f>EXP(-LN(2)/25)*CL83+(1-EXP(-LN(2)/25))/(LN(2)/25)*Calculateur!CG84*Calculateur!CI84*VLOOKUP('Données projet'!$B$12,Paramètres!$A$1:$I$89,3,0)*0.475*44/12</f>
        <v>10.36174752243892</v>
      </c>
      <c r="CM84" s="21">
        <f>EXP(-LN(2)/2)*CM83+(1-EXP(-LN(2)/2))/(LN(2)/2)*CG84*CJ84*VLOOKUP('Données projet'!$B$12,Paramètres!$A$1:$I$89,3,0)*0.475*44/12</f>
        <v>3.0383574087343285E-7</v>
      </c>
      <c r="CN84" s="22">
        <f t="shared" si="66"/>
        <v>13.035564646312107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17.5</v>
      </c>
      <c r="CT84" s="12">
        <f>IF('Données projet'!$A$140&gt;35,CT83+CS84-DB83,IF(A84&lt;'Données projet'!$A$140,$CQ$205^A84,IF(A84='Données projet'!$A$140,'Données projet'!$B$140,CT83+CS84-DB83)))</f>
        <v>430.99999999999989</v>
      </c>
      <c r="CU84" s="17">
        <f>CT84*VLOOKUP('Données projet'!$B$13,Paramètres!$A$1:$I$89,3,0)*VLOOKUP('Données projet'!$B$13,Paramètres!$A$1:$I$89,5,0)</f>
        <v>201.70799999999994</v>
      </c>
      <c r="CV84" s="13">
        <f t="shared" si="95"/>
        <v>50.119348451854243</v>
      </c>
      <c r="CW84" s="20">
        <f t="shared" si="67"/>
        <v>438.59929855364607</v>
      </c>
      <c r="CX84" s="59">
        <f t="shared" si="68"/>
        <v>731.93263188697938</v>
      </c>
      <c r="CY84" s="59">
        <f ca="1">AVERAGE(OFFSET($CX$3,0,0,'Données projet'!$E$13+1,1))-AVERAGE(OFFSET($H$3,0,0,'Données projet'!$E$13+1,1))</f>
        <v>226.0452828290525</v>
      </c>
      <c r="CZ84" s="59">
        <f t="shared" si="96"/>
        <v>179.89696397462069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3.305664521822012</v>
      </c>
      <c r="DG84" s="21">
        <f>EXP(-LN(2)/25)*DG83+(1-EXP(-LN(2)/25))/(LN(2)/25)*Calculateur!DB84*Calculateur!DD84*VLOOKUP('Données projet'!$B$13,Paramètres!$A$1:$I$89,3,0)*0.475*44/12</f>
        <v>2.711596694735527</v>
      </c>
      <c r="DH84" s="21">
        <f>EXP(-LN(2)/2)*DH83+(1-EXP(-LN(2)/2))/(LN(2)/2)*DB84*DE84*VLOOKUP('Données projet'!$B$13,Paramètres!$A$1:$I$89,3,0)*0.475*44/12</f>
        <v>2.327165350140281E-7</v>
      </c>
      <c r="DI84" s="22">
        <f t="shared" si="69"/>
        <v>6.0172614492740744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1.1368683772161603E-13</v>
      </c>
      <c r="DP84" s="17">
        <f>DO84*VLOOKUP('Données projet'!$B$14,Paramètres!$A$1:$I$89,3,0)*VLOOKUP('Données projet'!$B$14,Paramètres!$A$1:$I$89,5,0)</f>
        <v>6.7984728957526396E-14</v>
      </c>
      <c r="DQ84" s="13">
        <f t="shared" si="97"/>
        <v>1.0682447123141398E-12</v>
      </c>
      <c r="DR84" s="20">
        <f t="shared" si="70"/>
        <v>1.978932943548152E-12</v>
      </c>
      <c r="DS84" s="59">
        <f t="shared" si="71"/>
        <v>293.3333333333353</v>
      </c>
      <c r="DT84" s="59">
        <f ca="1">AVERAGE(OFFSET($DS$3,0,0,'Données projet'!$E$14+1,1))-AVERAGE(OFFSET($H$3,0,0,'Données projet'!$E$14+1,1))</f>
        <v>252.81045065813976</v>
      </c>
      <c r="DU84" s="59">
        <f t="shared" si="98"/>
        <v>254.36590349790589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6.5756881359295125</v>
      </c>
      <c r="EB84" s="21">
        <f>EXP(-LN(2)/25)*EB83+(1-EXP(-LN(2)/25))/(LN(2)/25)*Calculateur!DW84*Calculateur!DY84*VLOOKUP('Données projet'!$B$14,Paramètres!$A$1:$I$89,3,0)*0.475*44/12</f>
        <v>3.9212625882460648</v>
      </c>
      <c r="EC84" s="21">
        <f>EXP(-LN(2)/2)*EC83+(1-EXP(-LN(2)/2))/(LN(2)/2)*DW84*DZ84*VLOOKUP('Données projet'!$B$14,Paramètres!$A$1:$I$89,3,0)*0.475*44/12</f>
        <v>1.2099061418914175E-7</v>
      </c>
      <c r="ED84" s="22">
        <f t="shared" si="72"/>
        <v>10.496950845166191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-2.8421709430404007E-13</v>
      </c>
      <c r="EK84" s="17">
        <f>EJ84*VLOOKUP('Données projet'!$B$15,Paramètres!$A$1:$I$89,3,0)*VLOOKUP('Données projet'!$B$15,Paramètres!$A$1:$I$89,5,0)</f>
        <v>-2.0838797354372215E-13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296.91321813251051</v>
      </c>
      <c r="EP84" s="59">
        <f t="shared" si="100"/>
        <v>291.0718079639509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4.715028094467586</v>
      </c>
      <c r="EW84" s="21">
        <f>EXP(-LN(2)/25)*EW83+(1-EXP(-LN(2)/25))/(LN(2)/25)*Calculateur!ER84*Calculateur!ET84*VLOOKUP('Données projet'!$B$15,Paramètres!$A$1:$I$89,3,0)*0.475*44/12</f>
        <v>3.7598204800333539</v>
      </c>
      <c r="EX84" s="21">
        <f>EXP(-LN(2)/2)*EX83+(1-EXP(-LN(2)/2))/(LN(2)/2)*ER84*EU84*VLOOKUP('Données projet'!$B$15,Paramètres!$A$1:$I$89,3,0)*0.475*44/12</f>
        <v>2.2974035918073446E-7</v>
      </c>
      <c r="EY84" s="22">
        <f t="shared" si="75"/>
        <v>8.4748488042412973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6.8</v>
      </c>
      <c r="FE84" s="12">
        <f>IF('Données projet'!$A$218&gt;35,FE83+FD84-FM83,IF(A84&lt;'Données projet'!$A$218,$FB$205^A84,IF(A84='Données projet'!$A$218,'Données projet'!$B$218,FE83+FD84-FM83)))</f>
        <v>298.8</v>
      </c>
      <c r="FF84" s="17">
        <f>FE84*VLOOKUP('Données projet'!$B$16,Paramètres!$A$1:$I$89,3,0)*VLOOKUP('Données projet'!$B$16,Paramètres!$A$1:$I$89,5,0)</f>
        <v>302.98320000000007</v>
      </c>
      <c r="FG84" s="13">
        <f t="shared" si="101"/>
        <v>71.801496173397709</v>
      </c>
      <c r="FH84" s="20">
        <f t="shared" si="76"/>
        <v>652.75001250200114</v>
      </c>
      <c r="FI84" s="59">
        <f t="shared" si="77"/>
        <v>946.08334583533451</v>
      </c>
      <c r="FJ84" s="59">
        <f ca="1">AVERAGE(OFFSET($FI$3,0,0,'Données projet'!$E$16+1,1))-AVERAGE(OFFSET($H$3,0,0,'Données projet'!$E$16+1,1))</f>
        <v>356.65981389369125</v>
      </c>
      <c r="FK84" s="59">
        <f t="shared" si="102"/>
        <v>231.92898690465887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2.9830917517763247</v>
      </c>
      <c r="FR84" s="21">
        <f>EXP(-LN(2)/25)*FR83+(1-EXP(-LN(2)/25))/(LN(2)/25)*Calculateur!FM84*Calculateur!FO84*VLOOKUP('Données projet'!$B$16,Paramètres!$A$1:$I$89,3,0)*0.475*44/12</f>
        <v>2.5520025726000175</v>
      </c>
      <c r="FS84" s="21">
        <f>EXP(-LN(2)/2)*FS83+(1-EXP(-LN(2)/2))/(LN(2)/2)*FM84*FP84*VLOOKUP('Données projet'!$B$16,Paramètres!$A$1:$I$89,3,0)*0.475*44/12</f>
        <v>2.0156516597898925E-7</v>
      </c>
      <c r="FT84" s="22">
        <f t="shared" si="78"/>
        <v>5.5350945259415081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6.8</v>
      </c>
      <c r="FZ84" s="12">
        <f>IF('Données projet'!$A$244&gt;35,FZ83+FY84-GH83,IF(A84&lt;'Données projet'!$A$244,$FW$205^A84,IF(A84='Données projet'!$A$244,'Données projet'!$B$244,FZ83+FY84-GH83)))</f>
        <v>298.8</v>
      </c>
      <c r="GA84" s="17">
        <f>FZ84*VLOOKUP('Données projet'!$B$17,Paramètres!$A$1:$I$89,3,0)*VLOOKUP('Données projet'!$B$17,Paramètres!$A$1:$I$89,5,0)</f>
        <v>288.99936000000002</v>
      </c>
      <c r="GB84" s="13">
        <f t="shared" si="103"/>
        <v>68.86531667529006</v>
      </c>
      <c r="GC84" s="20">
        <f t="shared" si="79"/>
        <v>623.2809785427969</v>
      </c>
      <c r="GD84" s="59">
        <f t="shared" si="80"/>
        <v>916.61431187613016</v>
      </c>
      <c r="GE84" s="59">
        <f ca="1">AVERAGE(OFFSET($GD$3,0,0,'Données projet'!$E$17+1,1))-AVERAGE(OFFSET($H$3,0,0,'Données projet'!$E$17+1,1))</f>
        <v>337.76140497227715</v>
      </c>
      <c r="GF84" s="59">
        <f t="shared" si="104"/>
        <v>219.76562717496353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2.8454105940020318</v>
      </c>
      <c r="GM84" s="21">
        <f>EXP(-LN(2)/25)*GM83+(1-EXP(-LN(2)/25))/(LN(2)/25)*Calculateur!GH84*Calculateur!GJ84*VLOOKUP('Données projet'!$B$17,Paramètres!$A$1:$I$89,3,0)*0.475*44/12</f>
        <v>2.4342178384800164</v>
      </c>
      <c r="GN84" s="21">
        <f>EXP(-LN(2)/2)*GN83+(1-EXP(-LN(2)/2))/(LN(2)/2)*GH84*GK84*VLOOKUP('Données projet'!$B$17,Paramètres!$A$1:$I$89,3,0)*0.475*44/12</f>
        <v>1.9226215831842056E-7</v>
      </c>
      <c r="GO84" s="21">
        <f t="shared" si="81"/>
        <v>5.2796286247442064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6.8</v>
      </c>
      <c r="N85" s="13">
        <f>IF('Données projet'!$A$36&gt;35,N84+M85-V84,IF(A85&lt;'Données projet'!$A$36,$K$205^A85,IF(A85='Données projet'!$A$36,'Données projet'!$B$36,N84+M85-V84)))</f>
        <v>305.60000000000002</v>
      </c>
      <c r="O85" s="13">
        <f>N85*VLOOKUP('Données projet'!$B$9,Paramètres!$A$1:$I$89,3,0)*VLOOKUP('Données projet'!$B$9,Paramètres!$A$1:$I$89,5,0)</f>
        <v>276.50687999999997</v>
      </c>
      <c r="P85" s="13">
        <f t="shared" si="87"/>
        <v>66.228273722513677</v>
      </c>
      <c r="Q85" s="20">
        <f t="shared" si="54"/>
        <v>596.93039273337797</v>
      </c>
      <c r="R85" s="59">
        <f t="shared" si="55"/>
        <v>890.26372606671134</v>
      </c>
      <c r="S85" s="59">
        <f ca="1">AVERAGE(OFFSET($R$3,0,0,'Données projet'!$E$9+1,1))-AVERAGE(OFFSET($H$3,0,0,'Données projet'!$E$9+1,1))</f>
        <v>312.53389584272878</v>
      </c>
      <c r="T85" s="59">
        <f t="shared" si="88"/>
        <v>203.5274665601915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2.6096387421193405</v>
      </c>
      <c r="AA85" s="21">
        <f>EXP(-LN(2)/25)*AA84+(1-EXP(-LN(2)/25))/(LN(2)/25)*Calculateur!V85*Calculateur!X85*VLOOKUP('Données projet'!$B$9,Paramètres!$A$1:$I$89,3,0)*0.475*44/12</f>
        <v>2.2149021511815468</v>
      </c>
      <c r="AB85" s="21">
        <f>EXP(-LN(2)/2)*AB84+(1-EXP(-LN(2)/2))/(LN(2)/2)*V85*Y85*VLOOKUP('Données projet'!$B$9,Paramètres!$A$1:$I$89,3,0)*0.475*44/12</f>
        <v>1.2717891617622533E-7</v>
      </c>
      <c r="AC85" s="22">
        <f t="shared" si="57"/>
        <v>4.8245410204798036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5.6843418860808015E-14</v>
      </c>
      <c r="AJ85" s="13">
        <f>AI85*VLOOKUP('Données projet'!$B$10,Paramètres!$A$1:$I$89,3,0)*VLOOKUP('Données projet'!$B$10,Paramètres!$A$1:$I$89,5,0)</f>
        <v>4.9658410716801891E-14</v>
      </c>
      <c r="AK85" s="13">
        <f t="shared" si="89"/>
        <v>8.0934058173791862E-13</v>
      </c>
      <c r="AL85" s="20">
        <f t="shared" si="58"/>
        <v>1.4960899118586383E-12</v>
      </c>
      <c r="AM85" s="59">
        <f t="shared" si="59"/>
        <v>293.33333333333479</v>
      </c>
      <c r="AN85" s="59">
        <f ca="1">AVERAGE(OFFSET($AM$3,0,0,'Données projet'!$E$10+1,1))-AVERAGE(OFFSET($H$3,0,0,'Données projet'!$E$10+1,1))</f>
        <v>243.05628303465238</v>
      </c>
      <c r="AO85" s="59">
        <f t="shared" si="90"/>
        <v>352.47096767658394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2.8190231076228529</v>
      </c>
      <c r="AV85" s="21">
        <f>EXP(-LN(2)/25)*AV84+(1-EXP(-LN(2)/25))/(LN(2)/25)*Calculateur!AQ85*Calculateur!AS85*VLOOKUP('Données projet'!$B$10,Paramètres!$A$1:$I$89,3,0)*0.475*44/12</f>
        <v>4.2851862748330367</v>
      </c>
      <c r="AW85" s="21">
        <f>EXP(-LN(2)/2)*AW84+(1-EXP(-LN(2)/2))/(LN(2)/2)*AQ85*AT85*VLOOKUP('Données projet'!$B$10,Paramètres!$A$1:$I$89,3,0)*0.475*44/12</f>
        <v>1.6798329646986931E-7</v>
      </c>
      <c r="AX85" s="21">
        <f t="shared" si="60"/>
        <v>7.1042095504391867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-2.8421709430404007E-13</v>
      </c>
      <c r="BE85" s="13">
        <f>BD85*VLOOKUP('Données projet'!$B$11,Paramètres!$A$1:$I$89,3,0)*VLOOKUP('Données projet'!$B$11,Paramètres!$A$1:$I$89,5,0)</f>
        <v>-2.2612312022829427E-13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325.72928944930294</v>
      </c>
      <c r="BJ85" s="59">
        <f t="shared" si="92"/>
        <v>318.38876834819752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6.1824862618691281</v>
      </c>
      <c r="BQ85" s="21">
        <f>EXP(-LN(2)/25)*BQ84+(1-EXP(-LN(2)/25))/(LN(2)/25)*Calculateur!BL85*Calculateur!BN85*VLOOKUP('Données projet'!$B$11,Paramètres!$A$1:$I$89,3,0)*0.475*44/12</f>
        <v>4.891089856728029</v>
      </c>
      <c r="BR85" s="21">
        <f>EXP(-LN(2)/2)*BR84+(1-EXP(-LN(2)/2))/(LN(2)/2)*BL85*BO85*VLOOKUP('Données projet'!$B$11,Paramètres!$A$1:$I$89,3,0)*0.475*44/12</f>
        <v>1.7627658000713686E-7</v>
      </c>
      <c r="BS85" s="22">
        <f t="shared" si="63"/>
        <v>11.073576294873737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-3.4106051316484809E-13</v>
      </c>
      <c r="BZ85" s="13">
        <f>BY85*VLOOKUP('Données projet'!$B$12,Paramètres!$A$1:$I$89,3,0)*VLOOKUP('Données projet'!$B$12,Paramètres!$A$1:$I$89,5,0)</f>
        <v>-1.9065282685915009E-13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475.54809021014017</v>
      </c>
      <c r="CE85" s="59">
        <f t="shared" si="94"/>
        <v>593.51433014569966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2.6213849030637375</v>
      </c>
      <c r="CL85" s="21">
        <f>EXP(-LN(2)/25)*CL84+(1-EXP(-LN(2)/25))/(LN(2)/25)*Calculateur!CG85*Calculateur!CI85*VLOOKUP('Données projet'!$B$12,Paramètres!$A$1:$I$89,3,0)*0.475*44/12</f>
        <v>10.078404991537207</v>
      </c>
      <c r="CM85" s="21">
        <f>EXP(-LN(2)/2)*CM84+(1-EXP(-LN(2)/2))/(LN(2)/2)*CG85*CJ85*VLOOKUP('Données projet'!$B$12,Paramètres!$A$1:$I$89,3,0)*0.475*44/12</f>
        <v>2.1484431273844304E-7</v>
      </c>
      <c r="CN85" s="22">
        <f t="shared" si="66"/>
        <v>12.699790109445257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17.5</v>
      </c>
      <c r="CT85" s="12">
        <f>IF('Données projet'!$A$140&gt;35,CT84+CS85-DB84,IF(A85&lt;'Données projet'!$A$140,$CQ$205^A85,IF(A85='Données projet'!$A$140,'Données projet'!$B$140,CT84+CS85-DB84)))</f>
        <v>448.49999999999989</v>
      </c>
      <c r="CU85" s="17">
        <f>CT85*VLOOKUP('Données projet'!$B$13,Paramètres!$A$1:$I$89,3,0)*VLOOKUP('Données projet'!$B$13,Paramètres!$A$1:$I$89,5,0)</f>
        <v>209.89799999999994</v>
      </c>
      <c r="CV85" s="13">
        <f t="shared" si="95"/>
        <v>51.913295501810218</v>
      </c>
      <c r="CW85" s="20">
        <f t="shared" si="67"/>
        <v>455.98800633231934</v>
      </c>
      <c r="CX85" s="59">
        <f t="shared" si="68"/>
        <v>749.32133966565266</v>
      </c>
      <c r="CY85" s="59">
        <f ca="1">AVERAGE(OFFSET($CX$3,0,0,'Données projet'!$E$13+1,1))-AVERAGE(OFFSET($H$3,0,0,'Données projet'!$E$13+1,1))</f>
        <v>226.0452828290525</v>
      </c>
      <c r="CZ85" s="59">
        <f t="shared" si="96"/>
        <v>179.89696397462069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3.240842456805352</v>
      </c>
      <c r="DG85" s="21">
        <f>EXP(-LN(2)/25)*DG84+(1-EXP(-LN(2)/25))/(LN(2)/25)*Calculateur!DB85*Calculateur!DD85*VLOOKUP('Données projet'!$B$13,Paramètres!$A$1:$I$89,3,0)*0.475*44/12</f>
        <v>2.6374479405213114</v>
      </c>
      <c r="DH85" s="21">
        <f>EXP(-LN(2)/2)*DH84+(1-EXP(-LN(2)/2))/(LN(2)/2)*DB85*DE85*VLOOKUP('Données projet'!$B$13,Paramètres!$A$1:$I$89,3,0)*0.475*44/12</f>
        <v>1.6455544000265591E-7</v>
      </c>
      <c r="DI85" s="22">
        <f t="shared" si="69"/>
        <v>5.8782905618821042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1.1368683772161603E-13</v>
      </c>
      <c r="DP85" s="17">
        <f>DO85*VLOOKUP('Données projet'!$B$14,Paramètres!$A$1:$I$89,3,0)*VLOOKUP('Données projet'!$B$14,Paramètres!$A$1:$I$89,5,0)</f>
        <v>6.7984728957526396E-14</v>
      </c>
      <c r="DQ85" s="13">
        <f t="shared" si="97"/>
        <v>1.0682447123141398E-12</v>
      </c>
      <c r="DR85" s="20">
        <f t="shared" si="70"/>
        <v>1.978932943548152E-12</v>
      </c>
      <c r="DS85" s="59">
        <f t="shared" si="71"/>
        <v>293.3333333333353</v>
      </c>
      <c r="DT85" s="59">
        <f ca="1">AVERAGE(OFFSET($DS$3,0,0,'Données projet'!$E$14+1,1))-AVERAGE(OFFSET($H$3,0,0,'Données projet'!$E$14+1,1))</f>
        <v>252.81045065813976</v>
      </c>
      <c r="DU85" s="59">
        <f t="shared" si="98"/>
        <v>254.36590349790589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6.4467429023576663</v>
      </c>
      <c r="EB85" s="21">
        <f>EXP(-LN(2)/25)*EB84+(1-EXP(-LN(2)/25))/(LN(2)/25)*Calculateur!DW85*Calculateur!DY85*VLOOKUP('Données projet'!$B$14,Paramètres!$A$1:$I$89,3,0)*0.475*44/12</f>
        <v>3.8140354565602386</v>
      </c>
      <c r="EC85" s="21">
        <f>EXP(-LN(2)/2)*EC84+(1-EXP(-LN(2)/2))/(LN(2)/2)*DW85*DZ85*VLOOKUP('Données projet'!$B$14,Paramètres!$A$1:$I$89,3,0)*0.475*44/12</f>
        <v>8.5553283753067446E-8</v>
      </c>
      <c r="ED85" s="22">
        <f t="shared" si="72"/>
        <v>10.260778444471189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-2.8421709430404007E-13</v>
      </c>
      <c r="EK85" s="17">
        <f>EJ85*VLOOKUP('Données projet'!$B$15,Paramètres!$A$1:$I$89,3,0)*VLOOKUP('Données projet'!$B$15,Paramètres!$A$1:$I$89,5,0)</f>
        <v>-2.0838797354372215E-13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296.91321813251051</v>
      </c>
      <c r="EP85" s="59">
        <f t="shared" si="100"/>
        <v>291.0718079639509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4.6225692694182445</v>
      </c>
      <c r="EW85" s="21">
        <f>EXP(-LN(2)/25)*EW84+(1-EXP(-LN(2)/25))/(LN(2)/25)*Calculateur!ER85*Calculateur!ET85*VLOOKUP('Données projet'!$B$15,Paramètres!$A$1:$I$89,3,0)*0.475*44/12</f>
        <v>3.6570079912864761</v>
      </c>
      <c r="EX85" s="21">
        <f>EXP(-LN(2)/2)*EX84+(1-EXP(-LN(2)/2))/(LN(2)/2)*ER85*EU85*VLOOKUP('Données projet'!$B$15,Paramètres!$A$1:$I$89,3,0)*0.475*44/12</f>
        <v>1.6245096588893043E-7</v>
      </c>
      <c r="EY85" s="22">
        <f t="shared" si="75"/>
        <v>8.2795774231556862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6.8</v>
      </c>
      <c r="FE85" s="12">
        <f>IF('Données projet'!$A$218&gt;35,FE84+FD85-FM84,IF(A85&lt;'Données projet'!$A$218,$FB$205^A85,IF(A85='Données projet'!$A$218,'Données projet'!$B$218,FE84+FD85-FM84)))</f>
        <v>305.60000000000002</v>
      </c>
      <c r="FF85" s="17">
        <f>FE85*VLOOKUP('Données projet'!$B$16,Paramètres!$A$1:$I$89,3,0)*VLOOKUP('Données projet'!$B$16,Paramètres!$A$1:$I$89,5,0)</f>
        <v>309.87840000000006</v>
      </c>
      <c r="FG85" s="13">
        <f t="shared" si="101"/>
        <v>73.243434672131556</v>
      </c>
      <c r="FH85" s="20">
        <f t="shared" si="76"/>
        <v>667.27052872062916</v>
      </c>
      <c r="FI85" s="59">
        <f t="shared" si="77"/>
        <v>960.60386205396253</v>
      </c>
      <c r="FJ85" s="59">
        <f ca="1">AVERAGE(OFFSET($FI$3,0,0,'Données projet'!$E$16+1,1))-AVERAGE(OFFSET($H$3,0,0,'Données projet'!$E$16+1,1))</f>
        <v>356.65981389369125</v>
      </c>
      <c r="FK85" s="59">
        <f t="shared" si="102"/>
        <v>231.92898690465887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2.9245951420302982</v>
      </c>
      <c r="FR85" s="21">
        <f>EXP(-LN(2)/25)*FR84+(1-EXP(-LN(2)/25))/(LN(2)/25)*Calculateur!FM85*Calculateur!FO85*VLOOKUP('Données projet'!$B$16,Paramètres!$A$1:$I$89,3,0)*0.475*44/12</f>
        <v>2.4822179280482874</v>
      </c>
      <c r="FS85" s="21">
        <f>EXP(-LN(2)/2)*FS84+(1-EXP(-LN(2)/2))/(LN(2)/2)*FM85*FP85*VLOOKUP('Données projet'!$B$16,Paramètres!$A$1:$I$89,3,0)*0.475*44/12</f>
        <v>1.4252809571473529E-7</v>
      </c>
      <c r="FT85" s="22">
        <f t="shared" si="78"/>
        <v>5.4068132126066821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6.8</v>
      </c>
      <c r="FZ85" s="12">
        <f>IF('Données projet'!$A$244&gt;35,FZ84+FY85-GH84,IF(A85&lt;'Données projet'!$A$244,$FW$205^A85,IF(A85='Données projet'!$A$244,'Données projet'!$B$244,FZ84+FY85-GH84)))</f>
        <v>305.60000000000002</v>
      </c>
      <c r="GA85" s="17">
        <f>FZ85*VLOOKUP('Données projet'!$B$17,Paramètres!$A$1:$I$89,3,0)*VLOOKUP('Données projet'!$B$17,Paramètres!$A$1:$I$89,5,0)</f>
        <v>295.57632000000001</v>
      </c>
      <c r="GB85" s="13">
        <f t="shared" si="103"/>
        <v>70.24828996461811</v>
      </c>
      <c r="GC85" s="20">
        <f t="shared" si="79"/>
        <v>637.1445290217099</v>
      </c>
      <c r="GD85" s="59">
        <f t="shared" si="80"/>
        <v>930.47786235504327</v>
      </c>
      <c r="GE85" s="59">
        <f ca="1">AVERAGE(OFFSET($GD$3,0,0,'Données projet'!$E$17+1,1))-AVERAGE(OFFSET($H$3,0,0,'Données projet'!$E$17+1,1))</f>
        <v>337.76140497227715</v>
      </c>
      <c r="GF85" s="59">
        <f t="shared" si="104"/>
        <v>219.76562717496353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2.7896138277827451</v>
      </c>
      <c r="GM85" s="21">
        <f>EXP(-LN(2)/25)*GM84+(1-EXP(-LN(2)/25))/(LN(2)/25)*Calculateur!GH85*Calculateur!GJ85*VLOOKUP('Données projet'!$B$17,Paramètres!$A$1:$I$89,3,0)*0.475*44/12</f>
        <v>2.3676540236768275</v>
      </c>
      <c r="GN85" s="21">
        <f>EXP(-LN(2)/2)*GN84+(1-EXP(-LN(2)/2))/(LN(2)/2)*GH85*GK85*VLOOKUP('Données projet'!$B$17,Paramètres!$A$1:$I$89,3,0)*0.475*44/12</f>
        <v>1.3594987591251677E-7</v>
      </c>
      <c r="GO85" s="21">
        <f t="shared" si="81"/>
        <v>5.1572679874094485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6.8</v>
      </c>
      <c r="N86" s="13">
        <f>IF('Données projet'!$A$36&gt;35,N85+M86-V85,IF(A86&lt;'Données projet'!$A$36,$K$205^A86,IF(A86='Données projet'!$A$36,'Données projet'!$B$36,N85+M86-V85)))</f>
        <v>312.40000000000003</v>
      </c>
      <c r="O86" s="13">
        <f>N86*VLOOKUP('Données projet'!$B$9,Paramètres!$A$1:$I$89,3,0)*VLOOKUP('Données projet'!$B$9,Paramètres!$A$1:$I$89,5,0)</f>
        <v>282.65952000000004</v>
      </c>
      <c r="P86" s="13">
        <f t="shared" si="87"/>
        <v>67.528732309967324</v>
      </c>
      <c r="Q86" s="20">
        <f t="shared" si="54"/>
        <v>609.91120610652649</v>
      </c>
      <c r="R86" s="59">
        <f t="shared" si="55"/>
        <v>903.24453943985986</v>
      </c>
      <c r="S86" s="59">
        <f ca="1">AVERAGE(OFFSET($R$3,0,0,'Données projet'!$E$9+1,1))-AVERAGE(OFFSET($H$3,0,0,'Données projet'!$E$9+1,1))</f>
        <v>312.53389584272878</v>
      </c>
      <c r="T86" s="59">
        <f t="shared" si="88"/>
        <v>203.5274665601915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2.5584653181088433</v>
      </c>
      <c r="AA86" s="21">
        <f>EXP(-LN(2)/25)*AA85+(1-EXP(-LN(2)/25))/(LN(2)/25)*Calculateur!V86*Calculateur!X86*VLOOKUP('Données projet'!$B$9,Paramètres!$A$1:$I$89,3,0)*0.475*44/12</f>
        <v>2.1543355353808455</v>
      </c>
      <c r="AB86" s="21">
        <f>EXP(-LN(2)/2)*AB85+(1-EXP(-LN(2)/2))/(LN(2)/2)*V86*Y86*VLOOKUP('Données projet'!$B$9,Paramètres!$A$1:$I$89,3,0)*0.475*44/12</f>
        <v>8.9929074052164433E-8</v>
      </c>
      <c r="AC86" s="22">
        <f t="shared" si="57"/>
        <v>4.7128009434187632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5.6843418860808015E-14</v>
      </c>
      <c r="AJ86" s="13">
        <f>AI86*VLOOKUP('Données projet'!$B$10,Paramètres!$A$1:$I$89,3,0)*VLOOKUP('Données projet'!$B$10,Paramètres!$A$1:$I$89,5,0)</f>
        <v>4.9658410716801891E-14</v>
      </c>
      <c r="AK86" s="13">
        <f t="shared" si="89"/>
        <v>8.0934058173791862E-13</v>
      </c>
      <c r="AL86" s="20">
        <f t="shared" si="58"/>
        <v>1.4960899118586383E-12</v>
      </c>
      <c r="AM86" s="59">
        <f t="shared" si="59"/>
        <v>293.33333333333479</v>
      </c>
      <c r="AN86" s="59">
        <f ca="1">AVERAGE(OFFSET($AM$3,0,0,'Données projet'!$E$10+1,1))-AVERAGE(OFFSET($H$3,0,0,'Données projet'!$E$10+1,1))</f>
        <v>243.05628303465238</v>
      </c>
      <c r="AO86" s="59">
        <f t="shared" si="90"/>
        <v>352.47096767658394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2.7637437839166843</v>
      </c>
      <c r="AV86" s="21">
        <f>EXP(-LN(2)/25)*AV85+(1-EXP(-LN(2)/25))/(LN(2)/25)*Calculateur!AQ86*Calculateur!AS86*VLOOKUP('Données projet'!$B$10,Paramètres!$A$1:$I$89,3,0)*0.475*44/12</f>
        <v>4.1680076307995755</v>
      </c>
      <c r="AW86" s="21">
        <f>EXP(-LN(2)/2)*AW85+(1-EXP(-LN(2)/2))/(LN(2)/2)*AQ86*AT86*VLOOKUP('Données projet'!$B$10,Paramètres!$A$1:$I$89,3,0)*0.475*44/12</f>
        <v>1.1878212805991482E-7</v>
      </c>
      <c r="AX86" s="21">
        <f t="shared" si="60"/>
        <v>6.9317515334983879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-2.8421709430404007E-13</v>
      </c>
      <c r="BE86" s="13">
        <f>BD86*VLOOKUP('Données projet'!$B$11,Paramètres!$A$1:$I$89,3,0)*VLOOKUP('Données projet'!$B$11,Paramètres!$A$1:$I$89,5,0)</f>
        <v>-2.2612312022829427E-13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325.72928944930294</v>
      </c>
      <c r="BJ86" s="59">
        <f t="shared" si="92"/>
        <v>318.38876834819752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6.0612514772181445</v>
      </c>
      <c r="BQ86" s="21">
        <f>EXP(-LN(2)/25)*BQ85+(1-EXP(-LN(2)/25))/(LN(2)/25)*Calculateur!BL86*Calculateur!BN86*VLOOKUP('Données projet'!$B$11,Paramètres!$A$1:$I$89,3,0)*0.475*44/12</f>
        <v>4.7573427473845644</v>
      </c>
      <c r="BR86" s="21">
        <f>EXP(-LN(2)/2)*BR85+(1-EXP(-LN(2)/2))/(LN(2)/2)*BL86*BO86*VLOOKUP('Données projet'!$B$11,Paramètres!$A$1:$I$89,3,0)*0.475*44/12</f>
        <v>1.2464636508741946E-7</v>
      </c>
      <c r="BS86" s="22">
        <f t="shared" si="63"/>
        <v>10.818594349249073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-3.4106051316484809E-13</v>
      </c>
      <c r="BZ86" s="13">
        <f>BY86*VLOOKUP('Données projet'!$B$12,Paramètres!$A$1:$I$89,3,0)*VLOOKUP('Données projet'!$B$12,Paramètres!$A$1:$I$89,5,0)</f>
        <v>-1.9065282685915009E-13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475.54809021014017</v>
      </c>
      <c r="CE86" s="59">
        <f t="shared" si="94"/>
        <v>593.51433014569966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2.5699811440015714</v>
      </c>
      <c r="CL86" s="21">
        <f>EXP(-LN(2)/25)*CL85+(1-EXP(-LN(2)/25))/(LN(2)/25)*Calculateur!CG86*Calculateur!CI86*VLOOKUP('Données projet'!$B$12,Paramètres!$A$1:$I$89,3,0)*0.475*44/12</f>
        <v>9.8028104770433373</v>
      </c>
      <c r="CM86" s="21">
        <f>EXP(-LN(2)/2)*CM85+(1-EXP(-LN(2)/2))/(LN(2)/2)*CG86*CJ86*VLOOKUP('Données projet'!$B$12,Paramètres!$A$1:$I$89,3,0)*0.475*44/12</f>
        <v>1.5191787043671643E-7</v>
      </c>
      <c r="CN86" s="22">
        <f t="shared" si="66"/>
        <v>12.372791772962779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17.5</v>
      </c>
      <c r="CT86" s="12">
        <f>IF('Données projet'!$A$140&gt;35,CT85+CS86-DB85,IF(A86&lt;'Données projet'!$A$140,$CQ$205^A86,IF(A86='Données projet'!$A$140,'Données projet'!$B$140,CT85+CS86-DB85)))</f>
        <v>465.99999999999989</v>
      </c>
      <c r="CU86" s="17">
        <f>CT86*VLOOKUP('Données projet'!$B$13,Paramètres!$A$1:$I$89,3,0)*VLOOKUP('Données projet'!$B$13,Paramètres!$A$1:$I$89,5,0)</f>
        <v>218.08799999999997</v>
      </c>
      <c r="CV86" s="13">
        <f t="shared" si="95"/>
        <v>53.699111087780629</v>
      </c>
      <c r="CW86" s="20">
        <f t="shared" si="67"/>
        <v>473.36255181121783</v>
      </c>
      <c r="CX86" s="59">
        <f t="shared" si="68"/>
        <v>766.69588514455108</v>
      </c>
      <c r="CY86" s="59">
        <f ca="1">AVERAGE(OFFSET($CX$3,0,0,'Données projet'!$E$13+1,1))-AVERAGE(OFFSET($H$3,0,0,'Données projet'!$E$13+1,1))</f>
        <v>226.0452828290525</v>
      </c>
      <c r="CZ86" s="59">
        <f t="shared" si="96"/>
        <v>179.89696397462069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3.177291512946113</v>
      </c>
      <c r="DG86" s="21">
        <f>EXP(-LN(2)/25)*DG85+(1-EXP(-LN(2)/25))/(LN(2)/25)*Calculateur!DB86*Calculateur!DD86*VLOOKUP('Données projet'!$B$13,Paramètres!$A$1:$I$89,3,0)*0.475*44/12</f>
        <v>2.5653267878903967</v>
      </c>
      <c r="DH86" s="21">
        <f>EXP(-LN(2)/2)*DH85+(1-EXP(-LN(2)/2))/(LN(2)/2)*DB86*DE86*VLOOKUP('Données projet'!$B$13,Paramètres!$A$1:$I$89,3,0)*0.475*44/12</f>
        <v>1.1635826750701407E-7</v>
      </c>
      <c r="DI86" s="22">
        <f t="shared" si="69"/>
        <v>5.7426184171947776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1.1368683772161603E-13</v>
      </c>
      <c r="DP86" s="17">
        <f>DO86*VLOOKUP('Données projet'!$B$14,Paramètres!$A$1:$I$89,3,0)*VLOOKUP('Données projet'!$B$14,Paramètres!$A$1:$I$89,5,0)</f>
        <v>6.7984728957526396E-14</v>
      </c>
      <c r="DQ86" s="13">
        <f t="shared" si="97"/>
        <v>1.0682447123141398E-12</v>
      </c>
      <c r="DR86" s="20">
        <f t="shared" si="70"/>
        <v>1.978932943548152E-12</v>
      </c>
      <c r="DS86" s="59">
        <f t="shared" si="71"/>
        <v>293.3333333333353</v>
      </c>
      <c r="DT86" s="59">
        <f ca="1">AVERAGE(OFFSET($DS$3,0,0,'Données projet'!$E$14+1,1))-AVERAGE(OFFSET($H$3,0,0,'Données projet'!$E$14+1,1))</f>
        <v>252.81045065813976</v>
      </c>
      <c r="DU86" s="59">
        <f t="shared" si="98"/>
        <v>254.36590349790589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6.320326206167338</v>
      </c>
      <c r="EB86" s="21">
        <f>EXP(-LN(2)/25)*EB85+(1-EXP(-LN(2)/25))/(LN(2)/25)*Calculateur!DW86*Calculateur!DY86*VLOOKUP('Données projet'!$B$14,Paramètres!$A$1:$I$89,3,0)*0.475*44/12</f>
        <v>3.7097404564291914</v>
      </c>
      <c r="EC86" s="21">
        <f>EXP(-LN(2)/2)*EC85+(1-EXP(-LN(2)/2))/(LN(2)/2)*DW86*DZ86*VLOOKUP('Données projet'!$B$14,Paramètres!$A$1:$I$89,3,0)*0.475*44/12</f>
        <v>6.0495307094570873E-8</v>
      </c>
      <c r="ED86" s="22">
        <f t="shared" si="72"/>
        <v>10.030066723091835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-2.8421709430404007E-13</v>
      </c>
      <c r="EK86" s="17">
        <f>EJ86*VLOOKUP('Données projet'!$B$15,Paramètres!$A$1:$I$89,3,0)*VLOOKUP('Données projet'!$B$15,Paramètres!$A$1:$I$89,5,0)</f>
        <v>-2.0838797354372215E-13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296.91321813251051</v>
      </c>
      <c r="EP86" s="59">
        <f t="shared" si="100"/>
        <v>291.0718079639509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4.5319235055338059</v>
      </c>
      <c r="EW86" s="21">
        <f>EXP(-LN(2)/25)*EW85+(1-EXP(-LN(2)/25))/(LN(2)/25)*Calculateur!ER86*Calculateur!ET86*VLOOKUP('Données projet'!$B$15,Paramètres!$A$1:$I$89,3,0)*0.475*44/12</f>
        <v>3.5570069154510553</v>
      </c>
      <c r="EX86" s="21">
        <f>EXP(-LN(2)/2)*EX85+(1-EXP(-LN(2)/2))/(LN(2)/2)*ER86*EU86*VLOOKUP('Données projet'!$B$15,Paramètres!$A$1:$I$89,3,0)*0.475*44/12</f>
        <v>1.1487017959036723E-7</v>
      </c>
      <c r="EY86" s="22">
        <f t="shared" si="75"/>
        <v>8.0889305358550398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6.8</v>
      </c>
      <c r="FE86" s="12">
        <f>IF('Données projet'!$A$218&gt;35,FE85+FD86-FM85,IF(A86&lt;'Données projet'!$A$218,$FB$205^A86,IF(A86='Données projet'!$A$218,'Données projet'!$B$218,FE85+FD86-FM85)))</f>
        <v>312.40000000000003</v>
      </c>
      <c r="FF86" s="17">
        <f>FE86*VLOOKUP('Données projet'!$B$16,Paramètres!$A$1:$I$89,3,0)*VLOOKUP('Données projet'!$B$16,Paramètres!$A$1:$I$89,5,0)</f>
        <v>316.77360000000004</v>
      </c>
      <c r="FG86" s="13">
        <f t="shared" si="101"/>
        <v>74.681642981668006</v>
      </c>
      <c r="FH86" s="20">
        <f t="shared" si="76"/>
        <v>681.78454819307183</v>
      </c>
      <c r="FI86" s="59">
        <f t="shared" si="77"/>
        <v>975.1178815264052</v>
      </c>
      <c r="FJ86" s="59">
        <f ca="1">AVERAGE(OFFSET($FI$3,0,0,'Données projet'!$E$16+1,1))-AVERAGE(OFFSET($H$3,0,0,'Données projet'!$E$16+1,1))</f>
        <v>356.65981389369125</v>
      </c>
      <c r="FK86" s="59">
        <f t="shared" si="102"/>
        <v>231.92898690465887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2.8672456151219823</v>
      </c>
      <c r="FR86" s="21">
        <f>EXP(-LN(2)/25)*FR85+(1-EXP(-LN(2)/25))/(LN(2)/25)*Calculateur!FM86*Calculateur!FO86*VLOOKUP('Données projet'!$B$16,Paramètres!$A$1:$I$89,3,0)*0.475*44/12</f>
        <v>2.4143415482716395</v>
      </c>
      <c r="FS86" s="21">
        <f>EXP(-LN(2)/2)*FS85+(1-EXP(-LN(2)/2))/(LN(2)/2)*FM86*FP86*VLOOKUP('Données projet'!$B$16,Paramètres!$A$1:$I$89,3,0)*0.475*44/12</f>
        <v>1.0078258298949463E-7</v>
      </c>
      <c r="FT86" s="22">
        <f t="shared" si="78"/>
        <v>5.2815872641762054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6.8</v>
      </c>
      <c r="FZ86" s="12">
        <f>IF('Données projet'!$A$244&gt;35,FZ85+FY86-GH85,IF(A86&lt;'Données projet'!$A$244,$FW$205^A86,IF(A86='Données projet'!$A$244,'Données projet'!$B$244,FZ85+FY86-GH85)))</f>
        <v>312.40000000000003</v>
      </c>
      <c r="GA86" s="17">
        <f>FZ86*VLOOKUP('Données projet'!$B$17,Paramètres!$A$1:$I$89,3,0)*VLOOKUP('Données projet'!$B$17,Paramètres!$A$1:$I$89,5,0)</f>
        <v>302.15328000000005</v>
      </c>
      <c r="GB86" s="13">
        <f t="shared" si="103"/>
        <v>71.627685603423203</v>
      </c>
      <c r="GC86" s="20">
        <f t="shared" si="79"/>
        <v>651.00184842596218</v>
      </c>
      <c r="GD86" s="59">
        <f t="shared" si="80"/>
        <v>944.33518175929544</v>
      </c>
      <c r="GE86" s="59">
        <f ca="1">AVERAGE(OFFSET($GD$3,0,0,'Données projet'!$E$17+1,1))-AVERAGE(OFFSET($H$3,0,0,'Données projet'!$E$17+1,1))</f>
        <v>337.76140497227715</v>
      </c>
      <c r="GF86" s="59">
        <f t="shared" si="104"/>
        <v>219.76562717496353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2.7349112021163515</v>
      </c>
      <c r="GM86" s="21">
        <f>EXP(-LN(2)/25)*GM85+(1-EXP(-LN(2)/25))/(LN(2)/25)*Calculateur!GH86*Calculateur!GJ86*VLOOKUP('Données projet'!$B$17,Paramètres!$A$1:$I$89,3,0)*0.475*44/12</f>
        <v>2.3029103998898708</v>
      </c>
      <c r="GN86" s="21">
        <f>EXP(-LN(2)/2)*GN85+(1-EXP(-LN(2)/2))/(LN(2)/2)*GH86*GK86*VLOOKUP('Données projet'!$B$17,Paramètres!$A$1:$I$89,3,0)*0.475*44/12</f>
        <v>9.6131079159210282E-8</v>
      </c>
      <c r="GO86" s="21">
        <f t="shared" si="81"/>
        <v>5.037821698137301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6.8</v>
      </c>
      <c r="N87" s="13">
        <f>IF('Données projet'!$A$36&gt;35,N86+M87-V86,IF(A87&lt;'Données projet'!$A$36,$K$205^A87,IF(A87='Données projet'!$A$36,'Données projet'!$B$36,N86+M87-V86)))</f>
        <v>319.20000000000005</v>
      </c>
      <c r="O87" s="13">
        <f>N87*VLOOKUP('Données projet'!$B$9,Paramètres!$A$1:$I$89,3,0)*VLOOKUP('Données projet'!$B$9,Paramètres!$A$1:$I$89,5,0)</f>
        <v>288.81216000000006</v>
      </c>
      <c r="P87" s="13">
        <f t="shared" si="87"/>
        <v>68.825899854238159</v>
      </c>
      <c r="Q87" s="20">
        <f t="shared" si="54"/>
        <v>622.88628757946492</v>
      </c>
      <c r="R87" s="59">
        <f t="shared" si="55"/>
        <v>916.21962091279829</v>
      </c>
      <c r="S87" s="59">
        <f ca="1">AVERAGE(OFFSET($R$3,0,0,'Données projet'!$E$9+1,1))-AVERAGE(OFFSET($H$3,0,0,'Données projet'!$E$9+1,1))</f>
        <v>312.53389584272878</v>
      </c>
      <c r="T87" s="59">
        <f t="shared" si="88"/>
        <v>203.5274665601915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2.5082953737304852</v>
      </c>
      <c r="AA87" s="21">
        <f>EXP(-LN(2)/25)*AA86+(1-EXP(-LN(2)/25))/(LN(2)/25)*Calculateur!V87*Calculateur!X87*VLOOKUP('Données projet'!$B$9,Paramètres!$A$1:$I$89,3,0)*0.475*44/12</f>
        <v>2.0954251168742744</v>
      </c>
      <c r="AB87" s="21">
        <f>EXP(-LN(2)/2)*AB86+(1-EXP(-LN(2)/2))/(LN(2)/2)*V87*Y87*VLOOKUP('Données projet'!$B$9,Paramètres!$A$1:$I$89,3,0)*0.475*44/12</f>
        <v>6.3589458088112663E-8</v>
      </c>
      <c r="AC87" s="22">
        <f t="shared" si="57"/>
        <v>4.6037205541942177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5.6843418860808015E-14</v>
      </c>
      <c r="AJ87" s="13">
        <f>AI87*VLOOKUP('Données projet'!$B$10,Paramètres!$A$1:$I$89,3,0)*VLOOKUP('Données projet'!$B$10,Paramètres!$A$1:$I$89,5,0)</f>
        <v>4.9658410716801891E-14</v>
      </c>
      <c r="AK87" s="13">
        <f t="shared" si="89"/>
        <v>8.0934058173791862E-13</v>
      </c>
      <c r="AL87" s="20">
        <f t="shared" si="58"/>
        <v>1.4960899118586383E-12</v>
      </c>
      <c r="AM87" s="59">
        <f t="shared" si="59"/>
        <v>293.33333333333479</v>
      </c>
      <c r="AN87" s="59">
        <f ca="1">AVERAGE(OFFSET($AM$3,0,0,'Données projet'!$E$10+1,1))-AVERAGE(OFFSET($H$3,0,0,'Données projet'!$E$10+1,1))</f>
        <v>243.05628303465238</v>
      </c>
      <c r="AO87" s="59">
        <f t="shared" si="90"/>
        <v>352.47096767658394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2.7095484540313355</v>
      </c>
      <c r="AV87" s="21">
        <f>EXP(-LN(2)/25)*AV86+(1-EXP(-LN(2)/25))/(LN(2)/25)*Calculateur!AQ87*Calculateur!AS87*VLOOKUP('Données projet'!$B$10,Paramètres!$A$1:$I$89,3,0)*0.475*44/12</f>
        <v>4.054033242949366</v>
      </c>
      <c r="AW87" s="21">
        <f>EXP(-LN(2)/2)*AW86+(1-EXP(-LN(2)/2))/(LN(2)/2)*AQ87*AT87*VLOOKUP('Données projet'!$B$10,Paramètres!$A$1:$I$89,3,0)*0.475*44/12</f>
        <v>8.3991648234934669E-8</v>
      </c>
      <c r="AX87" s="21">
        <f t="shared" si="60"/>
        <v>6.7635817809723493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-2.8421709430404007E-13</v>
      </c>
      <c r="BE87" s="13">
        <f>BD87*VLOOKUP('Données projet'!$B$11,Paramètres!$A$1:$I$89,3,0)*VLOOKUP('Données projet'!$B$11,Paramètres!$A$1:$I$89,5,0)</f>
        <v>-2.2612312022829427E-13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325.72928944930294</v>
      </c>
      <c r="BJ87" s="59">
        <f t="shared" si="92"/>
        <v>318.38876834819752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5.9423940327482496</v>
      </c>
      <c r="BQ87" s="21">
        <f>EXP(-LN(2)/25)*BQ86+(1-EXP(-LN(2)/25))/(LN(2)/25)*Calculateur!BL87*Calculateur!BN87*VLOOKUP('Données projet'!$B$11,Paramètres!$A$1:$I$89,3,0)*0.475*44/12</f>
        <v>4.6272529597795513</v>
      </c>
      <c r="BR87" s="21">
        <f>EXP(-LN(2)/2)*BR86+(1-EXP(-LN(2)/2))/(LN(2)/2)*BL87*BO87*VLOOKUP('Données projet'!$B$11,Paramètres!$A$1:$I$89,3,0)*0.475*44/12</f>
        <v>8.8138290003568429E-8</v>
      </c>
      <c r="BS87" s="22">
        <f t="shared" si="63"/>
        <v>10.56964708066609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-3.4106051316484809E-13</v>
      </c>
      <c r="BZ87" s="13">
        <f>BY87*VLOOKUP('Données projet'!$B$12,Paramètres!$A$1:$I$89,3,0)*VLOOKUP('Données projet'!$B$12,Paramètres!$A$1:$I$89,5,0)</f>
        <v>-1.9065282685915009E-13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475.54809021014017</v>
      </c>
      <c r="CE87" s="59">
        <f t="shared" si="94"/>
        <v>593.51433014569966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2.5195853813014173</v>
      </c>
      <c r="CL87" s="21">
        <f>EXP(-LN(2)/25)*CL86+(1-EXP(-LN(2)/25))/(LN(2)/25)*Calculateur!CG87*Calculateur!CI87*VLOOKUP('Données projet'!$B$12,Paramètres!$A$1:$I$89,3,0)*0.475*44/12</f>
        <v>9.5347521090411895</v>
      </c>
      <c r="CM87" s="21">
        <f>EXP(-LN(2)/2)*CM86+(1-EXP(-LN(2)/2))/(LN(2)/2)*CG87*CJ87*VLOOKUP('Données projet'!$B$12,Paramètres!$A$1:$I$89,3,0)*0.475*44/12</f>
        <v>1.0742215636922152E-7</v>
      </c>
      <c r="CN87" s="22">
        <f t="shared" si="66"/>
        <v>12.054337597764764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17.5</v>
      </c>
      <c r="CT87" s="12">
        <f>IF('Données projet'!$A$140&gt;35,CT86+CS87-DB86,IF(A87&lt;'Données projet'!$A$140,$CQ$205^A87,IF(A87='Données projet'!$A$140,'Données projet'!$B$140,CT86+CS87-DB86)))</f>
        <v>483.49999999999989</v>
      </c>
      <c r="CU87" s="17">
        <f>CT87*VLOOKUP('Données projet'!$B$13,Paramètres!$A$1:$I$89,3,0)*VLOOKUP('Données projet'!$B$13,Paramètres!$A$1:$I$89,5,0)</f>
        <v>226.27799999999993</v>
      </c>
      <c r="CV87" s="13">
        <f t="shared" si="95"/>
        <v>55.477135539319008</v>
      </c>
      <c r="CW87" s="20">
        <f t="shared" si="67"/>
        <v>490.72352773098049</v>
      </c>
      <c r="CX87" s="59">
        <f t="shared" si="68"/>
        <v>784.05686106431381</v>
      </c>
      <c r="CY87" s="59">
        <f ca="1">AVERAGE(OFFSET($CX$3,0,0,'Données projet'!$E$13+1,1))-AVERAGE(OFFSET($H$3,0,0,'Données projet'!$E$13+1,1))</f>
        <v>226.0452828290525</v>
      </c>
      <c r="CZ87" s="59">
        <f t="shared" si="96"/>
        <v>179.89696397462069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3.1149867643337052</v>
      </c>
      <c r="DG87" s="21">
        <f>EXP(-LN(2)/25)*DG86+(1-EXP(-LN(2)/25))/(LN(2)/25)*Calculateur!DB87*Calculateur!DD87*VLOOKUP('Données projet'!$B$13,Paramètres!$A$1:$I$89,3,0)*0.475*44/12</f>
        <v>2.4951777919708613</v>
      </c>
      <c r="DH87" s="21">
        <f>EXP(-LN(2)/2)*DH86+(1-EXP(-LN(2)/2))/(LN(2)/2)*DB87*DE87*VLOOKUP('Données projet'!$B$13,Paramètres!$A$1:$I$89,3,0)*0.475*44/12</f>
        <v>8.227772000132797E-8</v>
      </c>
      <c r="DI87" s="22">
        <f t="shared" si="69"/>
        <v>5.6101646385822859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1.1368683772161603E-13</v>
      </c>
      <c r="DP87" s="17">
        <f>DO87*VLOOKUP('Données projet'!$B$14,Paramètres!$A$1:$I$89,3,0)*VLOOKUP('Données projet'!$B$14,Paramètres!$A$1:$I$89,5,0)</f>
        <v>6.7984728957526396E-14</v>
      </c>
      <c r="DQ87" s="13">
        <f t="shared" si="97"/>
        <v>1.0682447123141398E-12</v>
      </c>
      <c r="DR87" s="20">
        <f t="shared" si="70"/>
        <v>1.978932943548152E-12</v>
      </c>
      <c r="DS87" s="59">
        <f t="shared" si="71"/>
        <v>293.3333333333353</v>
      </c>
      <c r="DT87" s="59">
        <f ca="1">AVERAGE(OFFSET($DS$3,0,0,'Données projet'!$E$14+1,1))-AVERAGE(OFFSET($H$3,0,0,'Données projet'!$E$14+1,1))</f>
        <v>252.81045065813976</v>
      </c>
      <c r="DU87" s="59">
        <f t="shared" si="98"/>
        <v>254.36590349790589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6.1963884642827312</v>
      </c>
      <c r="EB87" s="21">
        <f>EXP(-LN(2)/25)*EB86+(1-EXP(-LN(2)/25))/(LN(2)/25)*Calculateur!DW87*Calculateur!DY87*VLOOKUP('Données projet'!$B$14,Paramètres!$A$1:$I$89,3,0)*0.475*44/12</f>
        <v>3.6082974085613633</v>
      </c>
      <c r="EC87" s="21">
        <f>EXP(-LN(2)/2)*EC86+(1-EXP(-LN(2)/2))/(LN(2)/2)*DW87*DZ87*VLOOKUP('Données projet'!$B$14,Paramètres!$A$1:$I$89,3,0)*0.475*44/12</f>
        <v>4.2776641876533723E-8</v>
      </c>
      <c r="ED87" s="22">
        <f t="shared" si="72"/>
        <v>9.8046859156207375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-2.8421709430404007E-13</v>
      </c>
      <c r="EK87" s="17">
        <f>EJ87*VLOOKUP('Données projet'!$B$15,Paramètres!$A$1:$I$89,3,0)*VLOOKUP('Données projet'!$B$15,Paramètres!$A$1:$I$89,5,0)</f>
        <v>-2.0838797354372215E-13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296.91321813251051</v>
      </c>
      <c r="EP87" s="59">
        <f t="shared" si="100"/>
        <v>291.0718079639509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4.4430552497906843</v>
      </c>
      <c r="EW87" s="21">
        <f>EXP(-LN(2)/25)*EW86+(1-EXP(-LN(2)/25))/(LN(2)/25)*Calculateur!ER87*Calculateur!ET87*VLOOKUP('Données projet'!$B$15,Paramètres!$A$1:$I$89,3,0)*0.475*44/12</f>
        <v>3.4597403742931823</v>
      </c>
      <c r="EX87" s="21">
        <f>EXP(-LN(2)/2)*EX86+(1-EXP(-LN(2)/2))/(LN(2)/2)*ER87*EU87*VLOOKUP('Données projet'!$B$15,Paramètres!$A$1:$I$89,3,0)*0.475*44/12</f>
        <v>8.1225482944465217E-8</v>
      </c>
      <c r="EY87" s="22">
        <f t="shared" si="75"/>
        <v>7.9027957053093498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6.8</v>
      </c>
      <c r="FE87" s="12">
        <f>IF('Données projet'!$A$218&gt;35,FE86+FD87-FM86,IF(A87&lt;'Données projet'!$A$218,$FB$205^A87,IF(A87='Données projet'!$A$218,'Données projet'!$B$218,FE86+FD87-FM86)))</f>
        <v>319.20000000000005</v>
      </c>
      <c r="FF87" s="17">
        <f>FE87*VLOOKUP('Données projet'!$B$16,Paramètres!$A$1:$I$89,3,0)*VLOOKUP('Données projet'!$B$16,Paramètres!$A$1:$I$89,5,0)</f>
        <v>323.66880000000009</v>
      </c>
      <c r="FG87" s="13">
        <f t="shared" si="101"/>
        <v>76.11621164769852</v>
      </c>
      <c r="FH87" s="20">
        <f t="shared" si="76"/>
        <v>696.29222861974176</v>
      </c>
      <c r="FI87" s="59">
        <f t="shared" si="77"/>
        <v>989.62556195307502</v>
      </c>
      <c r="FJ87" s="59">
        <f ca="1">AVERAGE(OFFSET($FI$3,0,0,'Données projet'!$E$16+1,1))-AVERAGE(OFFSET($H$3,0,0,'Données projet'!$E$16+1,1))</f>
        <v>356.65981389369125</v>
      </c>
      <c r="FK87" s="59">
        <f t="shared" si="102"/>
        <v>231.92898690465887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2.8110206774565811</v>
      </c>
      <c r="FR87" s="21">
        <f>EXP(-LN(2)/25)*FR86+(1-EXP(-LN(2)/25))/(LN(2)/25)*Calculateur!FM87*Calculateur!FO87*VLOOKUP('Données projet'!$B$16,Paramètres!$A$1:$I$89,3,0)*0.475*44/12</f>
        <v>2.3483212516694474</v>
      </c>
      <c r="FS87" s="21">
        <f>EXP(-LN(2)/2)*FS86+(1-EXP(-LN(2)/2))/(LN(2)/2)*FM87*FP87*VLOOKUP('Données projet'!$B$16,Paramètres!$A$1:$I$89,3,0)*0.475*44/12</f>
        <v>7.1264047857367643E-8</v>
      </c>
      <c r="FT87" s="22">
        <f t="shared" si="78"/>
        <v>5.159342000390077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6.8</v>
      </c>
      <c r="FZ87" s="12">
        <f>IF('Données projet'!$A$244&gt;35,FZ86+FY87-GH86,IF(A87&lt;'Données projet'!$A$244,$FW$205^A87,IF(A87='Données projet'!$A$244,'Données projet'!$B$244,FZ86+FY87-GH86)))</f>
        <v>319.20000000000005</v>
      </c>
      <c r="GA87" s="17">
        <f>FZ87*VLOOKUP('Données projet'!$B$17,Paramètres!$A$1:$I$89,3,0)*VLOOKUP('Données projet'!$B$17,Paramètres!$A$1:$I$89,5,0)</f>
        <v>308.73024000000004</v>
      </c>
      <c r="GB87" s="13">
        <f t="shared" si="103"/>
        <v>73.003590434710574</v>
      </c>
      <c r="GC87" s="20">
        <f t="shared" si="79"/>
        <v>664.85308800712107</v>
      </c>
      <c r="GD87" s="59">
        <f t="shared" si="80"/>
        <v>958.18642134045444</v>
      </c>
      <c r="GE87" s="59">
        <f ca="1">AVERAGE(OFFSET($GD$3,0,0,'Données projet'!$E$17+1,1))-AVERAGE(OFFSET($H$3,0,0,'Données projet'!$E$17+1,1))</f>
        <v>337.76140497227715</v>
      </c>
      <c r="GF87" s="59">
        <f t="shared" si="104"/>
        <v>219.76562717496353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2.681281261573969</v>
      </c>
      <c r="GM87" s="21">
        <f>EXP(-LN(2)/25)*GM86+(1-EXP(-LN(2)/25))/(LN(2)/25)*Calculateur!GH87*Calculateur!GJ87*VLOOKUP('Données projet'!$B$17,Paramètres!$A$1:$I$89,3,0)*0.475*44/12</f>
        <v>2.2399371939000878</v>
      </c>
      <c r="GN87" s="21">
        <f>EXP(-LN(2)/2)*GN86+(1-EXP(-LN(2)/2))/(LN(2)/2)*GH87*GK87*VLOOKUP('Données projet'!$B$17,Paramètres!$A$1:$I$89,3,0)*0.475*44/12</f>
        <v>6.7974937956258383E-8</v>
      </c>
      <c r="GO87" s="21">
        <f t="shared" si="81"/>
        <v>4.921218523448994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326</v>
      </c>
      <c r="L88" s="12">
        <f>VLOOKUP(A88,'Données projet'!$A$35:$I$55,9,0)</f>
        <v>6.8</v>
      </c>
      <c r="M88" s="12">
        <f t="array" ref="M88">INDEX(L:L,MIN(IF(ISNUMBER(L88:L284),ROW(L88:L284),"")))</f>
        <v>6.8</v>
      </c>
      <c r="N88" s="13">
        <f>IF('Données projet'!$A$36&gt;35,N87+M88-V87,IF(A88&lt;'Données projet'!$A$36,$K$205^A88,IF(A88='Données projet'!$A$36,'Données projet'!$B$36,N87+M88-V87)))</f>
        <v>326.00000000000006</v>
      </c>
      <c r="O88" s="13">
        <f>N88*VLOOKUP('Données projet'!$B$9,Paramètres!$A$1:$I$89,3,0)*VLOOKUP('Données projet'!$B$9,Paramètres!$A$1:$I$89,5,0)</f>
        <v>294.96480000000003</v>
      </c>
      <c r="P88" s="13">
        <f t="shared" si="87"/>
        <v>70.119854541045001</v>
      </c>
      <c r="Q88" s="20">
        <f t="shared" si="54"/>
        <v>635.85577332565333</v>
      </c>
      <c r="R88" s="59">
        <f t="shared" si="55"/>
        <v>929.1891066589867</v>
      </c>
      <c r="S88" s="59">
        <f ca="1">AVERAGE(OFFSET($R$3,0,0,'Données projet'!$E$9+1,1))-AVERAGE(OFFSET($H$3,0,0,'Données projet'!$E$9+1,1))</f>
        <v>312.53389584272878</v>
      </c>
      <c r="T88" s="59">
        <f t="shared" si="88"/>
        <v>203.5274665601915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28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2.4591092313607423</v>
      </c>
      <c r="AA88" s="21">
        <f>EXP(-LN(2)/25)*AA87+(1-EXP(-LN(2)/25))/(LN(2)/25)*Calculateur!V88*Calculateur!X88*VLOOKUP('Données projet'!$B$9,Paramètres!$A$1:$I$89,3,0)*0.475*44/12</f>
        <v>2.0381256068597295</v>
      </c>
      <c r="AB88" s="21">
        <f>EXP(-LN(2)/2)*AB87+(1-EXP(-LN(2)/2))/(LN(2)/2)*V88*Y88*VLOOKUP('Données projet'!$B$9,Paramètres!$A$1:$I$89,3,0)*0.475*44/12</f>
        <v>4.4964537026082216E-8</v>
      </c>
      <c r="AC88" s="22">
        <f t="shared" si="57"/>
        <v>4.4972348831850084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5.6843418860808015E-14</v>
      </c>
      <c r="AJ88" s="13">
        <f>AI88*VLOOKUP('Données projet'!$B$10,Paramètres!$A$1:$I$89,3,0)*VLOOKUP('Données projet'!$B$10,Paramètres!$A$1:$I$89,5,0)</f>
        <v>4.9658410716801891E-14</v>
      </c>
      <c r="AK88" s="13">
        <f t="shared" si="89"/>
        <v>8.0934058173791862E-13</v>
      </c>
      <c r="AL88" s="20">
        <f t="shared" si="58"/>
        <v>1.4960899118586383E-12</v>
      </c>
      <c r="AM88" s="59">
        <f t="shared" si="59"/>
        <v>293.33333333333479</v>
      </c>
      <c r="AN88" s="59">
        <f ca="1">AVERAGE(OFFSET($AM$3,0,0,'Données projet'!$E$10+1,1))-AVERAGE(OFFSET($H$3,0,0,'Données projet'!$E$10+1,1))</f>
        <v>243.05628303465238</v>
      </c>
      <c r="AO88" s="59">
        <f t="shared" si="90"/>
        <v>352.47096767658394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2.6564158615091511</v>
      </c>
      <c r="AV88" s="21">
        <f>EXP(-LN(2)/25)*AV87+(1-EXP(-LN(2)/25))/(LN(2)/25)*Calculateur!AQ88*Calculateur!AS88*VLOOKUP('Données projet'!$B$10,Paramètres!$A$1:$I$89,3,0)*0.475*44/12</f>
        <v>3.943175490728573</v>
      </c>
      <c r="AW88" s="21">
        <f>EXP(-LN(2)/2)*AW87+(1-EXP(-LN(2)/2))/(LN(2)/2)*AQ88*AT88*VLOOKUP('Données projet'!$B$10,Paramètres!$A$1:$I$89,3,0)*0.475*44/12</f>
        <v>5.9391064029957424E-8</v>
      </c>
      <c r="AX88" s="21">
        <f t="shared" si="60"/>
        <v>6.5995914116287873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-2.8421709430404007E-13</v>
      </c>
      <c r="BE88" s="13">
        <f>BD88*VLOOKUP('Données projet'!$B$11,Paramètres!$A$1:$I$89,3,0)*VLOOKUP('Données projet'!$B$11,Paramètres!$A$1:$I$89,5,0)</f>
        <v>-2.2612312022829427E-13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325.72928944930294</v>
      </c>
      <c r="BJ88" s="59">
        <f t="shared" si="92"/>
        <v>318.38876834819752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5.8258673102685261</v>
      </c>
      <c r="BQ88" s="21">
        <f>EXP(-LN(2)/25)*BQ87+(1-EXP(-LN(2)/25))/(LN(2)/25)*Calculateur!BL88*Calculateur!BN88*VLOOKUP('Données projet'!$B$11,Paramètres!$A$1:$I$89,3,0)*0.475*44/12</f>
        <v>4.5007204842577222</v>
      </c>
      <c r="BR88" s="21">
        <f>EXP(-LN(2)/2)*BR87+(1-EXP(-LN(2)/2))/(LN(2)/2)*BL88*BO88*VLOOKUP('Données projet'!$B$11,Paramètres!$A$1:$I$89,3,0)*0.475*44/12</f>
        <v>6.2323182543709728E-8</v>
      </c>
      <c r="BS88" s="22">
        <f t="shared" si="63"/>
        <v>10.32658785684943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-3.4106051316484809E-13</v>
      </c>
      <c r="BZ88" s="13">
        <f>BY88*VLOOKUP('Données projet'!$B$12,Paramètres!$A$1:$I$89,3,0)*VLOOKUP('Données projet'!$B$12,Paramètres!$A$1:$I$89,5,0)</f>
        <v>-1.9065282685915009E-13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475.54809021014017</v>
      </c>
      <c r="CE88" s="59">
        <f t="shared" si="94"/>
        <v>593.51433014569966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2.470177848769433</v>
      </c>
      <c r="CL88" s="21">
        <f>EXP(-LN(2)/25)*CL87+(1-EXP(-LN(2)/25))/(LN(2)/25)*Calculateur!CG88*Calculateur!CI88*VLOOKUP('Données projet'!$B$12,Paramètres!$A$1:$I$89,3,0)*0.475*44/12</f>
        <v>9.2740238112086359</v>
      </c>
      <c r="CM88" s="21">
        <f>EXP(-LN(2)/2)*CM87+(1-EXP(-LN(2)/2))/(LN(2)/2)*CG88*CJ88*VLOOKUP('Données projet'!$B$12,Paramètres!$A$1:$I$89,3,0)*0.475*44/12</f>
        <v>7.5958935218358213E-8</v>
      </c>
      <c r="CN88" s="22">
        <f t="shared" si="66"/>
        <v>11.744201735937004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17.5</v>
      </c>
      <c r="CT88" s="12">
        <f>IF('Données projet'!$A$140&gt;35,CT87+CS88-DB87,IF(A88&lt;'Données projet'!$A$140,$CQ$205^A88,IF(A88='Données projet'!$A$140,'Données projet'!$B$140,CT87+CS88-DB87)))</f>
        <v>500.99999999999989</v>
      </c>
      <c r="CU88" s="17">
        <f>CT88*VLOOKUP('Données projet'!$B$13,Paramètres!$A$1:$I$89,3,0)*VLOOKUP('Données projet'!$B$13,Paramètres!$A$1:$I$89,5,0)</f>
        <v>234.46799999999996</v>
      </c>
      <c r="CV88" s="13">
        <f t="shared" si="95"/>
        <v>57.247683153605394</v>
      </c>
      <c r="CW88" s="20">
        <f t="shared" si="67"/>
        <v>508.0714814925293</v>
      </c>
      <c r="CX88" s="59">
        <f t="shared" si="68"/>
        <v>801.40481482586256</v>
      </c>
      <c r="CY88" s="59">
        <f ca="1">AVERAGE(OFFSET($CX$3,0,0,'Données projet'!$E$13+1,1))-AVERAGE(OFFSET($H$3,0,0,'Données projet'!$E$13+1,1))</f>
        <v>226.0452828290525</v>
      </c>
      <c r="CZ88" s="59">
        <f t="shared" si="96"/>
        <v>179.89696397462069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3.0539037738394428</v>
      </c>
      <c r="DG88" s="21">
        <f>EXP(-LN(2)/25)*DG87+(1-EXP(-LN(2)/25))/(LN(2)/25)*Calculateur!DB88*Calculateur!DD88*VLOOKUP('Données projet'!$B$13,Paramètres!$A$1:$I$89,3,0)*0.475*44/12</f>
        <v>2.426947024033721</v>
      </c>
      <c r="DH88" s="21">
        <f>EXP(-LN(2)/2)*DH87+(1-EXP(-LN(2)/2))/(LN(2)/2)*DB88*DE88*VLOOKUP('Données projet'!$B$13,Paramètres!$A$1:$I$89,3,0)*0.475*44/12</f>
        <v>5.8179133753507044E-8</v>
      </c>
      <c r="DI88" s="22">
        <f t="shared" si="69"/>
        <v>5.4808508560522968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1.1368683772161603E-13</v>
      </c>
      <c r="DP88" s="17">
        <f>DO88*VLOOKUP('Données projet'!$B$14,Paramètres!$A$1:$I$89,3,0)*VLOOKUP('Données projet'!$B$14,Paramètres!$A$1:$I$89,5,0)</f>
        <v>6.7984728957526396E-14</v>
      </c>
      <c r="DQ88" s="13">
        <f t="shared" si="97"/>
        <v>1.0682447123141398E-12</v>
      </c>
      <c r="DR88" s="20">
        <f t="shared" si="70"/>
        <v>1.978932943548152E-12</v>
      </c>
      <c r="DS88" s="59">
        <f t="shared" si="71"/>
        <v>293.3333333333353</v>
      </c>
      <c r="DT88" s="59">
        <f ca="1">AVERAGE(OFFSET($DS$3,0,0,'Données projet'!$E$14+1,1))-AVERAGE(OFFSET($H$3,0,0,'Données projet'!$E$14+1,1))</f>
        <v>252.81045065813976</v>
      </c>
      <c r="DU88" s="59">
        <f t="shared" si="98"/>
        <v>254.36590349790589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6.0748810659219226</v>
      </c>
      <c r="EB88" s="21">
        <f>EXP(-LN(2)/25)*EB87+(1-EXP(-LN(2)/25))/(LN(2)/25)*Calculateur!DW88*Calculateur!DY88*VLOOKUP('Données projet'!$B$14,Paramètres!$A$1:$I$89,3,0)*0.475*44/12</f>
        <v>3.5096283261721388</v>
      </c>
      <c r="EC88" s="21">
        <f>EXP(-LN(2)/2)*EC87+(1-EXP(-LN(2)/2))/(LN(2)/2)*DW88*DZ88*VLOOKUP('Données projet'!$B$14,Paramètres!$A$1:$I$89,3,0)*0.475*44/12</f>
        <v>3.0247653547285437E-8</v>
      </c>
      <c r="ED88" s="22">
        <f t="shared" si="72"/>
        <v>9.5845094223417142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-2.8421709430404007E-13</v>
      </c>
      <c r="EK88" s="17">
        <f>EJ88*VLOOKUP('Données projet'!$B$15,Paramètres!$A$1:$I$89,3,0)*VLOOKUP('Données projet'!$B$15,Paramètres!$A$1:$I$89,5,0)</f>
        <v>-2.0838797354372215E-13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296.91321813251051</v>
      </c>
      <c r="EP88" s="59">
        <f t="shared" si="100"/>
        <v>291.0718079639509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4.3559296463384012</v>
      </c>
      <c r="EW88" s="21">
        <f>EXP(-LN(2)/25)*EW87+(1-EXP(-LN(2)/25))/(LN(2)/25)*Calculateur!ER88*Calculateur!ET88*VLOOKUP('Données projet'!$B$15,Paramètres!$A$1:$I$89,3,0)*0.475*44/12</f>
        <v>3.3651335918182963</v>
      </c>
      <c r="EX88" s="21">
        <f>EXP(-LN(2)/2)*EX87+(1-EXP(-LN(2)/2))/(LN(2)/2)*ER88*EU88*VLOOKUP('Données projet'!$B$15,Paramètres!$A$1:$I$89,3,0)*0.475*44/12</f>
        <v>5.7435089795183615E-8</v>
      </c>
      <c r="EY88" s="22">
        <f t="shared" si="75"/>
        <v>7.7210632955917866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>
        <f>VLOOKUP(A88,'Données projet'!$A$217:$I$237,2,0)</f>
        <v>326</v>
      </c>
      <c r="FC88" s="12">
        <f>VLOOKUP(A88,'Données projet'!$A$217:$I$237,9,0)</f>
        <v>6.8</v>
      </c>
      <c r="FD88" s="12">
        <f t="array" ref="FD88">INDEX(FC:FC,MIN(IF(ISNUMBER(FC88:FC284),ROW(FC88:FC284),"")))</f>
        <v>6.8</v>
      </c>
      <c r="FE88" s="12">
        <f>IF('Données projet'!$A$218&gt;35,FE87+FD88-FM87,IF(A88&lt;'Données projet'!$A$218,$FB$205^A88,IF(A88='Données projet'!$A$218,'Données projet'!$B$218,FE87+FD88-FM87)))</f>
        <v>326.00000000000006</v>
      </c>
      <c r="FF88" s="17">
        <f>FE88*VLOOKUP('Données projet'!$B$16,Paramètres!$A$1:$I$89,3,0)*VLOOKUP('Données projet'!$B$16,Paramètres!$A$1:$I$89,5,0)</f>
        <v>330.56400000000008</v>
      </c>
      <c r="FG88" s="13">
        <f t="shared" si="101"/>
        <v>77.547227137682853</v>
      </c>
      <c r="FH88" s="20">
        <f t="shared" si="76"/>
        <v>710.79372059813113</v>
      </c>
      <c r="FI88" s="59">
        <f t="shared" si="77"/>
        <v>1004.1270539314644</v>
      </c>
      <c r="FJ88" s="59">
        <f ca="1">AVERAGE(OFFSET($FI$3,0,0,'Données projet'!$E$16+1,1))-AVERAGE(OFFSET($H$3,0,0,'Données projet'!$E$16+1,1))</f>
        <v>356.65981389369125</v>
      </c>
      <c r="FK88" s="59">
        <f t="shared" si="102"/>
        <v>231.92898690465887</v>
      </c>
      <c r="FL88" s="15">
        <f>IF(ISNA(VLOOKUP(A88,'Données projet'!$A$217:$I$237,3,0)),0,VLOOKUP(A88,'Données projet'!$A$217:$I$237,3,0))</f>
        <v>14</v>
      </c>
      <c r="FM88" s="15">
        <f>IF(ISNA(VLOOKUP(A88,'Données projet'!$A$217:$I$237,4,0)),0,VLOOKUP(A88,'Données projet'!$A$217:$I$237,4,0))</f>
        <v>28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2.7558982765249729</v>
      </c>
      <c r="FR88" s="21">
        <f>EXP(-LN(2)/25)*FR87+(1-EXP(-LN(2)/25))/(LN(2)/25)*Calculateur!FM88*Calculateur!FO88*VLOOKUP('Données projet'!$B$16,Paramètres!$A$1:$I$89,3,0)*0.475*44/12</f>
        <v>2.2841062835496988</v>
      </c>
      <c r="FS88" s="21">
        <f>EXP(-LN(2)/2)*FS87+(1-EXP(-LN(2)/2))/(LN(2)/2)*FM88*FP88*VLOOKUP('Données projet'!$B$16,Paramètres!$A$1:$I$89,3,0)*0.475*44/12</f>
        <v>5.0391291494747313E-8</v>
      </c>
      <c r="FT88" s="22">
        <f t="shared" si="78"/>
        <v>5.0400046104659628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>
        <f>VLOOKUP(A88,'Données projet'!$A$243:$I$263,2,0)</f>
        <v>326</v>
      </c>
      <c r="FX88" s="12">
        <f>VLOOKUP(A88,'Données projet'!$A$243:$I$263,9,0)</f>
        <v>6.8</v>
      </c>
      <c r="FY88" s="12">
        <f t="array" ref="FY88">INDEX(FX:FX,MIN(IF(ISNUMBER(FX88:FX284),ROW(FX88:FX284),"")))</f>
        <v>6.8</v>
      </c>
      <c r="FZ88" s="12">
        <f>IF('Données projet'!$A$244&gt;35,FZ87+FY88-GH87,IF(A88&lt;'Données projet'!$A$244,$FW$205^A88,IF(A88='Données projet'!$A$244,'Données projet'!$B$244,FZ87+FY88-GH87)))</f>
        <v>326.00000000000006</v>
      </c>
      <c r="GA88" s="17">
        <f>FZ88*VLOOKUP('Données projet'!$B$17,Paramètres!$A$1:$I$89,3,0)*VLOOKUP('Données projet'!$B$17,Paramètres!$A$1:$I$89,5,0)</f>
        <v>315.30720000000008</v>
      </c>
      <c r="GB88" s="13">
        <f t="shared" si="103"/>
        <v>74.376087390025049</v>
      </c>
      <c r="GC88" s="20">
        <f t="shared" si="79"/>
        <v>678.69839220429378</v>
      </c>
      <c r="GD88" s="59">
        <f t="shared" si="80"/>
        <v>972.03172553762715</v>
      </c>
      <c r="GE88" s="59">
        <f ca="1">AVERAGE(OFFSET($GD$3,0,0,'Données projet'!$E$17+1,1))-AVERAGE(OFFSET($H$3,0,0,'Données projet'!$E$17+1,1))</f>
        <v>337.76140497227715</v>
      </c>
      <c r="GF88" s="59">
        <f t="shared" si="104"/>
        <v>219.76562717496353</v>
      </c>
      <c r="GG88" s="15">
        <f>IF(ISNA(VLOOKUP(A88,'Données projet'!$A$243:$I$263,3,0)),0,VLOOKUP(A88,'Données projet'!$A$243:$I$263,3,0))</f>
        <v>14</v>
      </c>
      <c r="GH88" s="15">
        <f>IF(ISNA(VLOOKUP(A88,'Données projet'!$A$243:$I$263,4,0)),0,VLOOKUP(A88,'Données projet'!$A$243:$I$263,4,0))</f>
        <v>28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2.6287029714545889</v>
      </c>
      <c r="GM88" s="21">
        <f>EXP(-LN(2)/25)*GM87+(1-EXP(-LN(2)/25))/(LN(2)/25)*Calculateur!GH88*Calculateur!GJ88*VLOOKUP('Données projet'!$B$17,Paramètres!$A$1:$I$89,3,0)*0.475*44/12</f>
        <v>2.1786859935397125</v>
      </c>
      <c r="GN88" s="21">
        <f>EXP(-LN(2)/2)*GN87+(1-EXP(-LN(2)/2))/(LN(2)/2)*GH88*GK88*VLOOKUP('Données projet'!$B$17,Paramètres!$A$1:$I$89,3,0)*0.475*44/12</f>
        <v>4.8065539579605141E-8</v>
      </c>
      <c r="GO88" s="21">
        <f t="shared" si="81"/>
        <v>4.8073890130598409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6.4</v>
      </c>
      <c r="N89" s="13">
        <f>IF('Données projet'!$A$36&gt;35,N88+M89-V88,IF(A89&lt;'Données projet'!$A$36,$K$205^A89,IF(A89='Données projet'!$A$36,'Données projet'!$B$36,N88+M89-V88)))</f>
        <v>304.40000000000003</v>
      </c>
      <c r="O89" s="13">
        <f>N89*VLOOKUP('Données projet'!$B$9,Paramètres!$A$1:$I$89,3,0)*VLOOKUP('Données projet'!$B$9,Paramètres!$A$1:$I$89,5,0)</f>
        <v>275.42112000000003</v>
      </c>
      <c r="P89" s="13">
        <f t="shared" si="87"/>
        <v>65.998433293601067</v>
      </c>
      <c r="Q89" s="20">
        <f t="shared" si="54"/>
        <v>594.63905531968851</v>
      </c>
      <c r="R89" s="59">
        <f t="shared" si="55"/>
        <v>887.97238865302188</v>
      </c>
      <c r="S89" s="59">
        <f ca="1">AVERAGE(OFFSET($R$3,0,0,'Données projet'!$E$9+1,1))-AVERAGE(OFFSET($H$3,0,0,'Données projet'!$E$9+1,1))</f>
        <v>312.53389584272878</v>
      </c>
      <c r="T89" s="59">
        <f t="shared" si="88"/>
        <v>203.5274665601915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2.4108875992422858</v>
      </c>
      <c r="AA89" s="21">
        <f>EXP(-LN(2)/25)*AA88+(1-EXP(-LN(2)/25))/(LN(2)/25)*Calculateur!V89*Calculateur!X89*VLOOKUP('Données projet'!$B$9,Paramètres!$A$1:$I$89,3,0)*0.475*44/12</f>
        <v>1.9823929549597827</v>
      </c>
      <c r="AB89" s="21">
        <f>EXP(-LN(2)/2)*AB88+(1-EXP(-LN(2)/2))/(LN(2)/2)*V89*Y89*VLOOKUP('Données projet'!$B$9,Paramètres!$A$1:$I$89,3,0)*0.475*44/12</f>
        <v>3.1794729044056332E-8</v>
      </c>
      <c r="AC89" s="22">
        <f t="shared" si="57"/>
        <v>4.3932805859967967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5.6843418860808015E-14</v>
      </c>
      <c r="AJ89" s="13">
        <f>AI89*VLOOKUP('Données projet'!$B$10,Paramètres!$A$1:$I$89,3,0)*VLOOKUP('Données projet'!$B$10,Paramètres!$A$1:$I$89,5,0)</f>
        <v>4.9658410716801891E-14</v>
      </c>
      <c r="AK89" s="13">
        <f t="shared" si="89"/>
        <v>8.0934058173791862E-13</v>
      </c>
      <c r="AL89" s="20">
        <f t="shared" si="58"/>
        <v>1.4960899118586383E-12</v>
      </c>
      <c r="AM89" s="59">
        <f t="shared" si="59"/>
        <v>293.33333333333479</v>
      </c>
      <c r="AN89" s="59">
        <f ca="1">AVERAGE(OFFSET($AM$3,0,0,'Données projet'!$E$10+1,1))-AVERAGE(OFFSET($H$3,0,0,'Données projet'!$E$10+1,1))</f>
        <v>243.05628303465238</v>
      </c>
      <c r="AO89" s="59">
        <f t="shared" si="90"/>
        <v>352.47096767658394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2.6043251667186453</v>
      </c>
      <c r="AV89" s="21">
        <f>EXP(-LN(2)/25)*AV88+(1-EXP(-LN(2)/25))/(LN(2)/25)*Calculateur!AQ89*Calculateur!AS89*VLOOKUP('Données projet'!$B$10,Paramètres!$A$1:$I$89,3,0)*0.475*44/12</f>
        <v>3.8353491495720133</v>
      </c>
      <c r="AW89" s="21">
        <f>EXP(-LN(2)/2)*AW88+(1-EXP(-LN(2)/2))/(LN(2)/2)*AQ89*AT89*VLOOKUP('Données projet'!$B$10,Paramètres!$A$1:$I$89,3,0)*0.475*44/12</f>
        <v>4.1995824117467341E-8</v>
      </c>
      <c r="AX89" s="21">
        <f t="shared" si="60"/>
        <v>6.4396743582864824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-2.8421709430404007E-13</v>
      </c>
      <c r="BE89" s="13">
        <f>BD89*VLOOKUP('Données projet'!$B$11,Paramètres!$A$1:$I$89,3,0)*VLOOKUP('Données projet'!$B$11,Paramètres!$A$1:$I$89,5,0)</f>
        <v>-2.2612312022829427E-13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325.72928944930294</v>
      </c>
      <c r="BJ89" s="59">
        <f t="shared" si="92"/>
        <v>318.38876834819752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5.7116256057423476</v>
      </c>
      <c r="BQ89" s="21">
        <f>EXP(-LN(2)/25)*BQ88+(1-EXP(-LN(2)/25))/(LN(2)/25)*Calculateur!BL89*Calculateur!BN89*VLOOKUP('Données projet'!$B$11,Paramètres!$A$1:$I$89,3,0)*0.475*44/12</f>
        <v>4.3776480459330909</v>
      </c>
      <c r="BR89" s="21">
        <f>EXP(-LN(2)/2)*BR88+(1-EXP(-LN(2)/2))/(LN(2)/2)*BL89*BO89*VLOOKUP('Données projet'!$B$11,Paramètres!$A$1:$I$89,3,0)*0.475*44/12</f>
        <v>4.4069145001784214E-8</v>
      </c>
      <c r="BS89" s="22">
        <f t="shared" si="63"/>
        <v>10.089273695744582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-3.4106051316484809E-13</v>
      </c>
      <c r="BZ89" s="13">
        <f>BY89*VLOOKUP('Données projet'!$B$12,Paramètres!$A$1:$I$89,3,0)*VLOOKUP('Données projet'!$B$12,Paramètres!$A$1:$I$89,5,0)</f>
        <v>-1.9065282685915009E-13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475.54809021014017</v>
      </c>
      <c r="CE89" s="59">
        <f t="shared" si="94"/>
        <v>593.51433014569966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2.4217391678147817</v>
      </c>
      <c r="CL89" s="21">
        <f>EXP(-LN(2)/25)*CL88+(1-EXP(-LN(2)/25))/(LN(2)/25)*Calculateur!CG89*Calculateur!CI89*VLOOKUP('Données projet'!$B$12,Paramètres!$A$1:$I$89,3,0)*0.475*44/12</f>
        <v>9.020425142391419</v>
      </c>
      <c r="CM89" s="21">
        <f>EXP(-LN(2)/2)*CM88+(1-EXP(-LN(2)/2))/(LN(2)/2)*CG89*CJ89*VLOOKUP('Données projet'!$B$12,Paramètres!$A$1:$I$89,3,0)*0.475*44/12</f>
        <v>5.371107818461076E-8</v>
      </c>
      <c r="CN89" s="22">
        <f t="shared" si="66"/>
        <v>11.442164363917279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17.5</v>
      </c>
      <c r="CT89" s="12">
        <f>IF('Données projet'!$A$140&gt;35,CT88+CS89-DB88,IF(A89&lt;'Données projet'!$A$140,$CQ$205^A89,IF(A89='Données projet'!$A$140,'Données projet'!$B$140,CT88+CS89-DB88)))</f>
        <v>518.49999999999989</v>
      </c>
      <c r="CU89" s="17">
        <f>CT89*VLOOKUP('Données projet'!$B$13,Paramètres!$A$1:$I$89,3,0)*VLOOKUP('Données projet'!$B$13,Paramètres!$A$1:$I$89,5,0)</f>
        <v>242.65799999999993</v>
      </c>
      <c r="CV89" s="13">
        <f t="shared" si="95"/>
        <v>59.011045025839607</v>
      </c>
      <c r="CW89" s="20">
        <f t="shared" si="67"/>
        <v>525.40692008667054</v>
      </c>
      <c r="CX89" s="59">
        <f t="shared" si="68"/>
        <v>818.74025342000391</v>
      </c>
      <c r="CY89" s="59">
        <f ca="1">AVERAGE(OFFSET($CX$3,0,0,'Données projet'!$E$13+1,1))-AVERAGE(OFFSET($H$3,0,0,'Données projet'!$E$13+1,1))</f>
        <v>226.0452828290525</v>
      </c>
      <c r="CZ89" s="59">
        <f t="shared" si="96"/>
        <v>179.89696397462069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2.9940185835318274</v>
      </c>
      <c r="DG89" s="21">
        <f>EXP(-LN(2)/25)*DG88+(1-EXP(-LN(2)/25))/(LN(2)/25)*Calculateur!DB89*Calculateur!DD89*VLOOKUP('Données projet'!$B$13,Paramètres!$A$1:$I$89,3,0)*0.475*44/12</f>
        <v>2.3605820300339215</v>
      </c>
      <c r="DH89" s="21">
        <f>EXP(-LN(2)/2)*DH88+(1-EXP(-LN(2)/2))/(LN(2)/2)*DB89*DE89*VLOOKUP('Données projet'!$B$13,Paramètres!$A$1:$I$89,3,0)*0.475*44/12</f>
        <v>4.1138860000663991E-8</v>
      </c>
      <c r="DI89" s="22">
        <f t="shared" si="69"/>
        <v>5.3546006547046092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1.1368683772161603E-13</v>
      </c>
      <c r="DP89" s="17">
        <f>DO89*VLOOKUP('Données projet'!$B$14,Paramètres!$A$1:$I$89,3,0)*VLOOKUP('Données projet'!$B$14,Paramètres!$A$1:$I$89,5,0)</f>
        <v>6.7984728957526396E-14</v>
      </c>
      <c r="DQ89" s="13">
        <f t="shared" si="97"/>
        <v>1.0682447123141398E-12</v>
      </c>
      <c r="DR89" s="20">
        <f t="shared" si="70"/>
        <v>1.978932943548152E-12</v>
      </c>
      <c r="DS89" s="59">
        <f t="shared" si="71"/>
        <v>293.3333333333353</v>
      </c>
      <c r="DT89" s="59">
        <f ca="1">AVERAGE(OFFSET($DS$3,0,0,'Données projet'!$E$14+1,1))-AVERAGE(OFFSET($H$3,0,0,'Données projet'!$E$14+1,1))</f>
        <v>252.81045065813976</v>
      </c>
      <c r="DU89" s="59">
        <f t="shared" si="98"/>
        <v>254.36590349790589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5.9557563535307745</v>
      </c>
      <c r="EB89" s="21">
        <f>EXP(-LN(2)/25)*EB88+(1-EXP(-LN(2)/25))/(LN(2)/25)*Calculateur!DW89*Calculateur!DY89*VLOOKUP('Données projet'!$B$14,Paramètres!$A$1:$I$89,3,0)*0.475*44/12</f>
        <v>3.4136573550296294</v>
      </c>
      <c r="EC89" s="21">
        <f>EXP(-LN(2)/2)*EC88+(1-EXP(-LN(2)/2))/(LN(2)/2)*DW89*DZ89*VLOOKUP('Données projet'!$B$14,Paramètres!$A$1:$I$89,3,0)*0.475*44/12</f>
        <v>2.1388320938266861E-8</v>
      </c>
      <c r="ED89" s="22">
        <f t="shared" si="72"/>
        <v>9.3694137299487252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-2.8421709430404007E-13</v>
      </c>
      <c r="EK89" s="17">
        <f>EJ89*VLOOKUP('Données projet'!$B$15,Paramètres!$A$1:$I$89,3,0)*VLOOKUP('Données projet'!$B$15,Paramètres!$A$1:$I$89,5,0)</f>
        <v>-2.0838797354372215E-13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296.91321813251051</v>
      </c>
      <c r="EP89" s="59">
        <f t="shared" si="100"/>
        <v>291.0718079639509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4.2705125228284464</v>
      </c>
      <c r="EW89" s="21">
        <f>EXP(-LN(2)/25)*EW88+(1-EXP(-LN(2)/25))/(LN(2)/25)*Calculateur!ER89*Calculateur!ET89*VLOOKUP('Données projet'!$B$15,Paramètres!$A$1:$I$89,3,0)*0.475*44/12</f>
        <v>3.2731138367853405</v>
      </c>
      <c r="EX89" s="21">
        <f>EXP(-LN(2)/2)*EX88+(1-EXP(-LN(2)/2))/(LN(2)/2)*ER89*EU89*VLOOKUP('Données projet'!$B$15,Paramètres!$A$1:$I$89,3,0)*0.475*44/12</f>
        <v>4.0612741472232609E-8</v>
      </c>
      <c r="EY89" s="22">
        <f t="shared" si="75"/>
        <v>7.543626400226529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6.4</v>
      </c>
      <c r="FE89" s="12">
        <f>IF('Données projet'!$A$218&gt;35,FE88+FD89-FM88,IF(A89&lt;'Données projet'!$A$218,$FB$205^A89,IF(A89='Données projet'!$A$218,'Données projet'!$B$218,FE88+FD89-FM88)))</f>
        <v>304.40000000000003</v>
      </c>
      <c r="FF89" s="17">
        <f>FE89*VLOOKUP('Données projet'!$B$16,Paramètres!$A$1:$I$89,3,0)*VLOOKUP('Données projet'!$B$16,Paramètres!$A$1:$I$89,5,0)</f>
        <v>308.66160000000008</v>
      </c>
      <c r="FG89" s="13">
        <f t="shared" si="101"/>
        <v>72.98924863505313</v>
      </c>
      <c r="FH89" s="20">
        <f t="shared" si="76"/>
        <v>664.70856137271755</v>
      </c>
      <c r="FI89" s="59">
        <f t="shared" si="77"/>
        <v>958.04189470605093</v>
      </c>
      <c r="FJ89" s="59">
        <f ca="1">AVERAGE(OFFSET($FI$3,0,0,'Données projet'!$E$16+1,1))-AVERAGE(OFFSET($H$3,0,0,'Données projet'!$E$16+1,1))</f>
        <v>356.65981389369125</v>
      </c>
      <c r="FK89" s="59">
        <f t="shared" si="102"/>
        <v>231.92898690465887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2.7018567922542887</v>
      </c>
      <c r="FR89" s="21">
        <f>EXP(-LN(2)/25)*FR88+(1-EXP(-LN(2)/25))/(LN(2)/25)*Calculateur!FM89*Calculateur!FO89*VLOOKUP('Données projet'!$B$16,Paramètres!$A$1:$I$89,3,0)*0.475*44/12</f>
        <v>2.2216472771101032</v>
      </c>
      <c r="FS89" s="21">
        <f>EXP(-LN(2)/2)*FS88+(1-EXP(-LN(2)/2))/(LN(2)/2)*FM89*FP89*VLOOKUP('Données projet'!$B$16,Paramètres!$A$1:$I$89,3,0)*0.475*44/12</f>
        <v>3.5632023928683822E-8</v>
      </c>
      <c r="FT89" s="22">
        <f t="shared" si="78"/>
        <v>4.9235041049964154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6.4</v>
      </c>
      <c r="FZ89" s="12">
        <f>IF('Données projet'!$A$244&gt;35,FZ88+FY89-GH88,IF(A89&lt;'Données projet'!$A$244,$FW$205^A89,IF(A89='Données projet'!$A$244,'Données projet'!$B$244,FZ88+FY89-GH88)))</f>
        <v>304.40000000000003</v>
      </c>
      <c r="GA89" s="17">
        <f>FZ89*VLOOKUP('Données projet'!$B$17,Paramètres!$A$1:$I$89,3,0)*VLOOKUP('Données projet'!$B$17,Paramètres!$A$1:$I$89,5,0)</f>
        <v>294.41568000000001</v>
      </c>
      <c r="GB89" s="13">
        <f t="shared" si="103"/>
        <v>70.004498360393455</v>
      </c>
      <c r="GC89" s="20">
        <f t="shared" si="79"/>
        <v>634.69847731101868</v>
      </c>
      <c r="GD89" s="59">
        <f t="shared" si="80"/>
        <v>928.03181064435194</v>
      </c>
      <c r="GE89" s="59">
        <f ca="1">AVERAGE(OFFSET($GD$3,0,0,'Données projet'!$E$17+1,1))-AVERAGE(OFFSET($H$3,0,0,'Données projet'!$E$17+1,1))</f>
        <v>337.76140497227715</v>
      </c>
      <c r="GF89" s="59">
        <f t="shared" si="104"/>
        <v>219.76562717496353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2.5771557095348592</v>
      </c>
      <c r="GM89" s="21">
        <f>EXP(-LN(2)/25)*GM88+(1-EXP(-LN(2)/25))/(LN(2)/25)*Calculateur!GH89*Calculateur!GJ89*VLOOKUP('Données projet'!$B$17,Paramètres!$A$1:$I$89,3,0)*0.475*44/12</f>
        <v>2.1191097104742522</v>
      </c>
      <c r="GN89" s="21">
        <f>EXP(-LN(2)/2)*GN88+(1-EXP(-LN(2)/2))/(LN(2)/2)*GH89*GK89*VLOOKUP('Données projet'!$B$17,Paramètres!$A$1:$I$89,3,0)*0.475*44/12</f>
        <v>3.3987468978129192E-8</v>
      </c>
      <c r="GO89" s="21">
        <f t="shared" si="81"/>
        <v>4.6962654539965802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6.4</v>
      </c>
      <c r="N90" s="13">
        <f>IF('Données projet'!$A$36&gt;35,N89+M90-V89,IF(A90&lt;'Données projet'!$A$36,$K$205^A90,IF(A90='Données projet'!$A$36,'Données projet'!$B$36,N89+M90-V89)))</f>
        <v>310.8</v>
      </c>
      <c r="O90" s="13">
        <f>N90*VLOOKUP('Données projet'!$B$9,Paramètres!$A$1:$I$89,3,0)*VLOOKUP('Données projet'!$B$9,Paramètres!$A$1:$I$89,5,0)</f>
        <v>281.21184</v>
      </c>
      <c r="P90" s="13">
        <f t="shared" si="87"/>
        <v>67.22304110496664</v>
      </c>
      <c r="Q90" s="20">
        <f t="shared" si="54"/>
        <v>606.85741792448357</v>
      </c>
      <c r="R90" s="59">
        <f t="shared" si="55"/>
        <v>900.19075125781683</v>
      </c>
      <c r="S90" s="59">
        <f ca="1">AVERAGE(OFFSET($R$3,0,0,'Données projet'!$E$9+1,1))-AVERAGE(OFFSET($H$3,0,0,'Données projet'!$E$9+1,1))</f>
        <v>312.53389584272878</v>
      </c>
      <c r="T90" s="59">
        <f t="shared" si="88"/>
        <v>203.5274665601915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2.3636115639173805</v>
      </c>
      <c r="AA90" s="21">
        <f>EXP(-LN(2)/25)*AA89+(1-EXP(-LN(2)/25))/(LN(2)/25)*Calculateur!V90*Calculateur!X90*VLOOKUP('Données projet'!$B$9,Paramètres!$A$1:$I$89,3,0)*0.475*44/12</f>
        <v>1.9281843153568927</v>
      </c>
      <c r="AB90" s="21">
        <f>EXP(-LN(2)/2)*AB89+(1-EXP(-LN(2)/2))/(LN(2)/2)*V90*Y90*VLOOKUP('Données projet'!$B$9,Paramètres!$A$1:$I$89,3,0)*0.475*44/12</f>
        <v>2.2482268513041108E-8</v>
      </c>
      <c r="AC90" s="22">
        <f t="shared" si="57"/>
        <v>4.2917959017565419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5.6843418860808015E-14</v>
      </c>
      <c r="AJ90" s="13">
        <f>AI90*VLOOKUP('Données projet'!$B$10,Paramètres!$A$1:$I$89,3,0)*VLOOKUP('Données projet'!$B$10,Paramètres!$A$1:$I$89,5,0)</f>
        <v>4.9658410716801891E-14</v>
      </c>
      <c r="AK90" s="13">
        <f t="shared" si="89"/>
        <v>8.0934058173791862E-13</v>
      </c>
      <c r="AL90" s="20">
        <f t="shared" si="58"/>
        <v>1.4960899118586383E-12</v>
      </c>
      <c r="AM90" s="59">
        <f t="shared" si="59"/>
        <v>293.33333333333479</v>
      </c>
      <c r="AN90" s="59">
        <f ca="1">AVERAGE(OFFSET($AM$3,0,0,'Données projet'!$E$10+1,1))-AVERAGE(OFFSET($H$3,0,0,'Données projet'!$E$10+1,1))</f>
        <v>243.05628303465238</v>
      </c>
      <c r="AO90" s="59">
        <f t="shared" si="90"/>
        <v>352.47096767658394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2.5532559386807949</v>
      </c>
      <c r="AV90" s="21">
        <f>EXP(-LN(2)/25)*AV89+(1-EXP(-LN(2)/25))/(LN(2)/25)*Calculateur!AQ90*Calculateur!AS90*VLOOKUP('Données projet'!$B$10,Paramètres!$A$1:$I$89,3,0)*0.475*44/12</f>
        <v>3.7304713253847206</v>
      </c>
      <c r="AW90" s="21">
        <f>EXP(-LN(2)/2)*AW89+(1-EXP(-LN(2)/2))/(LN(2)/2)*AQ90*AT90*VLOOKUP('Données projet'!$B$10,Paramètres!$A$1:$I$89,3,0)*0.475*44/12</f>
        <v>2.9695532014978715E-8</v>
      </c>
      <c r="AX90" s="21">
        <f t="shared" si="60"/>
        <v>6.2837272937610473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-2.8421709430404007E-13</v>
      </c>
      <c r="BE90" s="13">
        <f>BD90*VLOOKUP('Données projet'!$B$11,Paramètres!$A$1:$I$89,3,0)*VLOOKUP('Données projet'!$B$11,Paramètres!$A$1:$I$89,5,0)</f>
        <v>-2.2612312022829427E-13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325.72928944930294</v>
      </c>
      <c r="BJ90" s="59">
        <f t="shared" si="92"/>
        <v>318.38876834819752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5.5996241113613685</v>
      </c>
      <c r="BQ90" s="21">
        <f>EXP(-LN(2)/25)*BQ89+(1-EXP(-LN(2)/25))/(LN(2)/25)*Calculateur!BL90*Calculateur!BN90*VLOOKUP('Données projet'!$B$11,Paramètres!$A$1:$I$89,3,0)*0.475*44/12</f>
        <v>4.2579410299065454</v>
      </c>
      <c r="BR90" s="21">
        <f>EXP(-LN(2)/2)*BR89+(1-EXP(-LN(2)/2))/(LN(2)/2)*BL90*BO90*VLOOKUP('Données projet'!$B$11,Paramètres!$A$1:$I$89,3,0)*0.475*44/12</f>
        <v>3.1161591271854864E-8</v>
      </c>
      <c r="BS90" s="22">
        <f t="shared" si="63"/>
        <v>9.8575651724295046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-3.4106051316484809E-13</v>
      </c>
      <c r="BZ90" s="13">
        <f>BY90*VLOOKUP('Données projet'!$B$12,Paramètres!$A$1:$I$89,3,0)*VLOOKUP('Données projet'!$B$12,Paramètres!$A$1:$I$89,5,0)</f>
        <v>-1.9065282685915009E-13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475.54809021014017</v>
      </c>
      <c r="CE90" s="59">
        <f t="shared" si="94"/>
        <v>593.51433014569966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2.3742503398489734</v>
      </c>
      <c r="CL90" s="21">
        <f>EXP(-LN(2)/25)*CL89+(1-EXP(-LN(2)/25))/(LN(2)/25)*Calculateur!CG90*Calculateur!CI90*VLOOKUP('Données projet'!$B$12,Paramètres!$A$1:$I$89,3,0)*0.475*44/12</f>
        <v>8.7737611425091835</v>
      </c>
      <c r="CM90" s="21">
        <f>EXP(-LN(2)/2)*CM89+(1-EXP(-LN(2)/2))/(LN(2)/2)*CG90*CJ90*VLOOKUP('Données projet'!$B$12,Paramètres!$A$1:$I$89,3,0)*0.475*44/12</f>
        <v>3.7979467609179106E-8</v>
      </c>
      <c r="CN90" s="22">
        <f t="shared" si="66"/>
        <v>11.148011520337626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17.5</v>
      </c>
      <c r="CT90" s="12">
        <f>IF('Données projet'!$A$140&gt;35,CT89+CS90-DB89,IF(A90&lt;'Données projet'!$A$140,$CQ$205^A90,IF(A90='Données projet'!$A$140,'Données projet'!$B$140,CT89+CS90-DB89)))</f>
        <v>535.99999999999989</v>
      </c>
      <c r="CU90" s="17">
        <f>CT90*VLOOKUP('Données projet'!$B$13,Paramètres!$A$1:$I$89,3,0)*VLOOKUP('Données projet'!$B$13,Paramètres!$A$1:$I$89,5,0)</f>
        <v>250.84799999999996</v>
      </c>
      <c r="CV90" s="13">
        <f t="shared" si="95"/>
        <v>60.767491486783541</v>
      </c>
      <c r="CW90" s="20">
        <f t="shared" si="67"/>
        <v>542.7303143394812</v>
      </c>
      <c r="CX90" s="59">
        <f t="shared" si="68"/>
        <v>836.06364767281457</v>
      </c>
      <c r="CY90" s="59">
        <f ca="1">AVERAGE(OFFSET($CX$3,0,0,'Données projet'!$E$13+1,1))-AVERAGE(OFFSET($H$3,0,0,'Données projet'!$E$13+1,1))</f>
        <v>226.0452828290525</v>
      </c>
      <c r="CZ90" s="59">
        <f t="shared" si="96"/>
        <v>179.89696397462069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2.9353077052797847</v>
      </c>
      <c r="DG90" s="21">
        <f>EXP(-LN(2)/25)*DG89+(1-EXP(-LN(2)/25))/(LN(2)/25)*Calculateur!DB90*Calculateur!DD90*VLOOKUP('Données projet'!$B$13,Paramètres!$A$1:$I$89,3,0)*0.475*44/12</f>
        <v>2.29603179028503</v>
      </c>
      <c r="DH90" s="21">
        <f>EXP(-LN(2)/2)*DH89+(1-EXP(-LN(2)/2))/(LN(2)/2)*DB90*DE90*VLOOKUP('Données projet'!$B$13,Paramètres!$A$1:$I$89,3,0)*0.475*44/12</f>
        <v>2.9089566876753529E-8</v>
      </c>
      <c r="DI90" s="22">
        <f t="shared" si="69"/>
        <v>5.2313395246543815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1.1368683772161603E-13</v>
      </c>
      <c r="DP90" s="17">
        <f>DO90*VLOOKUP('Données projet'!$B$14,Paramètres!$A$1:$I$89,3,0)*VLOOKUP('Données projet'!$B$14,Paramètres!$A$1:$I$89,5,0)</f>
        <v>6.7984728957526396E-14</v>
      </c>
      <c r="DQ90" s="13">
        <f t="shared" si="97"/>
        <v>1.0682447123141398E-12</v>
      </c>
      <c r="DR90" s="20">
        <f t="shared" si="70"/>
        <v>1.978932943548152E-12</v>
      </c>
      <c r="DS90" s="59">
        <f t="shared" si="71"/>
        <v>293.3333333333353</v>
      </c>
      <c r="DT90" s="59">
        <f ca="1">AVERAGE(OFFSET($DS$3,0,0,'Données projet'!$E$14+1,1))-AVERAGE(OFFSET($H$3,0,0,'Données projet'!$E$14+1,1))</f>
        <v>252.81045065813976</v>
      </c>
      <c r="DU90" s="59">
        <f t="shared" si="98"/>
        <v>254.36590349790589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5.8389676040907172</v>
      </c>
      <c r="EB90" s="21">
        <f>EXP(-LN(2)/25)*EB89+(1-EXP(-LN(2)/25))/(LN(2)/25)*Calculateur!DW90*Calculateur!DY90*VLOOKUP('Données projet'!$B$14,Paramètres!$A$1:$I$89,3,0)*0.475*44/12</f>
        <v>3.3203107151399061</v>
      </c>
      <c r="EC90" s="21">
        <f>EXP(-LN(2)/2)*EC89+(1-EXP(-LN(2)/2))/(LN(2)/2)*DW90*DZ90*VLOOKUP('Données projet'!$B$14,Paramètres!$A$1:$I$89,3,0)*0.475*44/12</f>
        <v>1.5123826773642718E-8</v>
      </c>
      <c r="ED90" s="22">
        <f t="shared" si="72"/>
        <v>9.1592783343544504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-2.8421709430404007E-13</v>
      </c>
      <c r="EK90" s="17">
        <f>EJ90*VLOOKUP('Données projet'!$B$15,Paramètres!$A$1:$I$89,3,0)*VLOOKUP('Données projet'!$B$15,Paramètres!$A$1:$I$89,5,0)</f>
        <v>-2.0838797354372215E-13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296.91321813251051</v>
      </c>
      <c r="EP90" s="59">
        <f t="shared" si="100"/>
        <v>291.0718079639509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4.1867703770112215</v>
      </c>
      <c r="EW90" s="21">
        <f>EXP(-LN(2)/25)*EW89+(1-EXP(-LN(2)/25))/(LN(2)/25)*Calculateur!ER90*Calculateur!ET90*VLOOKUP('Données projet'!$B$15,Paramètres!$A$1:$I$89,3,0)*0.475*44/12</f>
        <v>3.1836103667928697</v>
      </c>
      <c r="EX90" s="21">
        <f>EXP(-LN(2)/2)*EX89+(1-EXP(-LN(2)/2))/(LN(2)/2)*ER90*EU90*VLOOKUP('Données projet'!$B$15,Paramètres!$A$1:$I$89,3,0)*0.475*44/12</f>
        <v>2.8717544897591808E-8</v>
      </c>
      <c r="EY90" s="22">
        <f t="shared" si="75"/>
        <v>7.3703807725216359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6.4</v>
      </c>
      <c r="FE90" s="12">
        <f>IF('Données projet'!$A$218&gt;35,FE89+FD90-FM89,IF(A90&lt;'Données projet'!$A$218,$FB$205^A90,IF(A90='Données projet'!$A$218,'Données projet'!$B$218,FE89+FD90-FM89)))</f>
        <v>310.8</v>
      </c>
      <c r="FF90" s="17">
        <f>FE90*VLOOKUP('Données projet'!$B$16,Paramètres!$A$1:$I$89,3,0)*VLOOKUP('Données projet'!$B$16,Paramètres!$A$1:$I$89,5,0)</f>
        <v>315.15120000000002</v>
      </c>
      <c r="FG90" s="13">
        <f t="shared" si="101"/>
        <v>74.343571754005879</v>
      </c>
      <c r="FH90" s="20">
        <f t="shared" si="76"/>
        <v>678.37006080489357</v>
      </c>
      <c r="FI90" s="59">
        <f t="shared" si="77"/>
        <v>971.70339413822694</v>
      </c>
      <c r="FJ90" s="59">
        <f ca="1">AVERAGE(OFFSET($FI$3,0,0,'Données projet'!$E$16+1,1))-AVERAGE(OFFSET($H$3,0,0,'Données projet'!$E$16+1,1))</f>
        <v>356.65981389369125</v>
      </c>
      <c r="FK90" s="59">
        <f t="shared" si="102"/>
        <v>231.92898690465887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2.648875028528102</v>
      </c>
      <c r="FR90" s="21">
        <f>EXP(-LN(2)/25)*FR89+(1-EXP(-LN(2)/25))/(LN(2)/25)*Calculateur!FM90*Calculateur!FO90*VLOOKUP('Données projet'!$B$16,Paramètres!$A$1:$I$89,3,0)*0.475*44/12</f>
        <v>2.1608962154861748</v>
      </c>
      <c r="FS90" s="21">
        <f>EXP(-LN(2)/2)*FS89+(1-EXP(-LN(2)/2))/(LN(2)/2)*FM90*FP90*VLOOKUP('Données projet'!$B$16,Paramètres!$A$1:$I$89,3,0)*0.475*44/12</f>
        <v>2.5195645747373657E-8</v>
      </c>
      <c r="FT90" s="22">
        <f t="shared" si="78"/>
        <v>4.8097712692099224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6.4</v>
      </c>
      <c r="FZ90" s="12">
        <f>IF('Données projet'!$A$244&gt;35,FZ89+FY90-GH89,IF(A90&lt;'Données projet'!$A$244,$FW$205^A90,IF(A90='Données projet'!$A$244,'Données projet'!$B$244,FZ89+FY90-GH89)))</f>
        <v>310.8</v>
      </c>
      <c r="GA90" s="17">
        <f>FZ90*VLOOKUP('Données projet'!$B$17,Paramètres!$A$1:$I$89,3,0)*VLOOKUP('Données projet'!$B$17,Paramètres!$A$1:$I$89,5,0)</f>
        <v>300.60576000000003</v>
      </c>
      <c r="GB90" s="13">
        <f t="shared" si="103"/>
        <v>71.303439126782422</v>
      </c>
      <c r="GC90" s="20">
        <f t="shared" si="79"/>
        <v>647.74185514581279</v>
      </c>
      <c r="GD90" s="59">
        <f t="shared" si="80"/>
        <v>941.07518847914616</v>
      </c>
      <c r="GE90" s="59">
        <f ca="1">AVERAGE(OFFSET($GD$3,0,0,'Données projet'!$E$17+1,1))-AVERAGE(OFFSET($H$3,0,0,'Données projet'!$E$17+1,1))</f>
        <v>337.76140497227715</v>
      </c>
      <c r="GF90" s="59">
        <f t="shared" si="104"/>
        <v>219.76562717496353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2.5266192579806503</v>
      </c>
      <c r="GM90" s="21">
        <f>EXP(-LN(2)/25)*GM89+(1-EXP(-LN(2)/25))/(LN(2)/25)*Calculateur!GH90*Calculateur!GJ90*VLOOKUP('Données projet'!$B$17,Paramètres!$A$1:$I$89,3,0)*0.475*44/12</f>
        <v>2.0611625440021974</v>
      </c>
      <c r="GN90" s="21">
        <f>EXP(-LN(2)/2)*GN89+(1-EXP(-LN(2)/2))/(LN(2)/2)*GH90*GK90*VLOOKUP('Données projet'!$B$17,Paramètres!$A$1:$I$89,3,0)*0.475*44/12</f>
        <v>2.4032769789802571E-8</v>
      </c>
      <c r="GO90" s="21">
        <f t="shared" si="81"/>
        <v>4.5877818260156173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6.4</v>
      </c>
      <c r="N91" s="13">
        <f>IF('Données projet'!$A$36&gt;35,N90+M91-V90,IF(A91&lt;'Données projet'!$A$36,$K$205^A91,IF(A91='Données projet'!$A$36,'Données projet'!$B$36,N90+M91-V90)))</f>
        <v>317.2</v>
      </c>
      <c r="O91" s="13">
        <f>N91*VLOOKUP('Données projet'!$B$9,Paramètres!$A$1:$I$89,3,0)*VLOOKUP('Données projet'!$B$9,Paramètres!$A$1:$I$89,5,0)</f>
        <v>287.00255999999996</v>
      </c>
      <c r="P91" s="13">
        <f t="shared" si="87"/>
        <v>68.444716936118553</v>
      </c>
      <c r="Q91" s="20">
        <f t="shared" si="54"/>
        <v>619.07067399707296</v>
      </c>
      <c r="R91" s="59">
        <f t="shared" si="55"/>
        <v>912.40400733040633</v>
      </c>
      <c r="S91" s="59">
        <f ca="1">AVERAGE(OFFSET($R$3,0,0,'Données projet'!$E$9+1,1))-AVERAGE(OFFSET($H$3,0,0,'Données projet'!$E$9+1,1))</f>
        <v>312.53389584272878</v>
      </c>
      <c r="T91" s="59">
        <f t="shared" si="88"/>
        <v>203.5274665601915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2.3172625828096627</v>
      </c>
      <c r="AA91" s="21">
        <f>EXP(-LN(2)/25)*AA90+(1-EXP(-LN(2)/25))/(LN(2)/25)*Calculateur!V91*Calculateur!X91*VLOOKUP('Données projet'!$B$9,Paramètres!$A$1:$I$89,3,0)*0.475*44/12</f>
        <v>1.8754580138546522</v>
      </c>
      <c r="AB91" s="21">
        <f>EXP(-LN(2)/2)*AB90+(1-EXP(-LN(2)/2))/(LN(2)/2)*V91*Y91*VLOOKUP('Données projet'!$B$9,Paramètres!$A$1:$I$89,3,0)*0.475*44/12</f>
        <v>1.5897364522028166E-8</v>
      </c>
      <c r="AC91" s="22">
        <f t="shared" si="57"/>
        <v>4.1927206125616792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5.6843418860808015E-14</v>
      </c>
      <c r="AJ91" s="13">
        <f>AI91*VLOOKUP('Données projet'!$B$10,Paramètres!$A$1:$I$89,3,0)*VLOOKUP('Données projet'!$B$10,Paramètres!$A$1:$I$89,5,0)</f>
        <v>4.9658410716801891E-14</v>
      </c>
      <c r="AK91" s="13">
        <f t="shared" si="89"/>
        <v>8.0934058173791862E-13</v>
      </c>
      <c r="AL91" s="20">
        <f t="shared" si="58"/>
        <v>1.4960899118586383E-12</v>
      </c>
      <c r="AM91" s="59">
        <f t="shared" si="59"/>
        <v>293.33333333333479</v>
      </c>
      <c r="AN91" s="59">
        <f ca="1">AVERAGE(OFFSET($AM$3,0,0,'Données projet'!$E$10+1,1))-AVERAGE(OFFSET($H$3,0,0,'Données projet'!$E$10+1,1))</f>
        <v>243.05628303465238</v>
      </c>
      <c r="AO91" s="59">
        <f t="shared" si="90"/>
        <v>352.47096767658394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2.5031881470556132</v>
      </c>
      <c r="AV91" s="21">
        <f>EXP(-LN(2)/25)*AV90+(1-EXP(-LN(2)/25))/(LN(2)/25)*Calculateur!AQ91*Calculateur!AS91*VLOOKUP('Données projet'!$B$10,Paramètres!$A$1:$I$89,3,0)*0.475*44/12</f>
        <v>3.6284613908151147</v>
      </c>
      <c r="AW91" s="21">
        <f>EXP(-LN(2)/2)*AW90+(1-EXP(-LN(2)/2))/(LN(2)/2)*AQ91*AT91*VLOOKUP('Données projet'!$B$10,Paramètres!$A$1:$I$89,3,0)*0.475*44/12</f>
        <v>2.0997912058733674E-8</v>
      </c>
      <c r="AX91" s="21">
        <f t="shared" si="60"/>
        <v>6.1316495588686397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-2.8421709430404007E-13</v>
      </c>
      <c r="BE91" s="13">
        <f>BD91*VLOOKUP('Données projet'!$B$11,Paramètres!$A$1:$I$89,3,0)*VLOOKUP('Données projet'!$B$11,Paramètres!$A$1:$I$89,5,0)</f>
        <v>-2.2612312022829427E-13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325.72928944930294</v>
      </c>
      <c r="BJ91" s="59">
        <f t="shared" si="92"/>
        <v>318.38876834819752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5.4898188979710341</v>
      </c>
      <c r="BQ91" s="21">
        <f>EXP(-LN(2)/25)*BQ90+(1-EXP(-LN(2)/25))/(LN(2)/25)*Calculateur!BL91*Calculateur!BN91*VLOOKUP('Données projet'!$B$11,Paramètres!$A$1:$I$89,3,0)*0.475*44/12</f>
        <v>4.1415074085283639</v>
      </c>
      <c r="BR91" s="21">
        <f>EXP(-LN(2)/2)*BR90+(1-EXP(-LN(2)/2))/(LN(2)/2)*BL91*BO91*VLOOKUP('Données projet'!$B$11,Paramètres!$A$1:$I$89,3,0)*0.475*44/12</f>
        <v>2.2034572500892107E-8</v>
      </c>
      <c r="BS91" s="22">
        <f t="shared" si="63"/>
        <v>9.6313263285339712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-3.4106051316484809E-13</v>
      </c>
      <c r="BZ91" s="13">
        <f>BY91*VLOOKUP('Données projet'!$B$12,Paramètres!$A$1:$I$89,3,0)*VLOOKUP('Données projet'!$B$12,Paramètres!$A$1:$I$89,5,0)</f>
        <v>-1.9065282685915009E-13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475.54809021014017</v>
      </c>
      <c r="CE91" s="59">
        <f t="shared" si="94"/>
        <v>593.51433014569966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2.3276927388342492</v>
      </c>
      <c r="CL91" s="21">
        <f>EXP(-LN(2)/25)*CL90+(1-EXP(-LN(2)/25))/(LN(2)/25)*Calculateur!CG91*Calculateur!CI91*VLOOKUP('Données projet'!$B$12,Paramètres!$A$1:$I$89,3,0)*0.475*44/12</f>
        <v>8.5338421826752242</v>
      </c>
      <c r="CM91" s="21">
        <f>EXP(-LN(2)/2)*CM90+(1-EXP(-LN(2)/2))/(LN(2)/2)*CG91*CJ91*VLOOKUP('Données projet'!$B$12,Paramètres!$A$1:$I$89,3,0)*0.475*44/12</f>
        <v>2.685553909230538E-8</v>
      </c>
      <c r="CN91" s="22">
        <f t="shared" si="66"/>
        <v>10.861534948365012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17.5</v>
      </c>
      <c r="CT91" s="12">
        <f>IF('Données projet'!$A$140&gt;35,CT90+CS91-DB90,IF(A91&lt;'Données projet'!$A$140,$CQ$205^A91,IF(A91='Données projet'!$A$140,'Données projet'!$B$140,CT90+CS91-DB90)))</f>
        <v>553.49999999999989</v>
      </c>
      <c r="CU91" s="17">
        <f>CT91*VLOOKUP('Données projet'!$B$13,Paramètres!$A$1:$I$89,3,0)*VLOOKUP('Données projet'!$B$13,Paramètres!$A$1:$I$89,5,0)</f>
        <v>259.03799999999995</v>
      </c>
      <c r="CV91" s="13">
        <f t="shared" si="95"/>
        <v>62.517274213025487</v>
      </c>
      <c r="CW91" s="20">
        <f t="shared" si="67"/>
        <v>560.04210258768592</v>
      </c>
      <c r="CX91" s="59">
        <f t="shared" si="68"/>
        <v>853.37543592101929</v>
      </c>
      <c r="CY91" s="59">
        <f ca="1">AVERAGE(OFFSET($CX$3,0,0,'Données projet'!$E$13+1,1))-AVERAGE(OFFSET($H$3,0,0,'Données projet'!$E$13+1,1))</f>
        <v>226.0452828290525</v>
      </c>
      <c r="CZ91" s="59">
        <f t="shared" si="96"/>
        <v>179.89696397462069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2.8777481115401651</v>
      </c>
      <c r="DG91" s="21">
        <f>EXP(-LN(2)/25)*DG90+(1-EXP(-LN(2)/25))/(LN(2)/25)*Calculateur!DB91*Calculateur!DD91*VLOOKUP('Données projet'!$B$13,Paramètres!$A$1:$I$89,3,0)*0.475*44/12</f>
        <v>2.2332466802366215</v>
      </c>
      <c r="DH91" s="21">
        <f>EXP(-LN(2)/2)*DH90+(1-EXP(-LN(2)/2))/(LN(2)/2)*DB91*DE91*VLOOKUP('Données projet'!$B$13,Paramètres!$A$1:$I$89,3,0)*0.475*44/12</f>
        <v>2.0569430000331999E-8</v>
      </c>
      <c r="DI91" s="22">
        <f t="shared" si="69"/>
        <v>5.1109948123462159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1.1368683772161603E-13</v>
      </c>
      <c r="DP91" s="17">
        <f>DO91*VLOOKUP('Données projet'!$B$14,Paramètres!$A$1:$I$89,3,0)*VLOOKUP('Données projet'!$B$14,Paramètres!$A$1:$I$89,5,0)</f>
        <v>6.7984728957526396E-14</v>
      </c>
      <c r="DQ91" s="13">
        <f t="shared" si="97"/>
        <v>1.0682447123141398E-12</v>
      </c>
      <c r="DR91" s="20">
        <f t="shared" si="70"/>
        <v>1.978932943548152E-12</v>
      </c>
      <c r="DS91" s="59">
        <f t="shared" si="71"/>
        <v>293.3333333333353</v>
      </c>
      <c r="DT91" s="59">
        <f ca="1">AVERAGE(OFFSET($DS$3,0,0,'Données projet'!$E$14+1,1))-AVERAGE(OFFSET($H$3,0,0,'Données projet'!$E$14+1,1))</f>
        <v>252.81045065813976</v>
      </c>
      <c r="DU91" s="59">
        <f t="shared" si="98"/>
        <v>254.36590349790589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5.7244690107930758</v>
      </c>
      <c r="EB91" s="21">
        <f>EXP(-LN(2)/25)*EB90+(1-EXP(-LN(2)/25))/(LN(2)/25)*Calculateur!DW91*Calculateur!DY91*VLOOKUP('Données projet'!$B$14,Paramètres!$A$1:$I$89,3,0)*0.475*44/12</f>
        <v>3.2295166440268535</v>
      </c>
      <c r="EC91" s="21">
        <f>EXP(-LN(2)/2)*EC90+(1-EXP(-LN(2)/2))/(LN(2)/2)*DW91*DZ91*VLOOKUP('Données projet'!$B$14,Paramètres!$A$1:$I$89,3,0)*0.475*44/12</f>
        <v>1.0694160469133431E-8</v>
      </c>
      <c r="ED91" s="22">
        <f t="shared" si="72"/>
        <v>8.9539856655140895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-2.8421709430404007E-13</v>
      </c>
      <c r="EK91" s="17">
        <f>EJ91*VLOOKUP('Données projet'!$B$15,Paramètres!$A$1:$I$89,3,0)*VLOOKUP('Données projet'!$B$15,Paramètres!$A$1:$I$89,5,0)</f>
        <v>-2.0838797354372215E-13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296.91321813251051</v>
      </c>
      <c r="EP91" s="59">
        <f t="shared" si="100"/>
        <v>291.0718079639509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4.1046703635958064</v>
      </c>
      <c r="EW91" s="21">
        <f>EXP(-LN(2)/25)*EW90+(1-EXP(-LN(2)/25))/(LN(2)/25)*Calculateur!ER91*Calculateur!ET91*VLOOKUP('Données projet'!$B$15,Paramètres!$A$1:$I$89,3,0)*0.475*44/12</f>
        <v>3.0965543738941257</v>
      </c>
      <c r="EX91" s="21">
        <f>EXP(-LN(2)/2)*EX90+(1-EXP(-LN(2)/2))/(LN(2)/2)*ER91*EU91*VLOOKUP('Données projet'!$B$15,Paramètres!$A$1:$I$89,3,0)*0.475*44/12</f>
        <v>2.0306370736116304E-8</v>
      </c>
      <c r="EY91" s="22">
        <f t="shared" si="75"/>
        <v>7.2012247577963029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6.4</v>
      </c>
      <c r="FE91" s="12">
        <f>IF('Données projet'!$A$218&gt;35,FE90+FD91-FM90,IF(A91&lt;'Données projet'!$A$218,$FB$205^A91,IF(A91='Données projet'!$A$218,'Données projet'!$B$218,FE90+FD91-FM90)))</f>
        <v>317.2</v>
      </c>
      <c r="FF91" s="17">
        <f>FE91*VLOOKUP('Données projet'!$B$16,Paramètres!$A$1:$I$89,3,0)*VLOOKUP('Données projet'!$B$16,Paramètres!$A$1:$I$89,5,0)</f>
        <v>321.64080000000001</v>
      </c>
      <c r="FG91" s="13">
        <f t="shared" si="101"/>
        <v>75.694652325793228</v>
      </c>
      <c r="FH91" s="20">
        <f t="shared" si="76"/>
        <v>692.0259128007566</v>
      </c>
      <c r="FI91" s="59">
        <f t="shared" si="77"/>
        <v>985.35924613408997</v>
      </c>
      <c r="FJ91" s="59">
        <f ca="1">AVERAGE(OFFSET($FI$3,0,0,'Données projet'!$E$16+1,1))-AVERAGE(OFFSET($H$3,0,0,'Données projet'!$E$16+1,1))</f>
        <v>356.65981389369125</v>
      </c>
      <c r="FK91" s="59">
        <f t="shared" si="102"/>
        <v>231.92898690465887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2.5969322048729007</v>
      </c>
      <c r="FR91" s="21">
        <f>EXP(-LN(2)/25)*FR90+(1-EXP(-LN(2)/25))/(LN(2)/25)*Calculateur!FM91*Calculateur!FO91*VLOOKUP('Données projet'!$B$16,Paramètres!$A$1:$I$89,3,0)*0.475*44/12</f>
        <v>2.1018063948371122</v>
      </c>
      <c r="FS91" s="21">
        <f>EXP(-LN(2)/2)*FS90+(1-EXP(-LN(2)/2))/(LN(2)/2)*FM91*FP91*VLOOKUP('Données projet'!$B$16,Paramètres!$A$1:$I$89,3,0)*0.475*44/12</f>
        <v>1.7816011964341911E-8</v>
      </c>
      <c r="FT91" s="22">
        <f t="shared" si="78"/>
        <v>4.6987386175260246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6.4</v>
      </c>
      <c r="FZ91" s="12">
        <f>IF('Données projet'!$A$244&gt;35,FZ90+FY91-GH90,IF(A91&lt;'Données projet'!$A$244,$FW$205^A91,IF(A91='Données projet'!$A$244,'Données projet'!$B$244,FZ90+FY91-GH90)))</f>
        <v>317.2</v>
      </c>
      <c r="GA91" s="17">
        <f>FZ91*VLOOKUP('Données projet'!$B$17,Paramètres!$A$1:$I$89,3,0)*VLOOKUP('Données projet'!$B$17,Paramètres!$A$1:$I$89,5,0)</f>
        <v>306.79584</v>
      </c>
      <c r="GB91" s="13">
        <f t="shared" si="103"/>
        <v>72.599269943528554</v>
      </c>
      <c r="GC91" s="20">
        <f t="shared" si="79"/>
        <v>660.77981648497882</v>
      </c>
      <c r="GD91" s="59">
        <f t="shared" si="80"/>
        <v>954.11314981831219</v>
      </c>
      <c r="GE91" s="59">
        <f ca="1">AVERAGE(OFFSET($GD$3,0,0,'Données projet'!$E$17+1,1))-AVERAGE(OFFSET($H$3,0,0,'Données projet'!$E$17+1,1))</f>
        <v>337.76140497227715</v>
      </c>
      <c r="GF91" s="59">
        <f t="shared" si="104"/>
        <v>219.76562717496353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2.4770737954172275</v>
      </c>
      <c r="GM91" s="21">
        <f>EXP(-LN(2)/25)*GM90+(1-EXP(-LN(2)/25))/(LN(2)/25)*Calculateur!GH91*Calculateur!GJ91*VLOOKUP('Données projet'!$B$17,Paramètres!$A$1:$I$89,3,0)*0.475*44/12</f>
        <v>2.0047999458446299</v>
      </c>
      <c r="GN91" s="21">
        <f>EXP(-LN(2)/2)*GN90+(1-EXP(-LN(2)/2))/(LN(2)/2)*GH91*GK91*VLOOKUP('Données projet'!$B$17,Paramètres!$A$1:$I$89,3,0)*0.475*44/12</f>
        <v>1.6993734489064596E-8</v>
      </c>
      <c r="GO91" s="21">
        <f t="shared" si="81"/>
        <v>4.4818737582555919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6.4</v>
      </c>
      <c r="N92" s="13">
        <f>IF('Données projet'!$A$36&gt;35,N91+M92-V91,IF(A92&lt;'Données projet'!$A$36,$K$205^A92,IF(A92='Données projet'!$A$36,'Données projet'!$B$36,N91+M92-V91)))</f>
        <v>323.59999999999997</v>
      </c>
      <c r="O92" s="13">
        <f>N92*VLOOKUP('Données projet'!$B$9,Paramètres!$A$1:$I$89,3,0)*VLOOKUP('Données projet'!$B$9,Paramètres!$A$1:$I$89,5,0)</f>
        <v>292.79327999999992</v>
      </c>
      <c r="P92" s="13">
        <f t="shared" si="87"/>
        <v>69.663526761731433</v>
      </c>
      <c r="Q92" s="20">
        <f t="shared" si="54"/>
        <v>631.27893844334869</v>
      </c>
      <c r="R92" s="59">
        <f t="shared" si="55"/>
        <v>924.61227177668206</v>
      </c>
      <c r="S92" s="59">
        <f ca="1">AVERAGE(OFFSET($R$3,0,0,'Données projet'!$E$9+1,1))-AVERAGE(OFFSET($H$3,0,0,'Données projet'!$E$9+1,1))</f>
        <v>312.53389584272878</v>
      </c>
      <c r="T92" s="59">
        <f t="shared" si="88"/>
        <v>203.5274665601915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2.27182247695138</v>
      </c>
      <c r="AA92" s="21">
        <f>EXP(-LN(2)/25)*AA91+(1-EXP(-LN(2)/25))/(LN(2)/25)*Calculateur!V92*Calculateur!X92*VLOOKUP('Données projet'!$B$9,Paramètres!$A$1:$I$89,3,0)*0.475*44/12</f>
        <v>1.8241735158397461</v>
      </c>
      <c r="AB92" s="21">
        <f>EXP(-LN(2)/2)*AB91+(1-EXP(-LN(2)/2))/(LN(2)/2)*V92*Y92*VLOOKUP('Données projet'!$B$9,Paramètres!$A$1:$I$89,3,0)*0.475*44/12</f>
        <v>1.1241134256520554E-8</v>
      </c>
      <c r="AC92" s="22">
        <f t="shared" si="57"/>
        <v>4.0959960040322603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5.6843418860808015E-14</v>
      </c>
      <c r="AJ92" s="13">
        <f>AI92*VLOOKUP('Données projet'!$B$10,Paramètres!$A$1:$I$89,3,0)*VLOOKUP('Données projet'!$B$10,Paramètres!$A$1:$I$89,5,0)</f>
        <v>4.9658410716801891E-14</v>
      </c>
      <c r="AK92" s="13">
        <f t="shared" si="89"/>
        <v>8.0934058173791862E-13</v>
      </c>
      <c r="AL92" s="20">
        <f t="shared" si="58"/>
        <v>1.4960899118586383E-12</v>
      </c>
      <c r="AM92" s="59">
        <f t="shared" si="59"/>
        <v>293.33333333333479</v>
      </c>
      <c r="AN92" s="59">
        <f ca="1">AVERAGE(OFFSET($AM$3,0,0,'Données projet'!$E$10+1,1))-AVERAGE(OFFSET($H$3,0,0,'Données projet'!$E$10+1,1))</f>
        <v>243.05628303465238</v>
      </c>
      <c r="AO92" s="59">
        <f t="shared" si="90"/>
        <v>352.47096767658394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2.4541021542858639</v>
      </c>
      <c r="AV92" s="21">
        <f>EXP(-LN(2)/25)*AV91+(1-EXP(-LN(2)/25))/(LN(2)/25)*Calculateur!AQ92*Calculateur!AS92*VLOOKUP('Données projet'!$B$10,Paramètres!$A$1:$I$89,3,0)*0.475*44/12</f>
        <v>3.529240923270784</v>
      </c>
      <c r="AW92" s="21">
        <f>EXP(-LN(2)/2)*AW91+(1-EXP(-LN(2)/2))/(LN(2)/2)*AQ92*AT92*VLOOKUP('Données projet'!$B$10,Paramètres!$A$1:$I$89,3,0)*0.475*44/12</f>
        <v>1.4847766007489361E-8</v>
      </c>
      <c r="AX92" s="21">
        <f t="shared" si="60"/>
        <v>5.9833430924044135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-2.8421709430404007E-13</v>
      </c>
      <c r="BE92" s="13">
        <f>BD92*VLOOKUP('Données projet'!$B$11,Paramètres!$A$1:$I$89,3,0)*VLOOKUP('Données projet'!$B$11,Paramètres!$A$1:$I$89,5,0)</f>
        <v>-2.2612312022829427E-13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325.72928944930294</v>
      </c>
      <c r="BJ92" s="59">
        <f t="shared" si="92"/>
        <v>318.38876834819752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5.3821668978407171</v>
      </c>
      <c r="BQ92" s="21">
        <f>EXP(-LN(2)/25)*BQ91+(1-EXP(-LN(2)/25))/(LN(2)/25)*Calculateur!BL92*Calculateur!BN92*VLOOKUP('Données projet'!$B$11,Paramètres!$A$1:$I$89,3,0)*0.475*44/12</f>
        <v>4.0282576706497464</v>
      </c>
      <c r="BR92" s="21">
        <f>EXP(-LN(2)/2)*BR91+(1-EXP(-LN(2)/2))/(LN(2)/2)*BL92*BO92*VLOOKUP('Données projet'!$B$11,Paramètres!$A$1:$I$89,3,0)*0.475*44/12</f>
        <v>1.5580795635927432E-8</v>
      </c>
      <c r="BS92" s="22">
        <f t="shared" si="63"/>
        <v>9.4104245840712579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-3.4106051316484809E-13</v>
      </c>
      <c r="BZ92" s="13">
        <f>BY92*VLOOKUP('Données projet'!$B$12,Paramètres!$A$1:$I$89,3,0)*VLOOKUP('Données projet'!$B$12,Paramètres!$A$1:$I$89,5,0)</f>
        <v>-1.9065282685915009E-13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475.54809021014017</v>
      </c>
      <c r="CE92" s="59">
        <f t="shared" si="94"/>
        <v>593.51433014569966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2.2820481039780915</v>
      </c>
      <c r="CL92" s="21">
        <f>EXP(-LN(2)/25)*CL91+(1-EXP(-LN(2)/25))/(LN(2)/25)*Calculateur!CG92*Calculateur!CI92*VLOOKUP('Données projet'!$B$12,Paramètres!$A$1:$I$89,3,0)*0.475*44/12</f>
        <v>8.3004838194147137</v>
      </c>
      <c r="CM92" s="21">
        <f>EXP(-LN(2)/2)*CM91+(1-EXP(-LN(2)/2))/(LN(2)/2)*CG92*CJ92*VLOOKUP('Données projet'!$B$12,Paramètres!$A$1:$I$89,3,0)*0.475*44/12</f>
        <v>1.8989733804589553E-8</v>
      </c>
      <c r="CN92" s="22">
        <f t="shared" si="66"/>
        <v>10.582531942382539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17.5</v>
      </c>
      <c r="CT92" s="12">
        <f>IF('Données projet'!$A$140&gt;35,CT91+CS92-DB91,IF(A92&lt;'Données projet'!$A$140,$CQ$205^A92,IF(A92='Données projet'!$A$140,'Données projet'!$B$140,CT91+CS92-DB91)))</f>
        <v>570.99999999999989</v>
      </c>
      <c r="CU92" s="17">
        <f>CT92*VLOOKUP('Données projet'!$B$13,Paramètres!$A$1:$I$89,3,0)*VLOOKUP('Données projet'!$B$13,Paramètres!$A$1:$I$89,5,0)</f>
        <v>267.22799999999995</v>
      </c>
      <c r="CV92" s="13">
        <f t="shared" si="95"/>
        <v>64.260628062866161</v>
      </c>
      <c r="CW92" s="20">
        <f t="shared" si="67"/>
        <v>577.34269387615848</v>
      </c>
      <c r="CX92" s="59">
        <f t="shared" si="68"/>
        <v>870.67602720949185</v>
      </c>
      <c r="CY92" s="59">
        <f ca="1">AVERAGE(OFFSET($CX$3,0,0,'Données projet'!$E$13+1,1))-AVERAGE(OFFSET($H$3,0,0,'Données projet'!$E$13+1,1))</f>
        <v>226.0452828290525</v>
      </c>
      <c r="CZ92" s="59">
        <f t="shared" si="96"/>
        <v>179.89696397462069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2.8213172263258937</v>
      </c>
      <c r="DG92" s="21">
        <f>EXP(-LN(2)/25)*DG91+(1-EXP(-LN(2)/25))/(LN(2)/25)*Calculateur!DB92*Calculateur!DD92*VLOOKUP('Données projet'!$B$13,Paramètres!$A$1:$I$89,3,0)*0.475*44/12</f>
        <v>2.1721784323242121</v>
      </c>
      <c r="DH92" s="21">
        <f>EXP(-LN(2)/2)*DH91+(1-EXP(-LN(2)/2))/(LN(2)/2)*DB92*DE92*VLOOKUP('Données projet'!$B$13,Paramètres!$A$1:$I$89,3,0)*0.475*44/12</f>
        <v>1.4544783438376766E-8</v>
      </c>
      <c r="DI92" s="22">
        <f t="shared" si="69"/>
        <v>4.9934956731948894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1.1368683772161603E-13</v>
      </c>
      <c r="DP92" s="17">
        <f>DO92*VLOOKUP('Données projet'!$B$14,Paramètres!$A$1:$I$89,3,0)*VLOOKUP('Données projet'!$B$14,Paramètres!$A$1:$I$89,5,0)</f>
        <v>6.7984728957526396E-14</v>
      </c>
      <c r="DQ92" s="13">
        <f t="shared" si="97"/>
        <v>1.0682447123141398E-12</v>
      </c>
      <c r="DR92" s="20">
        <f t="shared" si="70"/>
        <v>1.978932943548152E-12</v>
      </c>
      <c r="DS92" s="59">
        <f t="shared" si="71"/>
        <v>293.3333333333353</v>
      </c>
      <c r="DT92" s="59">
        <f ca="1">AVERAGE(OFFSET($DS$3,0,0,'Données projet'!$E$14+1,1))-AVERAGE(OFFSET($H$3,0,0,'Données projet'!$E$14+1,1))</f>
        <v>252.81045065813976</v>
      </c>
      <c r="DU92" s="59">
        <f t="shared" si="98"/>
        <v>254.36590349790589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5.612215665072755</v>
      </c>
      <c r="EB92" s="21">
        <f>EXP(-LN(2)/25)*EB91+(1-EXP(-LN(2)/25))/(LN(2)/25)*Calculateur!DW92*Calculateur!DY92*VLOOKUP('Données projet'!$B$14,Paramètres!$A$1:$I$89,3,0)*0.475*44/12</f>
        <v>3.1412053415630399</v>
      </c>
      <c r="EC92" s="21">
        <f>EXP(-LN(2)/2)*EC91+(1-EXP(-LN(2)/2))/(LN(2)/2)*DW92*DZ92*VLOOKUP('Données projet'!$B$14,Paramètres!$A$1:$I$89,3,0)*0.475*44/12</f>
        <v>7.5619133868213591E-9</v>
      </c>
      <c r="ED92" s="22">
        <f t="shared" si="72"/>
        <v>8.7534210141977091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-2.8421709430404007E-13</v>
      </c>
      <c r="EK92" s="17">
        <f>EJ92*VLOOKUP('Données projet'!$B$15,Paramètres!$A$1:$I$89,3,0)*VLOOKUP('Données projet'!$B$15,Paramètres!$A$1:$I$89,5,0)</f>
        <v>-2.0838797354372215E-13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296.91321813251051</v>
      </c>
      <c r="EP92" s="59">
        <f t="shared" si="100"/>
        <v>291.0718079639509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4.0241802813674044</v>
      </c>
      <c r="EW92" s="21">
        <f>EXP(-LN(2)/25)*EW91+(1-EXP(-LN(2)/25))/(LN(2)/25)*Calculateur!ER92*Calculateur!ET92*VLOOKUP('Données projet'!$B$15,Paramètres!$A$1:$I$89,3,0)*0.475*44/12</f>
        <v>3.0118789316992736</v>
      </c>
      <c r="EX92" s="21">
        <f>EXP(-LN(2)/2)*EX91+(1-EXP(-LN(2)/2))/(LN(2)/2)*ER92*EU92*VLOOKUP('Données projet'!$B$15,Paramètres!$A$1:$I$89,3,0)*0.475*44/12</f>
        <v>1.4358772448795904E-8</v>
      </c>
      <c r="EY92" s="22">
        <f t="shared" si="75"/>
        <v>7.0360592274254508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6.4</v>
      </c>
      <c r="FE92" s="12">
        <f>IF('Données projet'!$A$218&gt;35,FE91+FD92-FM91,IF(A92&lt;'Données projet'!$A$218,$FB$205^A92,IF(A92='Données projet'!$A$218,'Données projet'!$B$218,FE91+FD92-FM91)))</f>
        <v>323.59999999999997</v>
      </c>
      <c r="FF92" s="17">
        <f>FE92*VLOOKUP('Données projet'!$B$16,Paramètres!$A$1:$I$89,3,0)*VLOOKUP('Données projet'!$B$16,Paramètres!$A$1:$I$89,5,0)</f>
        <v>328.13039999999995</v>
      </c>
      <c r="FG92" s="13">
        <f t="shared" si="101"/>
        <v>77.042563313388285</v>
      </c>
      <c r="FH92" s="20">
        <f t="shared" si="76"/>
        <v>705.67624443748446</v>
      </c>
      <c r="FI92" s="59">
        <f t="shared" si="77"/>
        <v>999.00957777081771</v>
      </c>
      <c r="FJ92" s="59">
        <f ca="1">AVERAGE(OFFSET($FI$3,0,0,'Données projet'!$E$16+1,1))-AVERAGE(OFFSET($H$3,0,0,'Données projet'!$E$16+1,1))</f>
        <v>356.65981389369125</v>
      </c>
      <c r="FK92" s="59">
        <f t="shared" si="102"/>
        <v>231.92898690465887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2.5460079483075839</v>
      </c>
      <c r="FR92" s="21">
        <f>EXP(-LN(2)/25)*FR91+(1-EXP(-LN(2)/25))/(LN(2)/25)*Calculateur!FM92*Calculateur!FO92*VLOOKUP('Données projet'!$B$16,Paramètres!$A$1:$I$89,3,0)*0.475*44/12</f>
        <v>2.0443323884410969</v>
      </c>
      <c r="FS92" s="21">
        <f>EXP(-LN(2)/2)*FS91+(1-EXP(-LN(2)/2))/(LN(2)/2)*FM92*FP92*VLOOKUP('Données projet'!$B$16,Paramètres!$A$1:$I$89,3,0)*0.475*44/12</f>
        <v>1.2597822873686828E-8</v>
      </c>
      <c r="FT92" s="22">
        <f t="shared" si="78"/>
        <v>4.590340349346504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6.4</v>
      </c>
      <c r="FZ92" s="12">
        <f>IF('Données projet'!$A$244&gt;35,FZ91+FY92-GH91,IF(A92&lt;'Données projet'!$A$244,$FW$205^A92,IF(A92='Données projet'!$A$244,'Données projet'!$B$244,FZ91+FY92-GH91)))</f>
        <v>323.59999999999997</v>
      </c>
      <c r="GA92" s="17">
        <f>FZ92*VLOOKUP('Données projet'!$B$17,Paramètres!$A$1:$I$89,3,0)*VLOOKUP('Données projet'!$B$17,Paramètres!$A$1:$I$89,5,0)</f>
        <v>312.98591999999996</v>
      </c>
      <c r="GB92" s="13">
        <f t="shared" si="103"/>
        <v>73.892060789929147</v>
      </c>
      <c r="GC92" s="20">
        <f t="shared" si="79"/>
        <v>673.81248320912653</v>
      </c>
      <c r="GD92" s="59">
        <f t="shared" si="80"/>
        <v>967.1458165424599</v>
      </c>
      <c r="GE92" s="59">
        <f ca="1">AVERAGE(OFFSET($GD$3,0,0,'Données projet'!$E$17+1,1))-AVERAGE(OFFSET($H$3,0,0,'Données projet'!$E$17+1,1))</f>
        <v>337.76140497227715</v>
      </c>
      <c r="GF92" s="59">
        <f t="shared" si="104"/>
        <v>219.76562717496353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2.4284998891549252</v>
      </c>
      <c r="GM92" s="21">
        <f>EXP(-LN(2)/25)*GM91+(1-EXP(-LN(2)/25))/(LN(2)/25)*Calculateur!GH92*Calculateur!GJ92*VLOOKUP('Données projet'!$B$17,Paramètres!$A$1:$I$89,3,0)*0.475*44/12</f>
        <v>1.9499785858976615</v>
      </c>
      <c r="GN92" s="21">
        <f>EXP(-LN(2)/2)*GN91+(1-EXP(-LN(2)/2))/(LN(2)/2)*GH92*GK92*VLOOKUP('Données projet'!$B$17,Paramètres!$A$1:$I$89,3,0)*0.475*44/12</f>
        <v>1.2016384894901285E-8</v>
      </c>
      <c r="GO92" s="21">
        <f t="shared" si="81"/>
        <v>4.3784784870689721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330</v>
      </c>
      <c r="L93" s="12">
        <f>VLOOKUP(A93,'Données projet'!$A$35:$I$55,9,0)</f>
        <v>6.4</v>
      </c>
      <c r="M93" s="12">
        <f t="array" ref="M93">INDEX(L:L,MIN(IF(ISNUMBER(L93:L289),ROW(L93:L289),"")))</f>
        <v>6.4</v>
      </c>
      <c r="N93" s="13">
        <f>IF('Données projet'!$A$36&gt;35,N92+M93-V92,IF(A93&lt;'Données projet'!$A$36,$K$205^A93,IF(A93='Données projet'!$A$36,'Données projet'!$B$36,N92+M93-V92)))</f>
        <v>329.99999999999994</v>
      </c>
      <c r="O93" s="13">
        <f>N93*VLOOKUP('Données projet'!$B$9,Paramètres!$A$1:$I$89,3,0)*VLOOKUP('Données projet'!$B$9,Paramètres!$A$1:$I$89,5,0)</f>
        <v>298.58399999999995</v>
      </c>
      <c r="P93" s="13">
        <f t="shared" si="87"/>
        <v>70.879533797607607</v>
      </c>
      <c r="Q93" s="20">
        <f t="shared" si="54"/>
        <v>643.48232136416652</v>
      </c>
      <c r="R93" s="59">
        <f t="shared" si="55"/>
        <v>936.81565469749989</v>
      </c>
      <c r="S93" s="59">
        <f ca="1">AVERAGE(OFFSET($R$3,0,0,'Données projet'!$E$9+1,1))-AVERAGE(OFFSET($H$3,0,0,'Données projet'!$E$9+1,1))</f>
        <v>312.53389584272878</v>
      </c>
      <c r="T93" s="59">
        <f t="shared" si="88"/>
        <v>203.5274665601915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2.2272734238532501</v>
      </c>
      <c r="AA93" s="21">
        <f>EXP(-LN(2)/25)*AA92+(1-EXP(-LN(2)/25))/(LN(2)/25)*Calculateur!V93*Calculateur!X93*VLOOKUP('Données projet'!$B$9,Paramètres!$A$1:$I$89,3,0)*0.475*44/12</f>
        <v>1.7742913951199921</v>
      </c>
      <c r="AB93" s="21">
        <f>EXP(-LN(2)/2)*AB92+(1-EXP(-LN(2)/2))/(LN(2)/2)*V93*Y93*VLOOKUP('Données projet'!$B$9,Paramètres!$A$1:$I$89,3,0)*0.475*44/12</f>
        <v>7.9486822610140829E-9</v>
      </c>
      <c r="AC93" s="22">
        <f t="shared" si="57"/>
        <v>4.0015648269219248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5.6843418860808015E-14</v>
      </c>
      <c r="AJ93" s="13">
        <f>AI93*VLOOKUP('Données projet'!$B$10,Paramètres!$A$1:$I$89,3,0)*VLOOKUP('Données projet'!$B$10,Paramètres!$A$1:$I$89,5,0)</f>
        <v>4.9658410716801891E-14</v>
      </c>
      <c r="AK93" s="13">
        <f t="shared" si="89"/>
        <v>8.0934058173791862E-13</v>
      </c>
      <c r="AL93" s="20">
        <f t="shared" si="58"/>
        <v>1.4960899118586383E-12</v>
      </c>
      <c r="AM93" s="59">
        <f t="shared" si="59"/>
        <v>293.33333333333479</v>
      </c>
      <c r="AN93" s="59">
        <f ca="1">AVERAGE(OFFSET($AM$3,0,0,'Données projet'!$E$10+1,1))-AVERAGE(OFFSET($H$3,0,0,'Données projet'!$E$10+1,1))</f>
        <v>243.05628303465238</v>
      </c>
      <c r="AO93" s="59">
        <f t="shared" si="90"/>
        <v>352.47096767658394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2.40597870789483</v>
      </c>
      <c r="AV93" s="21">
        <f>EXP(-LN(2)/25)*AV92+(1-EXP(-LN(2)/25))/(LN(2)/25)*Calculateur!AQ93*Calculateur!AS93*VLOOKUP('Données projet'!$B$10,Paramètres!$A$1:$I$89,3,0)*0.475*44/12</f>
        <v>3.4327336446292303</v>
      </c>
      <c r="AW93" s="21">
        <f>EXP(-LN(2)/2)*AW92+(1-EXP(-LN(2)/2))/(LN(2)/2)*AQ93*AT93*VLOOKUP('Données projet'!$B$10,Paramètres!$A$1:$I$89,3,0)*0.475*44/12</f>
        <v>1.0498956029366839E-8</v>
      </c>
      <c r="AX93" s="21">
        <f t="shared" si="60"/>
        <v>5.8387123630230171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-2.8421709430404007E-13</v>
      </c>
      <c r="BE93" s="13">
        <f>BD93*VLOOKUP('Données projet'!$B$11,Paramètres!$A$1:$I$89,3,0)*VLOOKUP('Données projet'!$B$11,Paramètres!$A$1:$I$89,5,0)</f>
        <v>-2.2612312022829427E-13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325.72928944930294</v>
      </c>
      <c r="BJ93" s="59">
        <f t="shared" si="92"/>
        <v>318.38876834819752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5.2766258877717194</v>
      </c>
      <c r="BQ93" s="21">
        <f>EXP(-LN(2)/25)*BQ92+(1-EXP(-LN(2)/25))/(LN(2)/25)*Calculateur!BL93*Calculateur!BN93*VLOOKUP('Données projet'!$B$11,Paramètres!$A$1:$I$89,3,0)*0.475*44/12</f>
        <v>3.918104752808965</v>
      </c>
      <c r="BR93" s="21">
        <f>EXP(-LN(2)/2)*BR92+(1-EXP(-LN(2)/2))/(LN(2)/2)*BL93*BO93*VLOOKUP('Données projet'!$B$11,Paramètres!$A$1:$I$89,3,0)*0.475*44/12</f>
        <v>1.1017286250446054E-8</v>
      </c>
      <c r="BS93" s="22">
        <f t="shared" si="63"/>
        <v>9.1947306515979701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-3.4106051316484809E-13</v>
      </c>
      <c r="BZ93" s="13">
        <f>BY93*VLOOKUP('Données projet'!$B$12,Paramètres!$A$1:$I$89,3,0)*VLOOKUP('Données projet'!$B$12,Paramètres!$A$1:$I$89,5,0)</f>
        <v>-1.9065282685915009E-13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475.54809021014017</v>
      </c>
      <c r="CE93" s="59">
        <f t="shared" si="94"/>
        <v>593.51433014569966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2.2372985325709847</v>
      </c>
      <c r="CL93" s="21">
        <f>EXP(-LN(2)/25)*CL92+(1-EXP(-LN(2)/25))/(LN(2)/25)*Calculateur!CG93*Calculateur!CI93*VLOOKUP('Données projet'!$B$12,Paramètres!$A$1:$I$89,3,0)*0.475*44/12</f>
        <v>8.0735066528693444</v>
      </c>
      <c r="CM93" s="21">
        <f>EXP(-LN(2)/2)*CM92+(1-EXP(-LN(2)/2))/(LN(2)/2)*CG93*CJ93*VLOOKUP('Données projet'!$B$12,Paramètres!$A$1:$I$89,3,0)*0.475*44/12</f>
        <v>1.342776954615269E-8</v>
      </c>
      <c r="CN93" s="22">
        <f t="shared" si="66"/>
        <v>10.310805198868099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588.5</v>
      </c>
      <c r="CR93" s="12">
        <f>VLOOKUP(A93,'Données projet'!$A$139:$I$159,9,0)</f>
        <v>17.5</v>
      </c>
      <c r="CS93" s="12">
        <f t="array" ref="CS93">INDEX(CR:CR,MIN(IF(ISNUMBER(CR93:CR289),ROW(CR93:CR289),"")))</f>
        <v>17.5</v>
      </c>
      <c r="CT93" s="12">
        <f>IF('Données projet'!$A$140&gt;35,CT92+CS93-DB92,IF(A93&lt;'Données projet'!$A$140,$CQ$205^A93,IF(A93='Données projet'!$A$140,'Données projet'!$B$140,CT92+CS93-DB92)))</f>
        <v>588.49999999999989</v>
      </c>
      <c r="CU93" s="17">
        <f>CT93*VLOOKUP('Données projet'!$B$13,Paramètres!$A$1:$I$89,3,0)*VLOOKUP('Données projet'!$B$13,Paramètres!$A$1:$I$89,5,0)</f>
        <v>275.41799999999995</v>
      </c>
      <c r="CV93" s="13">
        <f t="shared" si="95"/>
        <v>65.997772680817278</v>
      </c>
      <c r="CW93" s="20">
        <f t="shared" si="67"/>
        <v>594.63247075242327</v>
      </c>
      <c r="CX93" s="59">
        <f t="shared" si="68"/>
        <v>887.96580408575664</v>
      </c>
      <c r="CY93" s="59">
        <f ca="1">AVERAGE(OFFSET($CX$3,0,0,'Données projet'!$E$13+1,1))-AVERAGE(OFFSET($H$3,0,0,'Données projet'!$E$13+1,1))</f>
        <v>226.0452828290525</v>
      </c>
      <c r="CZ93" s="59">
        <f t="shared" si="96"/>
        <v>179.89696397462069</v>
      </c>
      <c r="DA93" s="15">
        <f>IF(ISNA(VLOOKUP(A93,'Données projet'!$A$139:$I$159,3,0)),0,VLOOKUP(A93,'Données projet'!$A$139:$I$159,3,0))</f>
        <v>8</v>
      </c>
      <c r="DB93" s="15">
        <f>IF(ISNA(VLOOKUP(A93,'Données projet'!$A$139:$I$159,4,0)),0,VLOOKUP(A93,'Données projet'!$A$139:$I$159,4,0))</f>
        <v>98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2.7659929163512329</v>
      </c>
      <c r="DG93" s="21">
        <f>EXP(-LN(2)/25)*DG92+(1-EXP(-LN(2)/25))/(LN(2)/25)*Calculateur!DB93*Calculateur!DD93*VLOOKUP('Données projet'!$B$13,Paramètres!$A$1:$I$89,3,0)*0.475*44/12</f>
        <v>2.1127800988624075</v>
      </c>
      <c r="DH93" s="21">
        <f>EXP(-LN(2)/2)*DH92+(1-EXP(-LN(2)/2))/(LN(2)/2)*DB93*DE93*VLOOKUP('Données projet'!$B$13,Paramètres!$A$1:$I$89,3,0)*0.475*44/12</f>
        <v>1.0284715000166001E-8</v>
      </c>
      <c r="DI93" s="22">
        <f t="shared" si="69"/>
        <v>4.8787730254983561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1.1368683772161603E-13</v>
      </c>
      <c r="DP93" s="17">
        <f>DO93*VLOOKUP('Données projet'!$B$14,Paramètres!$A$1:$I$89,3,0)*VLOOKUP('Données projet'!$B$14,Paramètres!$A$1:$I$89,5,0)</f>
        <v>6.7984728957526396E-14</v>
      </c>
      <c r="DQ93" s="13">
        <f t="shared" si="97"/>
        <v>1.0682447123141398E-12</v>
      </c>
      <c r="DR93" s="20">
        <f t="shared" si="70"/>
        <v>1.978932943548152E-12</v>
      </c>
      <c r="DS93" s="59">
        <f t="shared" si="71"/>
        <v>293.3333333333353</v>
      </c>
      <c r="DT93" s="59">
        <f ca="1">AVERAGE(OFFSET($DS$3,0,0,'Données projet'!$E$14+1,1))-AVERAGE(OFFSET($H$3,0,0,'Données projet'!$E$14+1,1))</f>
        <v>252.81045065813976</v>
      </c>
      <c r="DU93" s="59">
        <f t="shared" si="98"/>
        <v>254.36590349790589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5.5021635389942301</v>
      </c>
      <c r="EB93" s="21">
        <f>EXP(-LN(2)/25)*EB92+(1-EXP(-LN(2)/25))/(LN(2)/25)*Calculateur!DW93*Calculateur!DY93*VLOOKUP('Données projet'!$B$14,Paramètres!$A$1:$I$89,3,0)*0.475*44/12</f>
        <v>3.0553089163091891</v>
      </c>
      <c r="EC93" s="21">
        <f>EXP(-LN(2)/2)*EC92+(1-EXP(-LN(2)/2))/(LN(2)/2)*DW93*DZ93*VLOOKUP('Données projet'!$B$14,Paramètres!$A$1:$I$89,3,0)*0.475*44/12</f>
        <v>5.3470802345667154E-9</v>
      </c>
      <c r="ED93" s="22">
        <f t="shared" si="72"/>
        <v>8.5574724606504997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-2.8421709430404007E-13</v>
      </c>
      <c r="EK93" s="17">
        <f>EJ93*VLOOKUP('Données projet'!$B$15,Paramètres!$A$1:$I$89,3,0)*VLOOKUP('Données projet'!$B$15,Paramètres!$A$1:$I$89,5,0)</f>
        <v>-2.0838797354372215E-13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296.91321813251051</v>
      </c>
      <c r="EP93" s="59">
        <f t="shared" si="100"/>
        <v>291.0718079639509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3.9452685605573987</v>
      </c>
      <c r="EW93" s="21">
        <f>EXP(-LN(2)/25)*EW92+(1-EXP(-LN(2)/25))/(LN(2)/25)*Calculateur!ER93*Calculateur!ET93*VLOOKUP('Données projet'!$B$15,Paramètres!$A$1:$I$89,3,0)*0.475*44/12</f>
        <v>2.9295189439241276</v>
      </c>
      <c r="EX93" s="21">
        <f>EXP(-LN(2)/2)*EX92+(1-EXP(-LN(2)/2))/(LN(2)/2)*ER93*EU93*VLOOKUP('Données projet'!$B$15,Paramètres!$A$1:$I$89,3,0)*0.475*44/12</f>
        <v>1.0153185368058152E-8</v>
      </c>
      <c r="EY93" s="22">
        <f t="shared" si="75"/>
        <v>6.8747875146347113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330</v>
      </c>
      <c r="FC93" s="12">
        <f>VLOOKUP(A93,'Données projet'!$A$217:$I$237,9,0)</f>
        <v>6.4</v>
      </c>
      <c r="FD93" s="12">
        <f t="array" ref="FD93">INDEX(FC:FC,MIN(IF(ISNUMBER(FC93:FC289),ROW(FC93:FC289),"")))</f>
        <v>6.4</v>
      </c>
      <c r="FE93" s="12">
        <f>IF('Données projet'!$A$218&gt;35,FE92+FD93-FM92,IF(A93&lt;'Données projet'!$A$218,$FB$205^A93,IF(A93='Données projet'!$A$218,'Données projet'!$B$218,FE92+FD93-FM92)))</f>
        <v>329.99999999999994</v>
      </c>
      <c r="FF93" s="17">
        <f>FE93*VLOOKUP('Données projet'!$B$16,Paramètres!$A$1:$I$89,3,0)*VLOOKUP('Données projet'!$B$16,Paramètres!$A$1:$I$89,5,0)</f>
        <v>334.61999999999995</v>
      </c>
      <c r="FG93" s="13">
        <f t="shared" si="101"/>
        <v>78.387374628661505</v>
      </c>
      <c r="FH93" s="20">
        <f t="shared" si="76"/>
        <v>719.32117747825203</v>
      </c>
      <c r="FI93" s="59">
        <f t="shared" si="77"/>
        <v>1012.6545108115854</v>
      </c>
      <c r="FJ93" s="59">
        <f ca="1">AVERAGE(OFFSET($FI$3,0,0,'Données projet'!$E$16+1,1))-AVERAGE(OFFSET($H$3,0,0,'Données projet'!$E$16+1,1))</f>
        <v>356.65981389369125</v>
      </c>
      <c r="FK93" s="59">
        <f t="shared" si="102"/>
        <v>231.92898690465887</v>
      </c>
      <c r="FL93" s="15">
        <f>IF(ISNA(VLOOKUP(A93,'Données projet'!$A$217:$I$237,3,0)),0,VLOOKUP(A93,'Données projet'!$A$217:$I$237,3,0))</f>
        <v>15</v>
      </c>
      <c r="FM93" s="15">
        <f>IF(ISNA(VLOOKUP(A93,'Données projet'!$A$217:$I$237,4,0)),0,VLOOKUP(A93,'Données projet'!$A$217:$I$237,4,0))</f>
        <v>28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2.4960822853527835</v>
      </c>
      <c r="FR93" s="21">
        <f>EXP(-LN(2)/25)*FR92+(1-EXP(-LN(2)/25))/(LN(2)/25)*Calculateur!FM93*Calculateur!FO93*VLOOKUP('Données projet'!$B$16,Paramètres!$A$1:$I$89,3,0)*0.475*44/12</f>
        <v>1.9884300117724072</v>
      </c>
      <c r="FS93" s="21">
        <f>EXP(-LN(2)/2)*FS92+(1-EXP(-LN(2)/2))/(LN(2)/2)*FM93*FP93*VLOOKUP('Données projet'!$B$16,Paramètres!$A$1:$I$89,3,0)*0.475*44/12</f>
        <v>8.9080059821709554E-9</v>
      </c>
      <c r="FT93" s="22">
        <f t="shared" si="78"/>
        <v>4.4845123060331966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>
        <f>VLOOKUP(A93,'Données projet'!$A$243:$I$263,2,0)</f>
        <v>330</v>
      </c>
      <c r="FX93" s="12">
        <f>VLOOKUP(A93,'Données projet'!$A$243:$I$263,9,0)</f>
        <v>6.4</v>
      </c>
      <c r="FY93" s="12">
        <f t="array" ref="FY93">INDEX(FX:FX,MIN(IF(ISNUMBER(FX93:FX289),ROW(FX93:FX289),"")))</f>
        <v>6.4</v>
      </c>
      <c r="FZ93" s="12">
        <f>IF('Données projet'!$A$244&gt;35,FZ92+FY93-GH92,IF(A93&lt;'Données projet'!$A$244,$FW$205^A93,IF(A93='Données projet'!$A$244,'Données projet'!$B$244,FZ92+FY93-GH92)))</f>
        <v>329.99999999999994</v>
      </c>
      <c r="GA93" s="17">
        <f>FZ93*VLOOKUP('Données projet'!$B$17,Paramètres!$A$1:$I$89,3,0)*VLOOKUP('Données projet'!$B$17,Paramètres!$A$1:$I$89,5,0)</f>
        <v>319.17599999999993</v>
      </c>
      <c r="GB93" s="13">
        <f t="shared" si="103"/>
        <v>75.181878718947672</v>
      </c>
      <c r="GC93" s="20">
        <f t="shared" si="79"/>
        <v>686.83997210216705</v>
      </c>
      <c r="GD93" s="59">
        <f t="shared" si="80"/>
        <v>980.17330543550042</v>
      </c>
      <c r="GE93" s="59">
        <f ca="1">AVERAGE(OFFSET($GD$3,0,0,'Données projet'!$E$17+1,1))-AVERAGE(OFFSET($H$3,0,0,'Données projet'!$E$17+1,1))</f>
        <v>337.76140497227715</v>
      </c>
      <c r="GF93" s="59">
        <f t="shared" si="104"/>
        <v>219.76562717496353</v>
      </c>
      <c r="GG93" s="15">
        <f>IF(ISNA(VLOOKUP(A93,'Données projet'!$A$243:$I$263,3,0)),0,VLOOKUP(A93,'Données projet'!$A$243:$I$263,3,0))</f>
        <v>15</v>
      </c>
      <c r="GH93" s="15">
        <f>IF(ISNA(VLOOKUP(A93,'Données projet'!$A$243:$I$263,4,0)),0,VLOOKUP(A93,'Données projet'!$A$243:$I$263,4,0))</f>
        <v>28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2.3808784875672693</v>
      </c>
      <c r="GM93" s="21">
        <f>EXP(-LN(2)/25)*GM92+(1-EXP(-LN(2)/25))/(LN(2)/25)*Calculateur!GH93*Calculateur!GJ93*VLOOKUP('Données projet'!$B$17,Paramètres!$A$1:$I$89,3,0)*0.475*44/12</f>
        <v>1.8966563189213728</v>
      </c>
      <c r="GN93" s="21">
        <f>EXP(-LN(2)/2)*GN92+(1-EXP(-LN(2)/2))/(LN(2)/2)*GH93*GK93*VLOOKUP('Données projet'!$B$17,Paramètres!$A$1:$I$89,3,0)*0.475*44/12</f>
        <v>8.4968672445322979E-9</v>
      </c>
      <c r="GO93" s="21">
        <f t="shared" si="81"/>
        <v>4.2775348149855095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6.2</v>
      </c>
      <c r="N94" s="13">
        <f>IF('Données projet'!$A$36&gt;35,N93+M94-V93,IF(A94&lt;'Données projet'!$A$36,$K$205^A94,IF(A94='Données projet'!$A$36,'Données projet'!$B$36,N93+M94-V93)))</f>
        <v>308.19999999999993</v>
      </c>
      <c r="O94" s="13">
        <f>N94*VLOOKUP('Données projet'!$B$9,Paramètres!$A$1:$I$89,3,0)*VLOOKUP('Données projet'!$B$9,Paramètres!$A$1:$I$89,5,0)</f>
        <v>278.85935999999992</v>
      </c>
      <c r="P94" s="13">
        <f t="shared" si="87"/>
        <v>66.725901622172387</v>
      </c>
      <c r="Q94" s="20">
        <f t="shared" si="54"/>
        <v>601.8943306586167</v>
      </c>
      <c r="R94" s="59">
        <f t="shared" si="55"/>
        <v>895.22766399195007</v>
      </c>
      <c r="S94" s="59">
        <f ca="1">AVERAGE(OFFSET($R$3,0,0,'Données projet'!$E$9+1,1))-AVERAGE(OFFSET($H$3,0,0,'Données projet'!$E$9+1,1))</f>
        <v>312.53389584272878</v>
      </c>
      <c r="T94" s="59">
        <f t="shared" si="88"/>
        <v>203.5274665601915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2.1835979505141356</v>
      </c>
      <c r="AA94" s="21">
        <f>EXP(-LN(2)/25)*AA93+(1-EXP(-LN(2)/25))/(LN(2)/25)*Calculateur!V94*Calculateur!X94*VLOOKUP('Données projet'!$B$9,Paramètres!$A$1:$I$89,3,0)*0.475*44/12</f>
        <v>1.7257733036145066</v>
      </c>
      <c r="AB94" s="21">
        <f>EXP(-LN(2)/2)*AB93+(1-EXP(-LN(2)/2))/(LN(2)/2)*V94*Y94*VLOOKUP('Données projet'!$B$9,Paramètres!$A$1:$I$89,3,0)*0.475*44/12</f>
        <v>5.620567128260277E-9</v>
      </c>
      <c r="AC94" s="22">
        <f t="shared" si="57"/>
        <v>3.9093712597492094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5.6843418860808015E-14</v>
      </c>
      <c r="AJ94" s="13">
        <f>AI94*VLOOKUP('Données projet'!$B$10,Paramètres!$A$1:$I$89,3,0)*VLOOKUP('Données projet'!$B$10,Paramètres!$A$1:$I$89,5,0)</f>
        <v>4.9658410716801891E-14</v>
      </c>
      <c r="AK94" s="13">
        <f t="shared" si="89"/>
        <v>8.0934058173791862E-13</v>
      </c>
      <c r="AL94" s="20">
        <f t="shared" si="58"/>
        <v>1.4960899118586383E-12</v>
      </c>
      <c r="AM94" s="59">
        <f t="shared" si="59"/>
        <v>293.33333333333479</v>
      </c>
      <c r="AN94" s="59">
        <f ca="1">AVERAGE(OFFSET($AM$3,0,0,'Données projet'!$E$10+1,1))-AVERAGE(OFFSET($H$3,0,0,'Données projet'!$E$10+1,1))</f>
        <v>243.05628303465238</v>
      </c>
      <c r="AO94" s="59">
        <f t="shared" si="90"/>
        <v>352.47096767658394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2.3587989329351204</v>
      </c>
      <c r="AV94" s="21">
        <f>EXP(-LN(2)/25)*AV93+(1-EXP(-LN(2)/25))/(LN(2)/25)*Calculateur!AQ94*Calculateur!AS94*VLOOKUP('Données projet'!$B$10,Paramètres!$A$1:$I$89,3,0)*0.475*44/12</f>
        <v>3.3388653625972271</v>
      </c>
      <c r="AW94" s="21">
        <f>EXP(-LN(2)/2)*AW93+(1-EXP(-LN(2)/2))/(LN(2)/2)*AQ94*AT94*VLOOKUP('Données projet'!$B$10,Paramètres!$A$1:$I$89,3,0)*0.475*44/12</f>
        <v>7.4238830037446813E-9</v>
      </c>
      <c r="AX94" s="21">
        <f t="shared" si="60"/>
        <v>5.6976643029562304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-2.8421709430404007E-13</v>
      </c>
      <c r="BE94" s="13">
        <f>BD94*VLOOKUP('Données projet'!$B$11,Paramètres!$A$1:$I$89,3,0)*VLOOKUP('Données projet'!$B$11,Paramètres!$A$1:$I$89,5,0)</f>
        <v>-2.2612312022829427E-13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325.72928944930294</v>
      </c>
      <c r="BJ94" s="59">
        <f t="shared" si="92"/>
        <v>318.38876834819752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5.1731544725365142</v>
      </c>
      <c r="BQ94" s="21">
        <f>EXP(-LN(2)/25)*BQ93+(1-EXP(-LN(2)/25))/(LN(2)/25)*Calculateur!BL94*Calculateur!BN94*VLOOKUP('Données projet'!$B$11,Paramètres!$A$1:$I$89,3,0)*0.475*44/12</f>
        <v>3.8109639722992297</v>
      </c>
      <c r="BR94" s="21">
        <f>EXP(-LN(2)/2)*BR93+(1-EXP(-LN(2)/2))/(LN(2)/2)*BL94*BO94*VLOOKUP('Données projet'!$B$11,Paramètres!$A$1:$I$89,3,0)*0.475*44/12</f>
        <v>7.790397817963716E-9</v>
      </c>
      <c r="BS94" s="22">
        <f t="shared" si="63"/>
        <v>8.9841184526261415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-3.4106051316484809E-13</v>
      </c>
      <c r="BZ94" s="13">
        <f>BY94*VLOOKUP('Données projet'!$B$12,Paramètres!$A$1:$I$89,3,0)*VLOOKUP('Données projet'!$B$12,Paramètres!$A$1:$I$89,5,0)</f>
        <v>-1.9065282685915009E-13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475.54809021014017</v>
      </c>
      <c r="CE94" s="59">
        <f t="shared" si="94"/>
        <v>593.51433014569966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2.1934264729646276</v>
      </c>
      <c r="CL94" s="21">
        <f>EXP(-LN(2)/25)*CL93+(1-EXP(-LN(2)/25))/(LN(2)/25)*Calculateur!CG94*Calculateur!CI94*VLOOKUP('Données projet'!$B$12,Paramètres!$A$1:$I$89,3,0)*0.475*44/12</f>
        <v>7.8527361888793692</v>
      </c>
      <c r="CM94" s="21">
        <f>EXP(-LN(2)/2)*CM93+(1-EXP(-LN(2)/2))/(LN(2)/2)*CG94*CJ94*VLOOKUP('Données projet'!$B$12,Paramètres!$A$1:$I$89,3,0)*0.475*44/12</f>
        <v>9.4948669022947766E-9</v>
      </c>
      <c r="CN94" s="22">
        <f t="shared" si="66"/>
        <v>10.046162671338864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18.5</v>
      </c>
      <c r="CT94" s="12">
        <f>IF('Données projet'!$A$140&gt;35,CT93+CS94-DB93,IF(A94&lt;'Données projet'!$A$140,$CQ$205^A94,IF(A94='Données projet'!$A$140,'Données projet'!$B$140,CT93+CS94-DB93)))</f>
        <v>508.99999999999989</v>
      </c>
      <c r="CU94" s="17">
        <f>CT94*VLOOKUP('Données projet'!$B$13,Paramètres!$A$1:$I$89,3,0)*VLOOKUP('Données projet'!$B$13,Paramètres!$A$1:$I$89,5,0)</f>
        <v>238.21199999999993</v>
      </c>
      <c r="CV94" s="13">
        <f t="shared" si="95"/>
        <v>58.054666307163771</v>
      </c>
      <c r="CW94" s="20">
        <f t="shared" si="67"/>
        <v>515.99777715164339</v>
      </c>
      <c r="CX94" s="59">
        <f t="shared" si="68"/>
        <v>809.33111048497676</v>
      </c>
      <c r="CY94" s="59">
        <f ca="1">AVERAGE(OFFSET($CX$3,0,0,'Données projet'!$E$13+1,1))-AVERAGE(OFFSET($H$3,0,0,'Données projet'!$E$13+1,1))</f>
        <v>226.0452828290525</v>
      </c>
      <c r="CZ94" s="59">
        <f t="shared" si="96"/>
        <v>179.89696397462069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2.7117534823506779</v>
      </c>
      <c r="DG94" s="21">
        <f>EXP(-LN(2)/25)*DG93+(1-EXP(-LN(2)/25))/(LN(2)/25)*Calculateur!DB94*Calculateur!DD94*VLOOKUP('Données projet'!$B$13,Paramètres!$A$1:$I$89,3,0)*0.475*44/12</f>
        <v>2.0550060159527384</v>
      </c>
      <c r="DH94" s="21">
        <f>EXP(-LN(2)/2)*DH93+(1-EXP(-LN(2)/2))/(LN(2)/2)*DB94*DE94*VLOOKUP('Données projet'!$B$13,Paramètres!$A$1:$I$89,3,0)*0.475*44/12</f>
        <v>7.2723917191883838E-9</v>
      </c>
      <c r="DI94" s="22">
        <f t="shared" si="69"/>
        <v>4.7667595055758083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1.1368683772161603E-13</v>
      </c>
      <c r="DP94" s="17">
        <f>DO94*VLOOKUP('Données projet'!$B$14,Paramètres!$A$1:$I$89,3,0)*VLOOKUP('Données projet'!$B$14,Paramètres!$A$1:$I$89,5,0)</f>
        <v>6.7984728957526396E-14</v>
      </c>
      <c r="DQ94" s="13">
        <f t="shared" si="97"/>
        <v>1.0682447123141398E-12</v>
      </c>
      <c r="DR94" s="20">
        <f t="shared" si="70"/>
        <v>1.978932943548152E-12</v>
      </c>
      <c r="DS94" s="59">
        <f t="shared" si="71"/>
        <v>293.3333333333353</v>
      </c>
      <c r="DT94" s="59">
        <f ca="1">AVERAGE(OFFSET($DS$3,0,0,'Données projet'!$E$14+1,1))-AVERAGE(OFFSET($H$3,0,0,'Données projet'!$E$14+1,1))</f>
        <v>252.81045065813976</v>
      </c>
      <c r="DU94" s="59">
        <f t="shared" si="98"/>
        <v>254.36590349790589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5.3942694679829355</v>
      </c>
      <c r="EB94" s="21">
        <f>EXP(-LN(2)/25)*EB93+(1-EXP(-LN(2)/25))/(LN(2)/25)*Calculateur!DW94*Calculateur!DY94*VLOOKUP('Données projet'!$B$14,Paramètres!$A$1:$I$89,3,0)*0.475*44/12</f>
        <v>2.9717613333210013</v>
      </c>
      <c r="EC94" s="21">
        <f>EXP(-LN(2)/2)*EC93+(1-EXP(-LN(2)/2))/(LN(2)/2)*DW94*DZ94*VLOOKUP('Données projet'!$B$14,Paramètres!$A$1:$I$89,3,0)*0.475*44/12</f>
        <v>3.7809566934106796E-9</v>
      </c>
      <c r="ED94" s="22">
        <f t="shared" si="72"/>
        <v>8.3660308050848933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-2.8421709430404007E-13</v>
      </c>
      <c r="EK94" s="17">
        <f>EJ94*VLOOKUP('Données projet'!$B$15,Paramètres!$A$1:$I$89,3,0)*VLOOKUP('Données projet'!$B$15,Paramètres!$A$1:$I$89,5,0)</f>
        <v>-2.0838797354372215E-13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296.91321813251051</v>
      </c>
      <c r="EP94" s="59">
        <f t="shared" si="100"/>
        <v>291.0718079639509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3.8679042504610801</v>
      </c>
      <c r="EW94" s="21">
        <f>EXP(-LN(2)/25)*EW93+(1-EXP(-LN(2)/25))/(LN(2)/25)*Calculateur!ER94*Calculateur!ET94*VLOOKUP('Données projet'!$B$15,Paramètres!$A$1:$I$89,3,0)*0.475*44/12</f>
        <v>2.8494110943458164</v>
      </c>
      <c r="EX94" s="21">
        <f>EXP(-LN(2)/2)*EX93+(1-EXP(-LN(2)/2))/(LN(2)/2)*ER94*EU94*VLOOKUP('Données projet'!$B$15,Paramètres!$A$1:$I$89,3,0)*0.475*44/12</f>
        <v>7.1793862243979519E-9</v>
      </c>
      <c r="EY94" s="22">
        <f t="shared" si="75"/>
        <v>6.7173153519862829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6.2</v>
      </c>
      <c r="FE94" s="12">
        <f>IF('Données projet'!$A$218&gt;35,FE93+FD94-FM93,IF(A94&lt;'Données projet'!$A$218,$FB$205^A94,IF(A94='Données projet'!$A$218,'Données projet'!$B$218,FE93+FD94-FM93)))</f>
        <v>308.19999999999993</v>
      </c>
      <c r="FF94" s="17">
        <f>FE94*VLOOKUP('Données projet'!$B$16,Paramètres!$A$1:$I$89,3,0)*VLOOKUP('Données projet'!$B$16,Paramètres!$A$1:$I$89,5,0)</f>
        <v>312.51479999999992</v>
      </c>
      <c r="FG94" s="13">
        <f t="shared" si="101"/>
        <v>73.793773289024969</v>
      </c>
      <c r="FH94" s="20">
        <f t="shared" si="76"/>
        <v>672.82076514505172</v>
      </c>
      <c r="FI94" s="59">
        <f t="shared" si="77"/>
        <v>966.15409847838509</v>
      </c>
      <c r="FJ94" s="59">
        <f ca="1">AVERAGE(OFFSET($FI$3,0,0,'Données projet'!$E$16+1,1))-AVERAGE(OFFSET($H$3,0,0,'Données projet'!$E$16+1,1))</f>
        <v>356.65981389369125</v>
      </c>
      <c r="FK94" s="59">
        <f t="shared" si="102"/>
        <v>231.92898690465887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2.4471356341968793</v>
      </c>
      <c r="FR94" s="21">
        <f>EXP(-LN(2)/25)*FR93+(1-EXP(-LN(2)/25))/(LN(2)/25)*Calculateur!FM94*Calculateur!FO94*VLOOKUP('Données projet'!$B$16,Paramètres!$A$1:$I$89,3,0)*0.475*44/12</f>
        <v>1.9340562885335011</v>
      </c>
      <c r="FS94" s="21">
        <f>EXP(-LN(2)/2)*FS93+(1-EXP(-LN(2)/2))/(LN(2)/2)*FM94*FP94*VLOOKUP('Données projet'!$B$16,Paramètres!$A$1:$I$89,3,0)*0.475*44/12</f>
        <v>6.2989114368434142E-9</v>
      </c>
      <c r="FT94" s="22">
        <f t="shared" si="78"/>
        <v>4.381191929029292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6.2</v>
      </c>
      <c r="FZ94" s="12">
        <f>IF('Données projet'!$A$244&gt;35,FZ93+FY94-GH93,IF(A94&lt;'Données projet'!$A$244,$FW$205^A94,IF(A94='Données projet'!$A$244,'Données projet'!$B$244,FZ93+FY94-GH93)))</f>
        <v>308.19999999999993</v>
      </c>
      <c r="GA94" s="17">
        <f>FZ94*VLOOKUP('Données projet'!$B$17,Paramètres!$A$1:$I$89,3,0)*VLOOKUP('Données projet'!$B$17,Paramètres!$A$1:$I$89,5,0)</f>
        <v>298.09103999999991</v>
      </c>
      <c r="GB94" s="13">
        <f t="shared" si="103"/>
        <v>70.776123577436934</v>
      </c>
      <c r="GC94" s="20">
        <f t="shared" si="79"/>
        <v>642.44364323070249</v>
      </c>
      <c r="GD94" s="59">
        <f t="shared" si="80"/>
        <v>935.77697656403575</v>
      </c>
      <c r="GE94" s="59">
        <f ca="1">AVERAGE(OFFSET($GD$3,0,0,'Données projet'!$E$17+1,1))-AVERAGE(OFFSET($H$3,0,0,'Données projet'!$E$17+1,1))</f>
        <v>337.76140497227715</v>
      </c>
      <c r="GF94" s="59">
        <f t="shared" si="104"/>
        <v>219.76562717496353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2.3341909126185603</v>
      </c>
      <c r="GM94" s="21">
        <f>EXP(-LN(2)/25)*GM93+(1-EXP(-LN(2)/25))/(LN(2)/25)*Calculateur!GH94*Calculateur!GJ94*VLOOKUP('Données projet'!$B$17,Paramètres!$A$1:$I$89,3,0)*0.475*44/12</f>
        <v>1.8447921521396469</v>
      </c>
      <c r="GN94" s="21">
        <f>EXP(-LN(2)/2)*GN93+(1-EXP(-LN(2)/2))/(LN(2)/2)*GH94*GK94*VLOOKUP('Données projet'!$B$17,Paramètres!$A$1:$I$89,3,0)*0.475*44/12</f>
        <v>6.0081924474506427E-9</v>
      </c>
      <c r="GO94" s="21">
        <f t="shared" si="81"/>
        <v>4.1789830707663995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6.2</v>
      </c>
      <c r="N95" s="13">
        <f>IF('Données projet'!$A$36&gt;35,N94+M95-V94,IF(A95&lt;'Données projet'!$A$36,$K$205^A95,IF(A95='Données projet'!$A$36,'Données projet'!$B$36,N94+M95-V94)))</f>
        <v>314.39999999999992</v>
      </c>
      <c r="O95" s="13">
        <f>N95*VLOOKUP('Données projet'!$B$9,Paramètres!$A$1:$I$89,3,0)*VLOOKUP('Données projet'!$B$9,Paramètres!$A$1:$I$89,5,0)</f>
        <v>284.46911999999992</v>
      </c>
      <c r="P95" s="13">
        <f t="shared" si="87"/>
        <v>67.91059023737904</v>
      </c>
      <c r="Q95" s="20">
        <f t="shared" si="54"/>
        <v>613.72799533010163</v>
      </c>
      <c r="R95" s="59">
        <f t="shared" si="55"/>
        <v>907.06132866343501</v>
      </c>
      <c r="S95" s="59">
        <f ca="1">AVERAGE(OFFSET($R$3,0,0,'Données projet'!$E$9+1,1))-AVERAGE(OFFSET($H$3,0,0,'Données projet'!$E$9+1,1))</f>
        <v>312.53389584272878</v>
      </c>
      <c r="T95" s="59">
        <f t="shared" si="88"/>
        <v>203.5274665601915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2.1407789265677928</v>
      </c>
      <c r="AA95" s="21">
        <f>EXP(-LN(2)/25)*AA94+(1-EXP(-LN(2)/25))/(LN(2)/25)*Calculateur!V95*Calculateur!X95*VLOOKUP('Données projet'!$B$9,Paramètres!$A$1:$I$89,3,0)*0.475*44/12</f>
        <v>1.6785819418726942</v>
      </c>
      <c r="AB95" s="21">
        <f>EXP(-LN(2)/2)*AB94+(1-EXP(-LN(2)/2))/(LN(2)/2)*V95*Y95*VLOOKUP('Données projet'!$B$9,Paramètres!$A$1:$I$89,3,0)*0.475*44/12</f>
        <v>3.9743411305070415E-9</v>
      </c>
      <c r="AC95" s="22">
        <f t="shared" si="57"/>
        <v>3.8193608724148285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5.6843418860808015E-14</v>
      </c>
      <c r="AJ95" s="13">
        <f>AI95*VLOOKUP('Données projet'!$B$10,Paramètres!$A$1:$I$89,3,0)*VLOOKUP('Données projet'!$B$10,Paramètres!$A$1:$I$89,5,0)</f>
        <v>4.9658410716801891E-14</v>
      </c>
      <c r="AK95" s="13">
        <f t="shared" si="89"/>
        <v>8.0934058173791862E-13</v>
      </c>
      <c r="AL95" s="20">
        <f t="shared" si="58"/>
        <v>1.4960899118586383E-12</v>
      </c>
      <c r="AM95" s="59">
        <f t="shared" si="59"/>
        <v>293.33333333333479</v>
      </c>
      <c r="AN95" s="59">
        <f ca="1">AVERAGE(OFFSET($AM$3,0,0,'Données projet'!$E$10+1,1))-AVERAGE(OFFSET($H$3,0,0,'Données projet'!$E$10+1,1))</f>
        <v>243.05628303465238</v>
      </c>
      <c r="AO95" s="59">
        <f t="shared" si="90"/>
        <v>352.47096767658394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2.3125443245855495</v>
      </c>
      <c r="AV95" s="21">
        <f>EXP(-LN(2)/25)*AV94+(1-EXP(-LN(2)/25))/(LN(2)/25)*Calculateur!AQ95*Calculateur!AS95*VLOOKUP('Données projet'!$B$10,Paramètres!$A$1:$I$89,3,0)*0.475*44/12</f>
        <v>3.2475639136737078</v>
      </c>
      <c r="AW95" s="21">
        <f>EXP(-LN(2)/2)*AW94+(1-EXP(-LN(2)/2))/(LN(2)/2)*AQ95*AT95*VLOOKUP('Données projet'!$B$10,Paramètres!$A$1:$I$89,3,0)*0.475*44/12</f>
        <v>5.2494780146834201E-9</v>
      </c>
      <c r="AX95" s="21">
        <f t="shared" si="60"/>
        <v>5.5601082435087354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-2.8421709430404007E-13</v>
      </c>
      <c r="BE95" s="13">
        <f>BD95*VLOOKUP('Données projet'!$B$11,Paramètres!$A$1:$I$89,3,0)*VLOOKUP('Données projet'!$B$11,Paramètres!$A$1:$I$89,5,0)</f>
        <v>-2.2612312022829427E-13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325.72928944930294</v>
      </c>
      <c r="BJ95" s="59">
        <f t="shared" si="92"/>
        <v>318.38876834819752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5.0717120686427402</v>
      </c>
      <c r="BQ95" s="21">
        <f>EXP(-LN(2)/25)*BQ94+(1-EXP(-LN(2)/25))/(LN(2)/25)*Calculateur!BL95*Calculateur!BN95*VLOOKUP('Données projet'!$B$11,Paramètres!$A$1:$I$89,3,0)*0.475*44/12</f>
        <v>3.706752962066822</v>
      </c>
      <c r="BR95" s="21">
        <f>EXP(-LN(2)/2)*BR94+(1-EXP(-LN(2)/2))/(LN(2)/2)*BL95*BO95*VLOOKUP('Données projet'!$B$11,Paramètres!$A$1:$I$89,3,0)*0.475*44/12</f>
        <v>5.5086431252230268E-9</v>
      </c>
      <c r="BS95" s="22">
        <f t="shared" si="63"/>
        <v>8.7784650362182042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-3.4106051316484809E-13</v>
      </c>
      <c r="BZ95" s="13">
        <f>BY95*VLOOKUP('Données projet'!$B$12,Paramètres!$A$1:$I$89,3,0)*VLOOKUP('Données projet'!$B$12,Paramètres!$A$1:$I$89,5,0)</f>
        <v>-1.9065282685915009E-13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475.54809021014017</v>
      </c>
      <c r="CE95" s="59">
        <f t="shared" si="94"/>
        <v>593.51433014569966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2.1504147176878372</v>
      </c>
      <c r="CL95" s="21">
        <f>EXP(-LN(2)/25)*CL94+(1-EXP(-LN(2)/25))/(LN(2)/25)*Calculateur!CG95*Calculateur!CI95*VLOOKUP('Données projet'!$B$12,Paramètres!$A$1:$I$89,3,0)*0.475*44/12</f>
        <v>7.6380027048370147</v>
      </c>
      <c r="CM95" s="21">
        <f>EXP(-LN(2)/2)*CM94+(1-EXP(-LN(2)/2))/(LN(2)/2)*CG95*CJ95*VLOOKUP('Données projet'!$B$12,Paramètres!$A$1:$I$89,3,0)*0.475*44/12</f>
        <v>6.713884773076345E-9</v>
      </c>
      <c r="CN95" s="22">
        <f t="shared" si="66"/>
        <v>9.788417429238736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18.5</v>
      </c>
      <c r="CT95" s="12">
        <f>IF('Données projet'!$A$140&gt;35,CT94+CS95-DB94,IF(A95&lt;'Données projet'!$A$140,$CQ$205^A95,IF(A95='Données projet'!$A$140,'Données projet'!$B$140,CT94+CS95-DB94)))</f>
        <v>527.49999999999989</v>
      </c>
      <c r="CU95" s="17">
        <f>CT95*VLOOKUP('Données projet'!$B$13,Paramètres!$A$1:$I$89,3,0)*VLOOKUP('Données projet'!$B$13,Paramètres!$A$1:$I$89,5,0)</f>
        <v>246.86999999999995</v>
      </c>
      <c r="CV95" s="13">
        <f t="shared" si="95"/>
        <v>59.91520778876734</v>
      </c>
      <c r="CW95" s="20">
        <f t="shared" si="67"/>
        <v>534.31757023210309</v>
      </c>
      <c r="CX95" s="59">
        <f t="shared" si="68"/>
        <v>827.65090356543647</v>
      </c>
      <c r="CY95" s="59">
        <f ca="1">AVERAGE(OFFSET($CX$3,0,0,'Données projet'!$E$13+1,1))-AVERAGE(OFFSET($H$3,0,0,'Données projet'!$E$13+1,1))</f>
        <v>226.0452828290525</v>
      </c>
      <c r="CZ95" s="59">
        <f t="shared" si="96"/>
        <v>179.89696397462069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2.6585776505680858</v>
      </c>
      <c r="DG95" s="21">
        <f>EXP(-LN(2)/25)*DG94+(1-EXP(-LN(2)/25))/(LN(2)/25)*Calculateur!DB95*Calculateur!DD95*VLOOKUP('Données projet'!$B$13,Paramètres!$A$1:$I$89,3,0)*0.475*44/12</f>
        <v>1.9988117683784412</v>
      </c>
      <c r="DH95" s="21">
        <f>EXP(-LN(2)/2)*DH94+(1-EXP(-LN(2)/2))/(LN(2)/2)*DB95*DE95*VLOOKUP('Données projet'!$B$13,Paramètres!$A$1:$I$89,3,0)*0.475*44/12</f>
        <v>5.1423575000830014E-9</v>
      </c>
      <c r="DI95" s="22">
        <f t="shared" si="69"/>
        <v>4.6573894240888851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1.1368683772161603E-13</v>
      </c>
      <c r="DP95" s="17">
        <f>DO95*VLOOKUP('Données projet'!$B$14,Paramètres!$A$1:$I$89,3,0)*VLOOKUP('Données projet'!$B$14,Paramètres!$A$1:$I$89,5,0)</f>
        <v>6.7984728957526396E-14</v>
      </c>
      <c r="DQ95" s="13">
        <f t="shared" si="97"/>
        <v>1.0682447123141398E-12</v>
      </c>
      <c r="DR95" s="20">
        <f t="shared" si="70"/>
        <v>1.978932943548152E-12</v>
      </c>
      <c r="DS95" s="59">
        <f t="shared" si="71"/>
        <v>293.3333333333353</v>
      </c>
      <c r="DT95" s="59">
        <f ca="1">AVERAGE(OFFSET($DS$3,0,0,'Données projet'!$E$14+1,1))-AVERAGE(OFFSET($H$3,0,0,'Données projet'!$E$14+1,1))</f>
        <v>252.81045065813976</v>
      </c>
      <c r="DU95" s="59">
        <f t="shared" si="98"/>
        <v>254.36590349790589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5.2884911338952874</v>
      </c>
      <c r="EB95" s="21">
        <f>EXP(-LN(2)/25)*EB94+(1-EXP(-LN(2)/25))/(LN(2)/25)*Calculateur!DW95*Calculateur!DY95*VLOOKUP('Données projet'!$B$14,Paramètres!$A$1:$I$89,3,0)*0.475*44/12</f>
        <v>2.8904983633832022</v>
      </c>
      <c r="EC95" s="21">
        <f>EXP(-LN(2)/2)*EC94+(1-EXP(-LN(2)/2))/(LN(2)/2)*DW95*DZ95*VLOOKUP('Données projet'!$B$14,Paramètres!$A$1:$I$89,3,0)*0.475*44/12</f>
        <v>2.6735401172833577E-9</v>
      </c>
      <c r="ED95" s="22">
        <f t="shared" si="72"/>
        <v>8.1789894999520296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-2.8421709430404007E-13</v>
      </c>
      <c r="EK95" s="17">
        <f>EJ95*VLOOKUP('Données projet'!$B$15,Paramètres!$A$1:$I$89,3,0)*VLOOKUP('Données projet'!$B$15,Paramètres!$A$1:$I$89,5,0)</f>
        <v>-2.0838797354372215E-13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296.91321813251051</v>
      </c>
      <c r="EP95" s="59">
        <f t="shared" si="100"/>
        <v>291.0718079639509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3.7920570072981805</v>
      </c>
      <c r="EW95" s="21">
        <f>EXP(-LN(2)/25)*EW94+(1-EXP(-LN(2)/25))/(LN(2)/25)*Calculateur!ER95*Calculateur!ET95*VLOOKUP('Données projet'!$B$15,Paramètres!$A$1:$I$89,3,0)*0.475*44/12</f>
        <v>2.771493798126913</v>
      </c>
      <c r="EX95" s="21">
        <f>EXP(-LN(2)/2)*EX94+(1-EXP(-LN(2)/2))/(LN(2)/2)*ER95*EU95*VLOOKUP('Données projet'!$B$15,Paramètres!$A$1:$I$89,3,0)*0.475*44/12</f>
        <v>5.0765926840290761E-9</v>
      </c>
      <c r="EY95" s="22">
        <f t="shared" si="75"/>
        <v>6.5635508105016855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6.2</v>
      </c>
      <c r="FE95" s="12">
        <f>IF('Données projet'!$A$218&gt;35,FE94+FD95-FM94,IF(A95&lt;'Données projet'!$A$218,$FB$205^A95,IF(A95='Données projet'!$A$218,'Données projet'!$B$218,FE94+FD95-FM94)))</f>
        <v>314.39999999999992</v>
      </c>
      <c r="FF95" s="17">
        <f>FE95*VLOOKUP('Données projet'!$B$16,Paramètres!$A$1:$I$89,3,0)*VLOOKUP('Données projet'!$B$16,Paramètres!$A$1:$I$89,5,0)</f>
        <v>318.80159999999995</v>
      </c>
      <c r="FG95" s="13">
        <f t="shared" si="101"/>
        <v>75.103948812522063</v>
      </c>
      <c r="FH95" s="20">
        <f t="shared" si="76"/>
        <v>686.05216418180908</v>
      </c>
      <c r="FI95" s="59">
        <f t="shared" si="77"/>
        <v>979.38549751514233</v>
      </c>
      <c r="FJ95" s="59">
        <f ca="1">AVERAGE(OFFSET($FI$3,0,0,'Données projet'!$E$16+1,1))-AVERAGE(OFFSET($H$3,0,0,'Données projet'!$E$16+1,1))</f>
        <v>356.65981389369125</v>
      </c>
      <c r="FK95" s="59">
        <f t="shared" si="102"/>
        <v>231.92898690465887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2.3991487970156329</v>
      </c>
      <c r="FR95" s="21">
        <f>EXP(-LN(2)/25)*FR94+(1-EXP(-LN(2)/25))/(LN(2)/25)*Calculateur!FM95*Calculateur!FO95*VLOOKUP('Données projet'!$B$16,Paramètres!$A$1:$I$89,3,0)*0.475*44/12</f>
        <v>1.8811694176159526</v>
      </c>
      <c r="FS95" s="21">
        <f>EXP(-LN(2)/2)*FS94+(1-EXP(-LN(2)/2))/(LN(2)/2)*FM95*FP95*VLOOKUP('Données projet'!$B$16,Paramètres!$A$1:$I$89,3,0)*0.475*44/12</f>
        <v>4.4540029910854777E-9</v>
      </c>
      <c r="FT95" s="22">
        <f t="shared" si="78"/>
        <v>4.2803182190855891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6.2</v>
      </c>
      <c r="FZ95" s="12">
        <f>IF('Données projet'!$A$244&gt;35,FZ94+FY95-GH94,IF(A95&lt;'Données projet'!$A$244,$FW$205^A95,IF(A95='Données projet'!$A$244,'Données projet'!$B$244,FZ94+FY95-GH94)))</f>
        <v>314.39999999999992</v>
      </c>
      <c r="GA95" s="17">
        <f>FZ95*VLOOKUP('Données projet'!$B$17,Paramètres!$A$1:$I$89,3,0)*VLOOKUP('Données projet'!$B$17,Paramètres!$A$1:$I$89,5,0)</f>
        <v>304.08767999999992</v>
      </c>
      <c r="GB95" s="13">
        <f t="shared" si="103"/>
        <v>72.032722076553981</v>
      </c>
      <c r="GC95" s="20">
        <f t="shared" si="79"/>
        <v>655.07636694999792</v>
      </c>
      <c r="GD95" s="59">
        <f t="shared" si="80"/>
        <v>948.40970028333118</v>
      </c>
      <c r="GE95" s="59">
        <f ca="1">AVERAGE(OFFSET($GD$3,0,0,'Données projet'!$E$17+1,1))-AVERAGE(OFFSET($H$3,0,0,'Données projet'!$E$17+1,1))</f>
        <v>337.76140497227715</v>
      </c>
      <c r="GF95" s="59">
        <f t="shared" si="104"/>
        <v>219.76562717496353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2.2884188525379869</v>
      </c>
      <c r="GM95" s="21">
        <f>EXP(-LN(2)/25)*GM94+(1-EXP(-LN(2)/25))/(LN(2)/25)*Calculateur!GH95*Calculateur!GJ95*VLOOKUP('Données projet'!$B$17,Paramètres!$A$1:$I$89,3,0)*0.475*44/12</f>
        <v>1.7943462137259854</v>
      </c>
      <c r="GN95" s="21">
        <f>EXP(-LN(2)/2)*GN94+(1-EXP(-LN(2)/2))/(LN(2)/2)*GH95*GK95*VLOOKUP('Données projet'!$B$17,Paramètres!$A$1:$I$89,3,0)*0.475*44/12</f>
        <v>4.2484336222661489E-9</v>
      </c>
      <c r="GO95" s="21">
        <f t="shared" si="81"/>
        <v>4.0827650705124059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6.2</v>
      </c>
      <c r="N96" s="13">
        <f>IF('Données projet'!$A$36&gt;35,N95+M96-V95,IF(A96&lt;'Données projet'!$A$36,$K$205^A96,IF(A96='Données projet'!$A$36,'Données projet'!$B$36,N95+M96-V95)))</f>
        <v>320.59999999999991</v>
      </c>
      <c r="O96" s="13">
        <f>N96*VLOOKUP('Données projet'!$B$9,Paramètres!$A$1:$I$89,3,0)*VLOOKUP('Données projet'!$B$9,Paramètres!$A$1:$I$89,5,0)</f>
        <v>290.07887999999991</v>
      </c>
      <c r="P96" s="13">
        <f t="shared" si="87"/>
        <v>69.092562427360406</v>
      </c>
      <c r="Q96" s="20">
        <f t="shared" si="54"/>
        <v>625.55692889431919</v>
      </c>
      <c r="R96" s="59">
        <f t="shared" si="55"/>
        <v>918.89026222765256</v>
      </c>
      <c r="S96" s="59">
        <f ca="1">AVERAGE(OFFSET($R$3,0,0,'Données projet'!$E$9+1,1))-AVERAGE(OFFSET($H$3,0,0,'Données projet'!$E$9+1,1))</f>
        <v>312.53389584272878</v>
      </c>
      <c r="T96" s="59">
        <f t="shared" si="88"/>
        <v>203.5274665601915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2.0987995575640119</v>
      </c>
      <c r="AA96" s="21">
        <f>EXP(-LN(2)/25)*AA95+(1-EXP(-LN(2)/25))/(LN(2)/25)*Calculateur!V96*Calculateur!X96*VLOOKUP('Données projet'!$B$9,Paramètres!$A$1:$I$89,3,0)*0.475*44/12</f>
        <v>1.6326810303993975</v>
      </c>
      <c r="AB96" s="21">
        <f>EXP(-LN(2)/2)*AB95+(1-EXP(-LN(2)/2))/(LN(2)/2)*V96*Y96*VLOOKUP('Données projet'!$B$9,Paramètres!$A$1:$I$89,3,0)*0.475*44/12</f>
        <v>2.8102835641301385E-9</v>
      </c>
      <c r="AC96" s="22">
        <f t="shared" si="57"/>
        <v>3.731480590773693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5.6843418860808015E-14</v>
      </c>
      <c r="AJ96" s="13">
        <f>AI96*VLOOKUP('Données projet'!$B$10,Paramètres!$A$1:$I$89,3,0)*VLOOKUP('Données projet'!$B$10,Paramètres!$A$1:$I$89,5,0)</f>
        <v>4.9658410716801891E-14</v>
      </c>
      <c r="AK96" s="13">
        <f t="shared" si="89"/>
        <v>8.0934058173791862E-13</v>
      </c>
      <c r="AL96" s="20">
        <f t="shared" si="58"/>
        <v>1.4960899118586383E-12</v>
      </c>
      <c r="AM96" s="59">
        <f t="shared" si="59"/>
        <v>293.33333333333479</v>
      </c>
      <c r="AN96" s="59">
        <f ca="1">AVERAGE(OFFSET($AM$3,0,0,'Données projet'!$E$10+1,1))-AVERAGE(OFFSET($H$3,0,0,'Données projet'!$E$10+1,1))</f>
        <v>243.05628303465238</v>
      </c>
      <c r="AO96" s="59">
        <f t="shared" si="90"/>
        <v>352.47096767658394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2.2671967408931883</v>
      </c>
      <c r="AV96" s="21">
        <f>EXP(-LN(2)/25)*AV95+(1-EXP(-LN(2)/25))/(LN(2)/25)*Calculateur!AQ96*Calculateur!AS96*VLOOKUP('Données projet'!$B$10,Paramètres!$A$1:$I$89,3,0)*0.475*44/12</f>
        <v>3.1587591076723363</v>
      </c>
      <c r="AW96" s="21">
        <f>EXP(-LN(2)/2)*AW95+(1-EXP(-LN(2)/2))/(LN(2)/2)*AQ96*AT96*VLOOKUP('Données projet'!$B$10,Paramètres!$A$1:$I$89,3,0)*0.475*44/12</f>
        <v>3.7119415018723415E-9</v>
      </c>
      <c r="AX96" s="21">
        <f t="shared" si="60"/>
        <v>5.4259558522774665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-2.8421709430404007E-13</v>
      </c>
      <c r="BE96" s="13">
        <f>BD96*VLOOKUP('Données projet'!$B$11,Paramètres!$A$1:$I$89,3,0)*VLOOKUP('Données projet'!$B$11,Paramètres!$A$1:$I$89,5,0)</f>
        <v>-2.2612312022829427E-13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325.72928944930294</v>
      </c>
      <c r="BJ96" s="59">
        <f t="shared" si="92"/>
        <v>318.38876834819752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4.9722588884155661</v>
      </c>
      <c r="BQ96" s="21">
        <f>EXP(-LN(2)/25)*BQ95+(1-EXP(-LN(2)/25))/(LN(2)/25)*Calculateur!BL96*Calculateur!BN96*VLOOKUP('Données projet'!$B$11,Paramètres!$A$1:$I$89,3,0)*0.475*44/12</f>
        <v>3.6053916073894383</v>
      </c>
      <c r="BR96" s="21">
        <f>EXP(-LN(2)/2)*BR95+(1-EXP(-LN(2)/2))/(LN(2)/2)*BL96*BO96*VLOOKUP('Données projet'!$B$11,Paramètres!$A$1:$I$89,3,0)*0.475*44/12</f>
        <v>3.895198908981858E-9</v>
      </c>
      <c r="BS96" s="22">
        <f t="shared" si="63"/>
        <v>8.5776504997002032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-3.4106051316484809E-13</v>
      </c>
      <c r="BZ96" s="13">
        <f>BY96*VLOOKUP('Données projet'!$B$12,Paramètres!$A$1:$I$89,3,0)*VLOOKUP('Données projet'!$B$12,Paramètres!$A$1:$I$89,5,0)</f>
        <v>-1.9065282685915009E-13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475.54809021014017</v>
      </c>
      <c r="CE96" s="59">
        <f t="shared" si="94"/>
        <v>593.51433014569966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2.1082463966974445</v>
      </c>
      <c r="CL96" s="21">
        <f>EXP(-LN(2)/25)*CL95+(1-EXP(-LN(2)/25))/(LN(2)/25)*Calculateur!CG96*Calculateur!CI96*VLOOKUP('Données projet'!$B$12,Paramètres!$A$1:$I$89,3,0)*0.475*44/12</f>
        <v>7.4291411192081416</v>
      </c>
      <c r="CM96" s="21">
        <f>EXP(-LN(2)/2)*CM95+(1-EXP(-LN(2)/2))/(LN(2)/2)*CG96*CJ96*VLOOKUP('Données projet'!$B$12,Paramètres!$A$1:$I$89,3,0)*0.475*44/12</f>
        <v>4.7474334511473883E-9</v>
      </c>
      <c r="CN96" s="22">
        <f t="shared" si="66"/>
        <v>9.5373875206530183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18.5</v>
      </c>
      <c r="CT96" s="12">
        <f>IF('Données projet'!$A$140&gt;35,CT95+CS96-DB95,IF(A96&lt;'Données projet'!$A$140,$CQ$205^A96,IF(A96='Données projet'!$A$140,'Données projet'!$B$140,CT95+CS96-DB95)))</f>
        <v>545.99999999999989</v>
      </c>
      <c r="CU96" s="17">
        <f>CT96*VLOOKUP('Données projet'!$B$13,Paramètres!$A$1:$I$89,3,0)*VLOOKUP('Données projet'!$B$13,Paramètres!$A$1:$I$89,5,0)</f>
        <v>255.52799999999993</v>
      </c>
      <c r="CV96" s="13">
        <f t="shared" si="95"/>
        <v>61.768167868721477</v>
      </c>
      <c r="CW96" s="20">
        <f t="shared" si="67"/>
        <v>552.62415903802309</v>
      </c>
      <c r="CX96" s="59">
        <f t="shared" si="68"/>
        <v>845.95749237135647</v>
      </c>
      <c r="CY96" s="59">
        <f ca="1">AVERAGE(OFFSET($CX$3,0,0,'Données projet'!$E$13+1,1))-AVERAGE(OFFSET($H$3,0,0,'Données projet'!$E$13+1,1))</f>
        <v>226.0452828290525</v>
      </c>
      <c r="CZ96" s="59">
        <f t="shared" si="96"/>
        <v>179.89696397462069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2.6064445644126955</v>
      </c>
      <c r="DG96" s="21">
        <f>EXP(-LN(2)/25)*DG95+(1-EXP(-LN(2)/25))/(LN(2)/25)*Calculateur!DB96*Calculateur!DD96*VLOOKUP('Données projet'!$B$13,Paramètres!$A$1:$I$89,3,0)*0.475*44/12</f>
        <v>1.9441541554591901</v>
      </c>
      <c r="DH96" s="21">
        <f>EXP(-LN(2)/2)*DH95+(1-EXP(-LN(2)/2))/(LN(2)/2)*DB96*DE96*VLOOKUP('Données projet'!$B$13,Paramètres!$A$1:$I$89,3,0)*0.475*44/12</f>
        <v>3.6361958595941927E-9</v>
      </c>
      <c r="DI96" s="22">
        <f t="shared" si="69"/>
        <v>4.5505987235080818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1.1368683772161603E-13</v>
      </c>
      <c r="DP96" s="17">
        <f>DO96*VLOOKUP('Données projet'!$B$14,Paramètres!$A$1:$I$89,3,0)*VLOOKUP('Données projet'!$B$14,Paramètres!$A$1:$I$89,5,0)</f>
        <v>6.7984728957526396E-14</v>
      </c>
      <c r="DQ96" s="13">
        <f t="shared" si="97"/>
        <v>1.0682447123141398E-12</v>
      </c>
      <c r="DR96" s="20">
        <f t="shared" si="70"/>
        <v>1.978932943548152E-12</v>
      </c>
      <c r="DS96" s="59">
        <f t="shared" si="71"/>
        <v>293.3333333333353</v>
      </c>
      <c r="DT96" s="59">
        <f ca="1">AVERAGE(OFFSET($DS$3,0,0,'Données projet'!$E$14+1,1))-AVERAGE(OFFSET($H$3,0,0,'Données projet'!$E$14+1,1))</f>
        <v>252.81045065813976</v>
      </c>
      <c r="DU96" s="59">
        <f t="shared" si="98"/>
        <v>254.36590349790589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5.1847870484206853</v>
      </c>
      <c r="EB96" s="21">
        <f>EXP(-LN(2)/25)*EB95+(1-EXP(-LN(2)/25))/(LN(2)/25)*Calculateur!DW96*Calculateur!DY96*VLOOKUP('Données projet'!$B$14,Paramètres!$A$1:$I$89,3,0)*0.475*44/12</f>
        <v>2.8114575336317857</v>
      </c>
      <c r="EC96" s="21">
        <f>EXP(-LN(2)/2)*EC95+(1-EXP(-LN(2)/2))/(LN(2)/2)*DW96*DZ96*VLOOKUP('Données projet'!$B$14,Paramètres!$A$1:$I$89,3,0)*0.475*44/12</f>
        <v>1.8904783467053398E-9</v>
      </c>
      <c r="ED96" s="22">
        <f t="shared" si="72"/>
        <v>7.996244583942949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-2.8421709430404007E-13</v>
      </c>
      <c r="EK96" s="17">
        <f>EJ96*VLOOKUP('Données projet'!$B$15,Paramètres!$A$1:$I$89,3,0)*VLOOKUP('Données projet'!$B$15,Paramètres!$A$1:$I$89,5,0)</f>
        <v>-2.0838797354372215E-13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296.91321813251051</v>
      </c>
      <c r="EP96" s="59">
        <f t="shared" si="100"/>
        <v>291.0718079639509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3.7176970823114552</v>
      </c>
      <c r="EW96" s="21">
        <f>EXP(-LN(2)/25)*EW95+(1-EXP(-LN(2)/25))/(LN(2)/25)*Calculateur!ER96*Calculateur!ET96*VLOOKUP('Données projet'!$B$15,Paramètres!$A$1:$I$89,3,0)*0.475*44/12</f>
        <v>2.6957071544706079</v>
      </c>
      <c r="EX96" s="21">
        <f>EXP(-LN(2)/2)*EX95+(1-EXP(-LN(2)/2))/(LN(2)/2)*ER96*EU96*VLOOKUP('Données projet'!$B$15,Paramètres!$A$1:$I$89,3,0)*0.475*44/12</f>
        <v>3.5896931121989759E-9</v>
      </c>
      <c r="EY96" s="22">
        <f t="shared" si="75"/>
        <v>6.4134042403717562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6.2</v>
      </c>
      <c r="FE96" s="12">
        <f>IF('Données projet'!$A$218&gt;35,FE95+FD96-FM95,IF(A96&lt;'Données projet'!$A$218,$FB$205^A96,IF(A96='Données projet'!$A$218,'Données projet'!$B$218,FE95+FD96-FM95)))</f>
        <v>320.59999999999991</v>
      </c>
      <c r="FF96" s="17">
        <f>FE96*VLOOKUP('Données projet'!$B$16,Paramètres!$A$1:$I$89,3,0)*VLOOKUP('Données projet'!$B$16,Paramètres!$A$1:$I$89,5,0)</f>
        <v>325.08839999999992</v>
      </c>
      <c r="FG96" s="13">
        <f t="shared" si="101"/>
        <v>76.411120176279823</v>
      </c>
      <c r="FH96" s="20">
        <f t="shared" si="76"/>
        <v>699.27833097368728</v>
      </c>
      <c r="FI96" s="59">
        <f t="shared" si="77"/>
        <v>992.61166430702065</v>
      </c>
      <c r="FJ96" s="59">
        <f ca="1">AVERAGE(OFFSET($FI$3,0,0,'Données projet'!$E$16+1,1))-AVERAGE(OFFSET($H$3,0,0,'Données projet'!$E$16+1,1))</f>
        <v>356.65981389369125</v>
      </c>
      <c r="FK96" s="59">
        <f t="shared" si="102"/>
        <v>231.92898690465887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2.3521029524424302</v>
      </c>
      <c r="FR96" s="21">
        <f>EXP(-LN(2)/25)*FR95+(1-EXP(-LN(2)/25))/(LN(2)/25)*Calculateur!FM96*Calculateur!FO96*VLOOKUP('Données projet'!$B$16,Paramètres!$A$1:$I$89,3,0)*0.475*44/12</f>
        <v>1.8297287409648442</v>
      </c>
      <c r="FS96" s="21">
        <f>EXP(-LN(2)/2)*FS95+(1-EXP(-LN(2)/2))/(LN(2)/2)*FM96*FP96*VLOOKUP('Données projet'!$B$16,Paramètres!$A$1:$I$89,3,0)*0.475*44/12</f>
        <v>3.1494557184217071E-9</v>
      </c>
      <c r="FT96" s="22">
        <f t="shared" si="78"/>
        <v>4.1818316965567304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6.2</v>
      </c>
      <c r="FZ96" s="12">
        <f>IF('Données projet'!$A$244&gt;35,FZ95+FY96-GH95,IF(A96&lt;'Données projet'!$A$244,$FW$205^A96,IF(A96='Données projet'!$A$244,'Données projet'!$B$244,FZ95+FY96-GH95)))</f>
        <v>320.59999999999991</v>
      </c>
      <c r="GA96" s="17">
        <f>FZ96*VLOOKUP('Données projet'!$B$17,Paramètres!$A$1:$I$89,3,0)*VLOOKUP('Données projet'!$B$17,Paramètres!$A$1:$I$89,5,0)</f>
        <v>310.08431999999993</v>
      </c>
      <c r="GB96" s="13">
        <f t="shared" si="103"/>
        <v>73.286439265073966</v>
      </c>
      <c r="GC96" s="20">
        <f t="shared" si="79"/>
        <v>667.70407238667042</v>
      </c>
      <c r="GD96" s="59">
        <f t="shared" si="80"/>
        <v>961.03740572000379</v>
      </c>
      <c r="GE96" s="59">
        <f ca="1">AVERAGE(OFFSET($GD$3,0,0,'Données projet'!$E$17+1,1))-AVERAGE(OFFSET($H$3,0,0,'Données projet'!$E$17+1,1))</f>
        <v>337.76140497227715</v>
      </c>
      <c r="GF96" s="59">
        <f t="shared" si="104"/>
        <v>219.76562717496353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2.2435443546373937</v>
      </c>
      <c r="GM96" s="21">
        <f>EXP(-LN(2)/25)*GM95+(1-EXP(-LN(2)/25))/(LN(2)/25)*Calculateur!GH96*Calculateur!GJ96*VLOOKUP('Données projet'!$B$17,Paramètres!$A$1:$I$89,3,0)*0.475*44/12</f>
        <v>1.7452797221510818</v>
      </c>
      <c r="GN96" s="21">
        <f>EXP(-LN(2)/2)*GN95+(1-EXP(-LN(2)/2))/(LN(2)/2)*GH96*GK96*VLOOKUP('Données projet'!$B$17,Paramètres!$A$1:$I$89,3,0)*0.475*44/12</f>
        <v>3.0040962237253213E-9</v>
      </c>
      <c r="GO96" s="21">
        <f t="shared" si="81"/>
        <v>3.9888240797925714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6.2</v>
      </c>
      <c r="N97" s="13">
        <f>IF('Données projet'!$A$36&gt;35,N96+M97-V96,IF(A97&lt;'Données projet'!$A$36,$K$205^A97,IF(A97='Données projet'!$A$36,'Données projet'!$B$36,N96+M97-V96)))</f>
        <v>326.7999999999999</v>
      </c>
      <c r="O97" s="13">
        <f>N97*VLOOKUP('Données projet'!$B$9,Paramètres!$A$1:$I$89,3,0)*VLOOKUP('Données projet'!$B$9,Paramètres!$A$1:$I$89,5,0)</f>
        <v>295.68863999999991</v>
      </c>
      <c r="P97" s="13">
        <f t="shared" si="87"/>
        <v>70.271876780519747</v>
      </c>
      <c r="Q97" s="20">
        <f t="shared" si="54"/>
        <v>637.3812333927383</v>
      </c>
      <c r="R97" s="59">
        <f t="shared" si="55"/>
        <v>930.71456672607155</v>
      </c>
      <c r="S97" s="59">
        <f ca="1">AVERAGE(OFFSET($R$3,0,0,'Données projet'!$E$9+1,1))-AVERAGE(OFFSET($H$3,0,0,'Données projet'!$E$9+1,1))</f>
        <v>312.53389584272878</v>
      </c>
      <c r="T97" s="59">
        <f t="shared" si="88"/>
        <v>203.5274665601915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2.0576433783815085</v>
      </c>
      <c r="AA97" s="21">
        <f>EXP(-LN(2)/25)*AA96+(1-EXP(-LN(2)/25))/(LN(2)/25)*Calculateur!V97*Calculateur!X97*VLOOKUP('Données projet'!$B$9,Paramètres!$A$1:$I$89,3,0)*0.475*44/12</f>
        <v>1.5880352817641621</v>
      </c>
      <c r="AB97" s="21">
        <f>EXP(-LN(2)/2)*AB96+(1-EXP(-LN(2)/2))/(LN(2)/2)*V97*Y97*VLOOKUP('Données projet'!$B$9,Paramètres!$A$1:$I$89,3,0)*0.475*44/12</f>
        <v>1.9871705652535207E-9</v>
      </c>
      <c r="AC97" s="22">
        <f t="shared" si="57"/>
        <v>3.6456786621328412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5.6843418860808015E-14</v>
      </c>
      <c r="AJ97" s="13">
        <f>AI97*VLOOKUP('Données projet'!$B$10,Paramètres!$A$1:$I$89,3,0)*VLOOKUP('Données projet'!$B$10,Paramètres!$A$1:$I$89,5,0)</f>
        <v>4.9658410716801891E-14</v>
      </c>
      <c r="AK97" s="13">
        <f t="shared" si="89"/>
        <v>8.0934058173791862E-13</v>
      </c>
      <c r="AL97" s="20">
        <f t="shared" si="58"/>
        <v>1.4960899118586383E-12</v>
      </c>
      <c r="AM97" s="59">
        <f t="shared" si="59"/>
        <v>293.33333333333479</v>
      </c>
      <c r="AN97" s="59">
        <f ca="1">AVERAGE(OFFSET($AM$3,0,0,'Données projet'!$E$10+1,1))-AVERAGE(OFFSET($H$3,0,0,'Données projet'!$E$10+1,1))</f>
        <v>243.05628303465238</v>
      </c>
      <c r="AO97" s="59">
        <f t="shared" si="90"/>
        <v>352.47096767658394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2.2227383956577396</v>
      </c>
      <c r="AV97" s="21">
        <f>EXP(-LN(2)/25)*AV96+(1-EXP(-LN(2)/25))/(LN(2)/25)*Calculateur!AQ97*Calculateur!AS97*VLOOKUP('Données projet'!$B$10,Paramètres!$A$1:$I$89,3,0)*0.475*44/12</f>
        <v>3.0723826737611142</v>
      </c>
      <c r="AW97" s="21">
        <f>EXP(-LN(2)/2)*AW96+(1-EXP(-LN(2)/2))/(LN(2)/2)*AQ97*AT97*VLOOKUP('Données projet'!$B$10,Paramètres!$A$1:$I$89,3,0)*0.475*44/12</f>
        <v>2.6247390073417105E-9</v>
      </c>
      <c r="AX97" s="21">
        <f t="shared" si="60"/>
        <v>5.2951210720435924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-2.8421709430404007E-13</v>
      </c>
      <c r="BE97" s="13">
        <f>BD97*VLOOKUP('Données projet'!$B$11,Paramètres!$A$1:$I$89,3,0)*VLOOKUP('Données projet'!$B$11,Paramètres!$A$1:$I$89,5,0)</f>
        <v>-2.2612312022829427E-13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325.72928944930294</v>
      </c>
      <c r="BJ97" s="59">
        <f t="shared" si="92"/>
        <v>318.38876834819752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4.874755924392197</v>
      </c>
      <c r="BQ97" s="21">
        <f>EXP(-LN(2)/25)*BQ96+(1-EXP(-LN(2)/25))/(LN(2)/25)*Calculateur!BL97*Calculateur!BN97*VLOOKUP('Données projet'!$B$11,Paramètres!$A$1:$I$89,3,0)*0.475*44/12</f>
        <v>3.5068019842860698</v>
      </c>
      <c r="BR97" s="21">
        <f>EXP(-LN(2)/2)*BR96+(1-EXP(-LN(2)/2))/(LN(2)/2)*BL97*BO97*VLOOKUP('Données projet'!$B$11,Paramètres!$A$1:$I$89,3,0)*0.475*44/12</f>
        <v>2.7543215626115134E-9</v>
      </c>
      <c r="BS97" s="22">
        <f t="shared" si="63"/>
        <v>8.3815579114325889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-3.4106051316484809E-13</v>
      </c>
      <c r="BZ97" s="13">
        <f>BY97*VLOOKUP('Données projet'!$B$12,Paramètres!$A$1:$I$89,3,0)*VLOOKUP('Données projet'!$B$12,Paramètres!$A$1:$I$89,5,0)</f>
        <v>-1.9065282685915009E-13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475.54809021014017</v>
      </c>
      <c r="CE97" s="59">
        <f t="shared" si="94"/>
        <v>593.51433014569966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2.066904970761537</v>
      </c>
      <c r="CL97" s="21">
        <f>EXP(-LN(2)/25)*CL96+(1-EXP(-LN(2)/25))/(LN(2)/25)*Calculateur!CG97*Calculateur!CI97*VLOOKUP('Données projet'!$B$12,Paramètres!$A$1:$I$89,3,0)*0.475*44/12</f>
        <v>7.2259908646218429</v>
      </c>
      <c r="CM97" s="21">
        <f>EXP(-LN(2)/2)*CM96+(1-EXP(-LN(2)/2))/(LN(2)/2)*CG97*CJ97*VLOOKUP('Données projet'!$B$12,Paramètres!$A$1:$I$89,3,0)*0.475*44/12</f>
        <v>3.3569423865381725E-9</v>
      </c>
      <c r="CN97" s="22">
        <f t="shared" si="66"/>
        <v>9.2928958387403231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18.5</v>
      </c>
      <c r="CT97" s="12">
        <f>IF('Données projet'!$A$140&gt;35,CT96+CS97-DB96,IF(A97&lt;'Données projet'!$A$140,$CQ$205^A97,IF(A97='Données projet'!$A$140,'Données projet'!$B$140,CT96+CS97-DB96)))</f>
        <v>564.49999999999989</v>
      </c>
      <c r="CU97" s="17">
        <f>CT97*VLOOKUP('Données projet'!$B$13,Paramètres!$A$1:$I$89,3,0)*VLOOKUP('Données projet'!$B$13,Paramètres!$A$1:$I$89,5,0)</f>
        <v>264.18599999999992</v>
      </c>
      <c r="CV97" s="13">
        <f t="shared" si="95"/>
        <v>63.613832873262751</v>
      </c>
      <c r="CW97" s="20">
        <f t="shared" si="67"/>
        <v>570.91804225426574</v>
      </c>
      <c r="CX97" s="59">
        <f t="shared" si="68"/>
        <v>864.25137558759911</v>
      </c>
      <c r="CY97" s="59">
        <f ca="1">AVERAGE(OFFSET($CX$3,0,0,'Données projet'!$E$13+1,1))-AVERAGE(OFFSET($H$3,0,0,'Données projet'!$E$13+1,1))</f>
        <v>226.0452828290525</v>
      </c>
      <c r="CZ97" s="59">
        <f t="shared" si="96"/>
        <v>179.89696397462069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2.5553337762787698</v>
      </c>
      <c r="DG97" s="21">
        <f>EXP(-LN(2)/25)*DG96+(1-EXP(-LN(2)/25))/(LN(2)/25)*Calculateur!DB97*Calculateur!DD97*VLOOKUP('Données projet'!$B$13,Paramètres!$A$1:$I$89,3,0)*0.475*44/12</f>
        <v>1.8909911578395349</v>
      </c>
      <c r="DH97" s="21">
        <f>EXP(-LN(2)/2)*DH96+(1-EXP(-LN(2)/2))/(LN(2)/2)*DB97*DE97*VLOOKUP('Données projet'!$B$13,Paramètres!$A$1:$I$89,3,0)*0.475*44/12</f>
        <v>2.5711787500415011E-9</v>
      </c>
      <c r="DI97" s="22">
        <f t="shared" si="69"/>
        <v>4.4463249366894839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1.1368683772161603E-13</v>
      </c>
      <c r="DP97" s="17">
        <f>DO97*VLOOKUP('Données projet'!$B$14,Paramètres!$A$1:$I$89,3,0)*VLOOKUP('Données projet'!$B$14,Paramètres!$A$1:$I$89,5,0)</f>
        <v>6.7984728957526396E-14</v>
      </c>
      <c r="DQ97" s="13">
        <f t="shared" si="97"/>
        <v>1.0682447123141398E-12</v>
      </c>
      <c r="DR97" s="20">
        <f t="shared" si="70"/>
        <v>1.978932943548152E-12</v>
      </c>
      <c r="DS97" s="59">
        <f t="shared" si="71"/>
        <v>293.3333333333353</v>
      </c>
      <c r="DT97" s="59">
        <f ca="1">AVERAGE(OFFSET($DS$3,0,0,'Données projet'!$E$14+1,1))-AVERAGE(OFFSET($H$3,0,0,'Données projet'!$E$14+1,1))</f>
        <v>252.81045065813976</v>
      </c>
      <c r="DU97" s="59">
        <f t="shared" si="98"/>
        <v>254.36590349790589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5.0831165368089932</v>
      </c>
      <c r="EB97" s="21">
        <f>EXP(-LN(2)/25)*EB96+(1-EXP(-LN(2)/25))/(LN(2)/25)*Calculateur!DW97*Calculateur!DY97*VLOOKUP('Données projet'!$B$14,Paramètres!$A$1:$I$89,3,0)*0.475*44/12</f>
        <v>2.7345780795264987</v>
      </c>
      <c r="EC97" s="21">
        <f>EXP(-LN(2)/2)*EC96+(1-EXP(-LN(2)/2))/(LN(2)/2)*DW97*DZ97*VLOOKUP('Données projet'!$B$14,Paramètres!$A$1:$I$89,3,0)*0.475*44/12</f>
        <v>1.3367700586416788E-9</v>
      </c>
      <c r="ED97" s="22">
        <f t="shared" si="72"/>
        <v>7.8176946176722621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-2.8421709430404007E-13</v>
      </c>
      <c r="EK97" s="17">
        <f>EJ97*VLOOKUP('Données projet'!$B$15,Paramètres!$A$1:$I$89,3,0)*VLOOKUP('Données projet'!$B$15,Paramètres!$A$1:$I$89,5,0)</f>
        <v>-2.0838797354372215E-13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296.91321813251051</v>
      </c>
      <c r="EP97" s="59">
        <f t="shared" si="100"/>
        <v>291.0718079639509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3.6447953100986439</v>
      </c>
      <c r="EW97" s="21">
        <f>EXP(-LN(2)/25)*EW96+(1-EXP(-LN(2)/25))/(LN(2)/25)*Calculateur!ER97*Calculateur!ET97*VLOOKUP('Données projet'!$B$15,Paramètres!$A$1:$I$89,3,0)*0.475*44/12</f>
        <v>2.6219929005705311</v>
      </c>
      <c r="EX97" s="21">
        <f>EXP(-LN(2)/2)*EX96+(1-EXP(-LN(2)/2))/(LN(2)/2)*ER97*EU97*VLOOKUP('Données projet'!$B$15,Paramètres!$A$1:$I$89,3,0)*0.475*44/12</f>
        <v>2.538296342014538E-9</v>
      </c>
      <c r="EY97" s="22">
        <f t="shared" si="75"/>
        <v>6.2667882132074713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6.2</v>
      </c>
      <c r="FE97" s="12">
        <f>IF('Données projet'!$A$218&gt;35,FE96+FD97-FM96,IF(A97&lt;'Données projet'!$A$218,$FB$205^A97,IF(A97='Données projet'!$A$218,'Données projet'!$B$218,FE96+FD97-FM96)))</f>
        <v>326.7999999999999</v>
      </c>
      <c r="FF97" s="17">
        <f>FE97*VLOOKUP('Données projet'!$B$16,Paramètres!$A$1:$I$89,3,0)*VLOOKUP('Données projet'!$B$16,Paramètres!$A$1:$I$89,5,0)</f>
        <v>331.37519999999989</v>
      </c>
      <c r="FG97" s="13">
        <f t="shared" si="101"/>
        <v>77.715352174616896</v>
      </c>
      <c r="FH97" s="20">
        <f t="shared" si="76"/>
        <v>712.49937837079085</v>
      </c>
      <c r="FI97" s="59">
        <f t="shared" si="77"/>
        <v>1005.8327117041242</v>
      </c>
      <c r="FJ97" s="59">
        <f ca="1">AVERAGE(OFFSET($FI$3,0,0,'Données projet'!$E$16+1,1))-AVERAGE(OFFSET($H$3,0,0,'Données projet'!$E$16+1,1))</f>
        <v>356.65981389369125</v>
      </c>
      <c r="FK97" s="59">
        <f t="shared" si="102"/>
        <v>231.92898690465887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2.3059796481861761</v>
      </c>
      <c r="FR97" s="21">
        <f>EXP(-LN(2)/25)*FR96+(1-EXP(-LN(2)/25))/(LN(2)/25)*Calculateur!FM97*Calculateur!FO97*VLOOKUP('Données projet'!$B$16,Paramètres!$A$1:$I$89,3,0)*0.475*44/12</f>
        <v>1.779694712321908</v>
      </c>
      <c r="FS97" s="21">
        <f>EXP(-LN(2)/2)*FS96+(1-EXP(-LN(2)/2))/(LN(2)/2)*FM97*FP97*VLOOKUP('Données projet'!$B$16,Paramètres!$A$1:$I$89,3,0)*0.475*44/12</f>
        <v>2.2270014955427388E-9</v>
      </c>
      <c r="FT97" s="22">
        <f t="shared" si="78"/>
        <v>4.0856743627350856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6.2</v>
      </c>
      <c r="FZ97" s="12">
        <f>IF('Données projet'!$A$244&gt;35,FZ96+FY97-GH96,IF(A97&lt;'Données projet'!$A$244,$FW$205^A97,IF(A97='Données projet'!$A$244,'Données projet'!$B$244,FZ96+FY97-GH96)))</f>
        <v>326.7999999999999</v>
      </c>
      <c r="GA97" s="17">
        <f>FZ97*VLOOKUP('Données projet'!$B$17,Paramètres!$A$1:$I$89,3,0)*VLOOKUP('Données projet'!$B$17,Paramètres!$A$1:$I$89,5,0)</f>
        <v>316.08095999999989</v>
      </c>
      <c r="GB97" s="13">
        <f t="shared" si="103"/>
        <v>74.537337287681041</v>
      </c>
      <c r="GC97" s="20">
        <f t="shared" si="79"/>
        <v>680.32686777604431</v>
      </c>
      <c r="GD97" s="59">
        <f t="shared" si="80"/>
        <v>973.66020110937757</v>
      </c>
      <c r="GE97" s="59">
        <f ca="1">AVERAGE(OFFSET($GD$3,0,0,'Données projet'!$E$17+1,1))-AVERAGE(OFFSET($H$3,0,0,'Données projet'!$E$17+1,1))</f>
        <v>337.76140497227715</v>
      </c>
      <c r="GF97" s="59">
        <f t="shared" si="104"/>
        <v>219.76562717496353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2.1995498182698898</v>
      </c>
      <c r="GM97" s="21">
        <f>EXP(-LN(2)/25)*GM96+(1-EXP(-LN(2)/25))/(LN(2)/25)*Calculateur!GH97*Calculateur!GJ97*VLOOKUP('Données projet'!$B$17,Paramètres!$A$1:$I$89,3,0)*0.475*44/12</f>
        <v>1.6975549563685888</v>
      </c>
      <c r="GN97" s="21">
        <f>EXP(-LN(2)/2)*GN96+(1-EXP(-LN(2)/2))/(LN(2)/2)*GH97*GK97*VLOOKUP('Données projet'!$B$17,Paramètres!$A$1:$I$89,3,0)*0.475*44/12</f>
        <v>2.1242168111330745E-9</v>
      </c>
      <c r="GO97" s="21">
        <f t="shared" si="81"/>
        <v>3.8971047767626952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333</v>
      </c>
      <c r="L98" s="12">
        <f>VLOOKUP(A98,'Données projet'!$A$35:$I$55,9,0)</f>
        <v>6.2</v>
      </c>
      <c r="M98" s="12">
        <f t="array" ref="M98">INDEX(L:L,MIN(IF(ISNUMBER(L98:L294),ROW(L98:L294),"")))</f>
        <v>6.2</v>
      </c>
      <c r="N98" s="13">
        <f>IF('Données projet'!$A$36&gt;35,N97+M98-V97,IF(A98&lt;'Données projet'!$A$36,$K$205^A98,IF(A98='Données projet'!$A$36,'Données projet'!$B$36,N97+M98-V97)))</f>
        <v>332.99999999999989</v>
      </c>
      <c r="O98" s="13">
        <f>N98*VLOOKUP('Données projet'!$B$9,Paramètres!$A$1:$I$89,3,0)*VLOOKUP('Données projet'!$B$9,Paramètres!$A$1:$I$89,5,0)</f>
        <v>301.2983999999999</v>
      </c>
      <c r="P98" s="13">
        <f t="shared" si="87"/>
        <v>71.448589534990518</v>
      </c>
      <c r="Q98" s="20">
        <f t="shared" si="54"/>
        <v>649.20100677344158</v>
      </c>
      <c r="R98" s="59">
        <f t="shared" si="55"/>
        <v>942.53434010677483</v>
      </c>
      <c r="S98" s="59">
        <f ca="1">AVERAGE(OFFSET($R$3,0,0,'Données projet'!$E$9+1,1))-AVERAGE(OFFSET($H$3,0,0,'Données projet'!$E$9+1,1))</f>
        <v>312.53389584272878</v>
      </c>
      <c r="T98" s="59">
        <f t="shared" si="88"/>
        <v>203.5274665601915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28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2.0172942467699833</v>
      </c>
      <c r="AA98" s="21">
        <f>EXP(-LN(2)/25)*AA97+(1-EXP(-LN(2)/25))/(LN(2)/25)*Calculateur!V98*Calculateur!X98*VLOOKUP('Données projet'!$B$9,Paramètres!$A$1:$I$89,3,0)*0.475*44/12</f>
        <v>1.5446103734731751</v>
      </c>
      <c r="AB98" s="21">
        <f>EXP(-LN(2)/2)*AB97+(1-EXP(-LN(2)/2))/(LN(2)/2)*V98*Y98*VLOOKUP('Données projet'!$B$9,Paramètres!$A$1:$I$89,3,0)*0.475*44/12</f>
        <v>1.4051417820650693E-9</v>
      </c>
      <c r="AC98" s="22">
        <f t="shared" si="57"/>
        <v>3.5619046216483001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5.6843418860808015E-14</v>
      </c>
      <c r="AJ98" s="13">
        <f>AI98*VLOOKUP('Données projet'!$B$10,Paramètres!$A$1:$I$89,3,0)*VLOOKUP('Données projet'!$B$10,Paramètres!$A$1:$I$89,5,0)</f>
        <v>4.9658410716801891E-14</v>
      </c>
      <c r="AK98" s="13">
        <f t="shared" si="89"/>
        <v>8.0934058173791862E-13</v>
      </c>
      <c r="AL98" s="20">
        <f t="shared" si="58"/>
        <v>1.4960899118586383E-12</v>
      </c>
      <c r="AM98" s="59">
        <f t="shared" si="59"/>
        <v>293.33333333333479</v>
      </c>
      <c r="AN98" s="59">
        <f ca="1">AVERAGE(OFFSET($AM$3,0,0,'Données projet'!$E$10+1,1))-AVERAGE(OFFSET($H$3,0,0,'Données projet'!$E$10+1,1))</f>
        <v>243.05628303465238</v>
      </c>
      <c r="AO98" s="59">
        <f t="shared" si="90"/>
        <v>352.47096767658394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2.1791518514554449</v>
      </c>
      <c r="AV98" s="21">
        <f>EXP(-LN(2)/25)*AV97+(1-EXP(-LN(2)/25))/(LN(2)/25)*Calculateur!AQ98*Calculateur!AS98*VLOOKUP('Données projet'!$B$10,Paramètres!$A$1:$I$89,3,0)*0.475*44/12</f>
        <v>2.9883682079775338</v>
      </c>
      <c r="AW98" s="21">
        <f>EXP(-LN(2)/2)*AW97+(1-EXP(-LN(2)/2))/(LN(2)/2)*AQ98*AT98*VLOOKUP('Données projet'!$B$10,Paramètres!$A$1:$I$89,3,0)*0.475*44/12</f>
        <v>1.8559707509361709E-9</v>
      </c>
      <c r="AX98" s="21">
        <f t="shared" si="60"/>
        <v>5.1675200612889496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-2.8421709430404007E-13</v>
      </c>
      <c r="BE98" s="13">
        <f>BD98*VLOOKUP('Données projet'!$B$11,Paramètres!$A$1:$I$89,3,0)*VLOOKUP('Données projet'!$B$11,Paramètres!$A$1:$I$89,5,0)</f>
        <v>-2.2612312022829427E-13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325.72928944930294</v>
      </c>
      <c r="BJ98" s="59">
        <f t="shared" si="92"/>
        <v>318.38876834819752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4.7791649340223898</v>
      </c>
      <c r="BQ98" s="21">
        <f>EXP(-LN(2)/25)*BQ97+(1-EXP(-LN(2)/25))/(LN(2)/25)*Calculateur!BL98*Calculateur!BN98*VLOOKUP('Données projet'!$B$11,Paramètres!$A$1:$I$89,3,0)*0.475*44/12</f>
        <v>3.4109082996110658</v>
      </c>
      <c r="BR98" s="21">
        <f>EXP(-LN(2)/2)*BR97+(1-EXP(-LN(2)/2))/(LN(2)/2)*BL98*BO98*VLOOKUP('Données projet'!$B$11,Paramètres!$A$1:$I$89,3,0)*0.475*44/12</f>
        <v>1.947599454490929E-9</v>
      </c>
      <c r="BS98" s="22">
        <f t="shared" si="63"/>
        <v>8.190073235581055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-3.4106051316484809E-13</v>
      </c>
      <c r="BZ98" s="13">
        <f>BY98*VLOOKUP('Données projet'!$B$12,Paramètres!$A$1:$I$89,3,0)*VLOOKUP('Données projet'!$B$12,Paramètres!$A$1:$I$89,5,0)</f>
        <v>-1.9065282685915009E-13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475.54809021014017</v>
      </c>
      <c r="CE98" s="59">
        <f t="shared" si="94"/>
        <v>593.51433014569966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2.0263742249724528</v>
      </c>
      <c r="CL98" s="21">
        <f>EXP(-LN(2)/25)*CL97+(1-EXP(-LN(2)/25))/(LN(2)/25)*Calculateur!CG98*Calculateur!CI98*VLOOKUP('Données projet'!$B$12,Paramètres!$A$1:$I$89,3,0)*0.475*44/12</f>
        <v>7.0283957644304147</v>
      </c>
      <c r="CM98" s="21">
        <f>EXP(-LN(2)/2)*CM97+(1-EXP(-LN(2)/2))/(LN(2)/2)*CG98*CJ98*VLOOKUP('Données projet'!$B$12,Paramètres!$A$1:$I$89,3,0)*0.475*44/12</f>
        <v>2.3737167255736942E-9</v>
      </c>
      <c r="CN98" s="22">
        <f t="shared" si="66"/>
        <v>9.0547699917765847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18.5</v>
      </c>
      <c r="CT98" s="12">
        <f>IF('Données projet'!$A$140&gt;35,CT97+CS98-DB97,IF(A98&lt;'Données projet'!$A$140,$CQ$205^A98,IF(A98='Données projet'!$A$140,'Données projet'!$B$140,CT97+CS98-DB97)))</f>
        <v>582.99999999999989</v>
      </c>
      <c r="CU98" s="17">
        <f>CT98*VLOOKUP('Données projet'!$B$13,Paramètres!$A$1:$I$89,3,0)*VLOOKUP('Données projet'!$B$13,Paramètres!$A$1:$I$89,5,0)</f>
        <v>272.84399999999994</v>
      </c>
      <c r="CV98" s="13">
        <f t="shared" si="95"/>
        <v>65.452469296244189</v>
      </c>
      <c r="CW98" s="20">
        <f t="shared" si="67"/>
        <v>589.19968402429186</v>
      </c>
      <c r="CX98" s="59">
        <f t="shared" si="68"/>
        <v>882.53301735762511</v>
      </c>
      <c r="CY98" s="59">
        <f ca="1">AVERAGE(OFFSET($CX$3,0,0,'Données projet'!$E$13+1,1))-AVERAGE(OFFSET($H$3,0,0,'Données projet'!$E$13+1,1))</f>
        <v>226.0452828290525</v>
      </c>
      <c r="CZ98" s="59">
        <f t="shared" si="96"/>
        <v>179.89696397462069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2.5052252395256476</v>
      </c>
      <c r="DG98" s="21">
        <f>EXP(-LN(2)/25)*DG97+(1-EXP(-LN(2)/25))/(LN(2)/25)*Calculateur!DB98*Calculateur!DD98*VLOOKUP('Données projet'!$B$13,Paramètres!$A$1:$I$89,3,0)*0.475*44/12</f>
        <v>1.8392819051855096</v>
      </c>
      <c r="DH98" s="21">
        <f>EXP(-LN(2)/2)*DH97+(1-EXP(-LN(2)/2))/(LN(2)/2)*DB98*DE98*VLOOKUP('Données projet'!$B$13,Paramètres!$A$1:$I$89,3,0)*0.475*44/12</f>
        <v>1.8180979297970966E-9</v>
      </c>
      <c r="DI98" s="22">
        <f t="shared" si="69"/>
        <v>4.3445071465292546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1.1368683772161603E-13</v>
      </c>
      <c r="DP98" s="17">
        <f>DO98*VLOOKUP('Données projet'!$B$14,Paramètres!$A$1:$I$89,3,0)*VLOOKUP('Données projet'!$B$14,Paramètres!$A$1:$I$89,5,0)</f>
        <v>6.7984728957526396E-14</v>
      </c>
      <c r="DQ98" s="13">
        <f t="shared" si="97"/>
        <v>1.0682447123141398E-12</v>
      </c>
      <c r="DR98" s="20">
        <f t="shared" si="70"/>
        <v>1.978932943548152E-12</v>
      </c>
      <c r="DS98" s="59">
        <f t="shared" si="71"/>
        <v>293.3333333333353</v>
      </c>
      <c r="DT98" s="59">
        <f ca="1">AVERAGE(OFFSET($DS$3,0,0,'Données projet'!$E$14+1,1))-AVERAGE(OFFSET($H$3,0,0,'Données projet'!$E$14+1,1))</f>
        <v>252.81045065813976</v>
      </c>
      <c r="DU98" s="59">
        <f t="shared" si="98"/>
        <v>254.36590349790589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4.9834397219171178</v>
      </c>
      <c r="EB98" s="21">
        <f>EXP(-LN(2)/25)*EB97+(1-EXP(-LN(2)/25))/(LN(2)/25)*Calculateur!DW98*Calculateur!DY98*VLOOKUP('Données projet'!$B$14,Paramètres!$A$1:$I$89,3,0)*0.475*44/12</f>
        <v>2.6598008981366354</v>
      </c>
      <c r="EC98" s="21">
        <f>EXP(-LN(2)/2)*EC97+(1-EXP(-LN(2)/2))/(LN(2)/2)*DW98*DZ98*VLOOKUP('Données projet'!$B$14,Paramètres!$A$1:$I$89,3,0)*0.475*44/12</f>
        <v>9.4523917335266989E-10</v>
      </c>
      <c r="ED98" s="22">
        <f t="shared" si="72"/>
        <v>7.6432406209989923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-2.8421709430404007E-13</v>
      </c>
      <c r="EK98" s="17">
        <f>EJ98*VLOOKUP('Données projet'!$B$15,Paramètres!$A$1:$I$89,3,0)*VLOOKUP('Données projet'!$B$15,Paramètres!$A$1:$I$89,5,0)</f>
        <v>-2.0838797354372215E-13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296.91321813251051</v>
      </c>
      <c r="EP98" s="59">
        <f t="shared" si="100"/>
        <v>291.0718079639509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3.573323097173235</v>
      </c>
      <c r="EW98" s="21">
        <f>EXP(-LN(2)/25)*EW97+(1-EXP(-LN(2)/25))/(LN(2)/25)*Calculateur!ER98*Calculateur!ET98*VLOOKUP('Données projet'!$B$15,Paramètres!$A$1:$I$89,3,0)*0.475*44/12</f>
        <v>2.5502943668198159</v>
      </c>
      <c r="EX98" s="21">
        <f>EXP(-LN(2)/2)*EX97+(1-EXP(-LN(2)/2))/(LN(2)/2)*ER98*EU98*VLOOKUP('Données projet'!$B$15,Paramètres!$A$1:$I$89,3,0)*0.475*44/12</f>
        <v>1.794846556099488E-9</v>
      </c>
      <c r="EY98" s="22">
        <f t="shared" si="75"/>
        <v>6.1236174657878983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>
        <f>VLOOKUP(A98,'Données projet'!$A$217:$I$237,2,0)</f>
        <v>333</v>
      </c>
      <c r="FC98" s="12">
        <f>VLOOKUP(A98,'Données projet'!$A$217:$I$237,9,0)</f>
        <v>6.2</v>
      </c>
      <c r="FD98" s="12">
        <f t="array" ref="FD98">INDEX(FC:FC,MIN(IF(ISNUMBER(FC98:FC294),ROW(FC98:FC294),"")))</f>
        <v>6.2</v>
      </c>
      <c r="FE98" s="12">
        <f>IF('Données projet'!$A$218&gt;35,FE97+FD98-FM97,IF(A98&lt;'Données projet'!$A$218,$FB$205^A98,IF(A98='Données projet'!$A$218,'Données projet'!$B$218,FE97+FD98-FM97)))</f>
        <v>332.99999999999989</v>
      </c>
      <c r="FF98" s="17">
        <f>FE98*VLOOKUP('Données projet'!$B$16,Paramètres!$A$1:$I$89,3,0)*VLOOKUP('Données projet'!$B$16,Paramètres!$A$1:$I$89,5,0)</f>
        <v>337.66199999999992</v>
      </c>
      <c r="FG98" s="13">
        <f t="shared" si="101"/>
        <v>79.016707002632685</v>
      </c>
      <c r="FH98" s="20">
        <f t="shared" si="76"/>
        <v>725.71541469625174</v>
      </c>
      <c r="FI98" s="59">
        <f t="shared" si="77"/>
        <v>1019.0487480295851</v>
      </c>
      <c r="FJ98" s="59">
        <f ca="1">AVERAGE(OFFSET($FI$3,0,0,'Données projet'!$E$16+1,1))-AVERAGE(OFFSET($H$3,0,0,'Données projet'!$E$16+1,1))</f>
        <v>356.65981389369125</v>
      </c>
      <c r="FK98" s="59">
        <f t="shared" si="102"/>
        <v>231.92898690465887</v>
      </c>
      <c r="FL98" s="15">
        <f>IF(ISNA(VLOOKUP(A98,'Données projet'!$A$217:$I$237,3,0)),0,VLOOKUP(A98,'Données projet'!$A$217:$I$237,3,0))</f>
        <v>16</v>
      </c>
      <c r="FM98" s="15">
        <f>IF(ISNA(VLOOKUP(A98,'Données projet'!$A$217:$I$237,4,0)),0,VLOOKUP(A98,'Données projet'!$A$217:$I$237,4,0))</f>
        <v>28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2.2607607937939496</v>
      </c>
      <c r="FR98" s="21">
        <f>EXP(-LN(2)/25)*FR97+(1-EXP(-LN(2)/25))/(LN(2)/25)*Calculateur!FM98*Calculateur!FO98*VLOOKUP('Données projet'!$B$16,Paramètres!$A$1:$I$89,3,0)*0.475*44/12</f>
        <v>1.731028866823388</v>
      </c>
      <c r="FS98" s="21">
        <f>EXP(-LN(2)/2)*FS97+(1-EXP(-LN(2)/2))/(LN(2)/2)*FM98*FP98*VLOOKUP('Données projet'!$B$16,Paramètres!$A$1:$I$89,3,0)*0.475*44/12</f>
        <v>1.5747278592108535E-9</v>
      </c>
      <c r="FT98" s="22">
        <f t="shared" si="78"/>
        <v>3.9917896621920654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>
        <f>VLOOKUP(A98,'Données projet'!$A$243:$I$263,2,0)</f>
        <v>333</v>
      </c>
      <c r="FX98" s="12">
        <f>VLOOKUP(A98,'Données projet'!$A$243:$I$263,9,0)</f>
        <v>6.2</v>
      </c>
      <c r="FY98" s="12">
        <f t="array" ref="FY98">INDEX(FX:FX,MIN(IF(ISNUMBER(FX98:FX294),ROW(FX98:FX294),"")))</f>
        <v>6.2</v>
      </c>
      <c r="FZ98" s="12">
        <f>IF('Données projet'!$A$244&gt;35,FZ97+FY98-GH97,IF(A98&lt;'Données projet'!$A$244,$FW$205^A98,IF(A98='Données projet'!$A$244,'Données projet'!$B$244,FZ97+FY98-GH97)))</f>
        <v>332.99999999999989</v>
      </c>
      <c r="GA98" s="17">
        <f>FZ98*VLOOKUP('Données projet'!$B$17,Paramètres!$A$1:$I$89,3,0)*VLOOKUP('Données projet'!$B$17,Paramètres!$A$1:$I$89,5,0)</f>
        <v>322.0775999999999</v>
      </c>
      <c r="GB98" s="13">
        <f t="shared" si="103"/>
        <v>75.785475796129404</v>
      </c>
      <c r="GC98" s="20">
        <f t="shared" si="79"/>
        <v>692.94485701159181</v>
      </c>
      <c r="GD98" s="59">
        <f t="shared" si="80"/>
        <v>986.27819034492518</v>
      </c>
      <c r="GE98" s="59">
        <f ca="1">AVERAGE(OFFSET($GD$3,0,0,'Données projet'!$E$17+1,1))-AVERAGE(OFFSET($H$3,0,0,'Données projet'!$E$17+1,1))</f>
        <v>337.76140497227715</v>
      </c>
      <c r="GF98" s="59">
        <f t="shared" si="104"/>
        <v>219.76562717496353</v>
      </c>
      <c r="GG98" s="15">
        <f>IF(ISNA(VLOOKUP(A98,'Données projet'!$A$243:$I$263,3,0)),0,VLOOKUP(A98,'Données projet'!$A$243:$I$263,3,0))</f>
        <v>16</v>
      </c>
      <c r="GH98" s="15">
        <f>IF(ISNA(VLOOKUP(A98,'Données projet'!$A$243:$I$263,4,0)),0,VLOOKUP(A98,'Données projet'!$A$243:$I$263,4,0))</f>
        <v>28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2.1564179879265351</v>
      </c>
      <c r="GM98" s="21">
        <f>EXP(-LN(2)/25)*GM97+(1-EXP(-LN(2)/25))/(LN(2)/25)*Calculateur!GH98*Calculateur!GJ98*VLOOKUP('Données projet'!$B$17,Paramètres!$A$1:$I$89,3,0)*0.475*44/12</f>
        <v>1.6511352268161543</v>
      </c>
      <c r="GN98" s="21">
        <f>EXP(-LN(2)/2)*GN97+(1-EXP(-LN(2)/2))/(LN(2)/2)*GH98*GK98*VLOOKUP('Données projet'!$B$17,Paramètres!$A$1:$I$89,3,0)*0.475*44/12</f>
        <v>1.5020481118626607E-9</v>
      </c>
      <c r="GO98" s="21">
        <f t="shared" si="81"/>
        <v>3.8075532162447376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5.6</v>
      </c>
      <c r="N99" s="13">
        <f>IF('Données projet'!$A$36&gt;35,N98+M99-V98,IF(A99&lt;'Données projet'!$A$36,$K$205^A99,IF(A99='Données projet'!$A$36,'Données projet'!$B$36,N98+M99-V98)))</f>
        <v>310.59999999999991</v>
      </c>
      <c r="O99" s="13">
        <f>N99*VLOOKUP('Données projet'!$B$9,Paramètres!$A$1:$I$89,3,0)*VLOOKUP('Données projet'!$B$9,Paramètres!$A$1:$I$89,5,0)</f>
        <v>281.03087999999991</v>
      </c>
      <c r="P99" s="13">
        <f t="shared" si="87"/>
        <v>67.184816842275467</v>
      </c>
      <c r="Q99" s="20">
        <f t="shared" ref="Q99:Q130" si="107">(O99+P99)*0.475*44/12</f>
        <v>606.4756720002963</v>
      </c>
      <c r="R99" s="59">
        <f t="shared" si="55"/>
        <v>899.80900533362956</v>
      </c>
      <c r="S99" s="59">
        <f ca="1">AVERAGE(OFFSET($R$3,0,0,'Données projet'!$E$9+1,1))-AVERAGE(OFFSET($H$3,0,0,'Données projet'!$E$9+1,1))</f>
        <v>312.53389584272878</v>
      </c>
      <c r="T99" s="59">
        <f t="shared" si="88"/>
        <v>203.5274665601915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1.9777363370188197</v>
      </c>
      <c r="AA99" s="21">
        <f>EXP(-LN(2)/25)*AA98+(1-EXP(-LN(2)/25))/(LN(2)/25)*Calculateur!V99*Calculateur!X99*VLOOKUP('Données projet'!$B$9,Paramètres!$A$1:$I$89,3,0)*0.475*44/12</f>
        <v>1.5023729215830219</v>
      </c>
      <c r="AB99" s="21">
        <f>EXP(-LN(2)/2)*AB98+(1-EXP(-LN(2)/2))/(LN(2)/2)*V99*Y99*VLOOKUP('Données projet'!$B$9,Paramètres!$A$1:$I$89,3,0)*0.475*44/12</f>
        <v>9.9358528262676037E-10</v>
      </c>
      <c r="AC99" s="22">
        <f t="shared" si="57"/>
        <v>3.4801092595954271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5.6843418860808015E-14</v>
      </c>
      <c r="AJ99" s="13">
        <f>AI99*VLOOKUP('Données projet'!$B$10,Paramètres!$A$1:$I$89,3,0)*VLOOKUP('Données projet'!$B$10,Paramètres!$A$1:$I$89,5,0)</f>
        <v>4.9658410716801891E-14</v>
      </c>
      <c r="AK99" s="13">
        <f t="shared" si="89"/>
        <v>8.0934058173791862E-13</v>
      </c>
      <c r="AL99" s="20">
        <f t="shared" si="58"/>
        <v>1.4960899118586383E-12</v>
      </c>
      <c r="AM99" s="59">
        <f t="shared" si="59"/>
        <v>293.33333333333479</v>
      </c>
      <c r="AN99" s="59">
        <f ca="1">AVERAGE(OFFSET($AM$3,0,0,'Données projet'!$E$10+1,1))-AVERAGE(OFFSET($H$3,0,0,'Données projet'!$E$10+1,1))</f>
        <v>243.05628303465238</v>
      </c>
      <c r="AO99" s="59">
        <f t="shared" si="90"/>
        <v>352.47096767658394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2.1364200127997903</v>
      </c>
      <c r="AV99" s="21">
        <f>EXP(-LN(2)/25)*AV98+(1-EXP(-LN(2)/25))/(LN(2)/25)*Calculateur!AQ99*Calculateur!AS99*VLOOKUP('Données projet'!$B$10,Paramètres!$A$1:$I$89,3,0)*0.475*44/12</f>
        <v>2.9066511221789342</v>
      </c>
      <c r="AW99" s="21">
        <f>EXP(-LN(2)/2)*AW98+(1-EXP(-LN(2)/2))/(LN(2)/2)*AQ99*AT99*VLOOKUP('Données projet'!$B$10,Paramètres!$A$1:$I$89,3,0)*0.475*44/12</f>
        <v>1.3123695036708554E-9</v>
      </c>
      <c r="AX99" s="21">
        <f t="shared" si="60"/>
        <v>5.0430711362910943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-2.8421709430404007E-13</v>
      </c>
      <c r="BE99" s="13">
        <f>BD99*VLOOKUP('Données projet'!$B$11,Paramètres!$A$1:$I$89,3,0)*VLOOKUP('Données projet'!$B$11,Paramètres!$A$1:$I$89,5,0)</f>
        <v>-2.2612312022829427E-13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325.72928944930294</v>
      </c>
      <c r="BJ99" s="59">
        <f t="shared" si="92"/>
        <v>318.38876834819752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4.685448424668988</v>
      </c>
      <c r="BQ99" s="21">
        <f>EXP(-LN(2)/25)*BQ98+(1-EXP(-LN(2)/25))/(LN(2)/25)*Calculateur!BL99*Calculateur!BN99*VLOOKUP('Données projet'!$B$11,Paramètres!$A$1:$I$89,3,0)*0.475*44/12</f>
        <v>3.3176368327863295</v>
      </c>
      <c r="BR99" s="21">
        <f>EXP(-LN(2)/2)*BR98+(1-EXP(-LN(2)/2))/(LN(2)/2)*BL99*BO99*VLOOKUP('Données projet'!$B$11,Paramètres!$A$1:$I$89,3,0)*0.475*44/12</f>
        <v>1.3771607813057567E-9</v>
      </c>
      <c r="BS99" s="22">
        <f t="shared" si="63"/>
        <v>8.0030852588324795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-3.4106051316484809E-13</v>
      </c>
      <c r="BZ99" s="13">
        <f>BY99*VLOOKUP('Données projet'!$B$12,Paramètres!$A$1:$I$89,3,0)*VLOOKUP('Données projet'!$B$12,Paramètres!$A$1:$I$89,5,0)</f>
        <v>-1.9065282685915009E-13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475.54809021014017</v>
      </c>
      <c r="CE99" s="59">
        <f t="shared" si="94"/>
        <v>593.51433014569966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1.9866382623869787</v>
      </c>
      <c r="CL99" s="21">
        <f>EXP(-LN(2)/25)*CL98+(1-EXP(-LN(2)/25))/(LN(2)/25)*Calculateur!CG99*Calculateur!CI99*VLOOKUP('Données projet'!$B$12,Paramètres!$A$1:$I$89,3,0)*0.475*44/12</f>
        <v>6.8362039126447955</v>
      </c>
      <c r="CM99" s="21">
        <f>EXP(-LN(2)/2)*CM98+(1-EXP(-LN(2)/2))/(LN(2)/2)*CG99*CJ99*VLOOKUP('Données projet'!$B$12,Paramètres!$A$1:$I$89,3,0)*0.475*44/12</f>
        <v>1.6784711932690863E-9</v>
      </c>
      <c r="CN99" s="22">
        <f t="shared" si="66"/>
        <v>8.8228421767102443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18.5</v>
      </c>
      <c r="CT99" s="12">
        <f>IF('Données projet'!$A$140&gt;35,CT98+CS99-DB98,IF(A99&lt;'Données projet'!$A$140,$CQ$205^A99,IF(A99='Données projet'!$A$140,'Données projet'!$B$140,CT98+CS99-DB98)))</f>
        <v>601.49999999999989</v>
      </c>
      <c r="CU99" s="17">
        <f>CT99*VLOOKUP('Données projet'!$B$13,Paramètres!$A$1:$I$89,3,0)*VLOOKUP('Données projet'!$B$13,Paramètres!$A$1:$I$89,5,0)</f>
        <v>281.50199999999995</v>
      </c>
      <c r="CV99" s="13">
        <f t="shared" si="95"/>
        <v>67.28432575810065</v>
      </c>
      <c r="CW99" s="20">
        <f t="shared" si="67"/>
        <v>607.46951736202516</v>
      </c>
      <c r="CX99" s="59">
        <f t="shared" si="68"/>
        <v>900.80285069535853</v>
      </c>
      <c r="CY99" s="59">
        <f ca="1">AVERAGE(OFFSET($CX$3,0,0,'Données projet'!$E$13+1,1))-AVERAGE(OFFSET($H$3,0,0,'Données projet'!$E$13+1,1))</f>
        <v>226.0452828290525</v>
      </c>
      <c r="CZ99" s="59">
        <f t="shared" si="96"/>
        <v>179.89696397462069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2.4560993006150649</v>
      </c>
      <c r="DG99" s="21">
        <f>EXP(-LN(2)/25)*DG98+(1-EXP(-LN(2)/25))/(LN(2)/25)*Calculateur!DB99*Calculateur!DD99*VLOOKUP('Données projet'!$B$13,Paramètres!$A$1:$I$89,3,0)*0.475*44/12</f>
        <v>1.7889866447645801</v>
      </c>
      <c r="DH99" s="21">
        <f>EXP(-LN(2)/2)*DH98+(1-EXP(-LN(2)/2))/(LN(2)/2)*DB99*DE99*VLOOKUP('Données projet'!$B$13,Paramètres!$A$1:$I$89,3,0)*0.475*44/12</f>
        <v>1.2855893750207508E-9</v>
      </c>
      <c r="DI99" s="22">
        <f t="shared" si="69"/>
        <v>4.2450859466652346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1.1368683772161603E-13</v>
      </c>
      <c r="DP99" s="17">
        <f>DO99*VLOOKUP('Données projet'!$B$14,Paramètres!$A$1:$I$89,3,0)*VLOOKUP('Données projet'!$B$14,Paramètres!$A$1:$I$89,5,0)</f>
        <v>6.7984728957526396E-14</v>
      </c>
      <c r="DQ99" s="13">
        <f t="shared" si="97"/>
        <v>1.0682447123141398E-12</v>
      </c>
      <c r="DR99" s="20">
        <f t="shared" si="70"/>
        <v>1.978932943548152E-12</v>
      </c>
      <c r="DS99" s="59">
        <f t="shared" si="71"/>
        <v>293.3333333333353</v>
      </c>
      <c r="DT99" s="59">
        <f ca="1">AVERAGE(OFFSET($DS$3,0,0,'Données projet'!$E$14+1,1))-AVERAGE(OFFSET($H$3,0,0,'Données projet'!$E$14+1,1))</f>
        <v>252.81045065813976</v>
      </c>
      <c r="DU99" s="59">
        <f t="shared" si="98"/>
        <v>254.36590349790589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4.8857175085684181</v>
      </c>
      <c r="EB99" s="21">
        <f>EXP(-LN(2)/25)*EB98+(1-EXP(-LN(2)/25))/(LN(2)/25)*Calculateur!DW99*Calculateur!DY99*VLOOKUP('Données projet'!$B$14,Paramètres!$A$1:$I$89,3,0)*0.475*44/12</f>
        <v>2.587068502704239</v>
      </c>
      <c r="EC99" s="21">
        <f>EXP(-LN(2)/2)*EC98+(1-EXP(-LN(2)/2))/(LN(2)/2)*DW99*DZ99*VLOOKUP('Données projet'!$B$14,Paramètres!$A$1:$I$89,3,0)*0.475*44/12</f>
        <v>6.6838502932083942E-10</v>
      </c>
      <c r="ED99" s="22">
        <f t="shared" si="72"/>
        <v>7.4727860119410421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-2.8421709430404007E-13</v>
      </c>
      <c r="EK99" s="17">
        <f>EJ99*VLOOKUP('Données projet'!$B$15,Paramètres!$A$1:$I$89,3,0)*VLOOKUP('Données projet'!$B$15,Paramètres!$A$1:$I$89,5,0)</f>
        <v>-2.0838797354372215E-13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296.91321813251051</v>
      </c>
      <c r="EP99" s="59">
        <f t="shared" si="100"/>
        <v>291.0718079639509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3.5032524107495484</v>
      </c>
      <c r="EW99" s="21">
        <f>EXP(-LN(2)/25)*EW98+(1-EXP(-LN(2)/25))/(LN(2)/25)*Calculateur!ER99*Calculateur!ET99*VLOOKUP('Données projet'!$B$15,Paramètres!$A$1:$I$89,3,0)*0.475*44/12</f>
        <v>2.4805564332449759</v>
      </c>
      <c r="EX99" s="21">
        <f>EXP(-LN(2)/2)*EX98+(1-EXP(-LN(2)/2))/(LN(2)/2)*ER99*EU99*VLOOKUP('Données projet'!$B$15,Paramètres!$A$1:$I$89,3,0)*0.475*44/12</f>
        <v>1.269148171007269E-9</v>
      </c>
      <c r="EY99" s="22">
        <f t="shared" si="75"/>
        <v>5.9838088452636722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5.6</v>
      </c>
      <c r="FE99" s="12">
        <f>IF('Données projet'!$A$218&gt;35,FE98+FD99-FM98,IF(A99&lt;'Données projet'!$A$218,$FB$205^A99,IF(A99='Données projet'!$A$218,'Données projet'!$B$218,FE98+FD99-FM98)))</f>
        <v>310.59999999999991</v>
      </c>
      <c r="FF99" s="17">
        <f>FE99*VLOOKUP('Données projet'!$B$16,Paramètres!$A$1:$I$89,3,0)*VLOOKUP('Données projet'!$B$16,Paramètres!$A$1:$I$89,5,0)</f>
        <v>314.94839999999994</v>
      </c>
      <c r="FG99" s="13">
        <f t="shared" si="101"/>
        <v>74.301298626081149</v>
      </c>
      <c r="FH99" s="20">
        <f t="shared" si="76"/>
        <v>677.94322510709128</v>
      </c>
      <c r="FI99" s="59">
        <f t="shared" si="77"/>
        <v>971.27655844042465</v>
      </c>
      <c r="FJ99" s="59">
        <f ca="1">AVERAGE(OFFSET($FI$3,0,0,'Données projet'!$E$16+1,1))-AVERAGE(OFFSET($H$3,0,0,'Données projet'!$E$16+1,1))</f>
        <v>356.65981389369125</v>
      </c>
      <c r="FK99" s="59">
        <f t="shared" si="102"/>
        <v>231.92898690465887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2.2164286535555764</v>
      </c>
      <c r="FR99" s="21">
        <f>EXP(-LN(2)/25)*FR98+(1-EXP(-LN(2)/25))/(LN(2)/25)*Calculateur!FM99*Calculateur!FO99*VLOOKUP('Données projet'!$B$16,Paramètres!$A$1:$I$89,3,0)*0.475*44/12</f>
        <v>1.6836937914292507</v>
      </c>
      <c r="FS99" s="21">
        <f>EXP(-LN(2)/2)*FS98+(1-EXP(-LN(2)/2))/(LN(2)/2)*FM99*FP99*VLOOKUP('Données projet'!$B$16,Paramètres!$A$1:$I$89,3,0)*0.475*44/12</f>
        <v>1.1135007477713694E-9</v>
      </c>
      <c r="FT99" s="22">
        <f t="shared" si="78"/>
        <v>3.9001224460983281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5.6</v>
      </c>
      <c r="FZ99" s="12">
        <f>IF('Données projet'!$A$244&gt;35,FZ98+FY99-GH98,IF(A99&lt;'Données projet'!$A$244,$FW$205^A99,IF(A99='Données projet'!$A$244,'Données projet'!$B$244,FZ98+FY99-GH98)))</f>
        <v>310.59999999999991</v>
      </c>
      <c r="GA99" s="17">
        <f>FZ99*VLOOKUP('Données projet'!$B$17,Paramètres!$A$1:$I$89,3,0)*VLOOKUP('Données projet'!$B$17,Paramètres!$A$1:$I$89,5,0)</f>
        <v>300.41231999999991</v>
      </c>
      <c r="GB99" s="13">
        <f t="shared" si="103"/>
        <v>71.262894674416671</v>
      </c>
      <c r="GC99" s="20">
        <f t="shared" si="79"/>
        <v>647.33433222460883</v>
      </c>
      <c r="GD99" s="59">
        <f t="shared" si="80"/>
        <v>940.6676655579422</v>
      </c>
      <c r="GE99" s="59">
        <f ca="1">AVERAGE(OFFSET($GD$3,0,0,'Données projet'!$E$17+1,1))-AVERAGE(OFFSET($H$3,0,0,'Données projet'!$E$17+1,1))</f>
        <v>337.76140497227715</v>
      </c>
      <c r="GF99" s="59">
        <f t="shared" si="104"/>
        <v>219.76562717496353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2.1141319464683948</v>
      </c>
      <c r="GM99" s="21">
        <f>EXP(-LN(2)/25)*GM98+(1-EXP(-LN(2)/25))/(LN(2)/25)*Calculateur!GH99*Calculateur!GJ99*VLOOKUP('Données projet'!$B$17,Paramètres!$A$1:$I$89,3,0)*0.475*44/12</f>
        <v>1.6059848472094387</v>
      </c>
      <c r="GN99" s="21">
        <f>EXP(-LN(2)/2)*GN98+(1-EXP(-LN(2)/2))/(LN(2)/2)*GH99*GK99*VLOOKUP('Données projet'!$B$17,Paramètres!$A$1:$I$89,3,0)*0.475*44/12</f>
        <v>1.0621084055665372E-9</v>
      </c>
      <c r="GO99" s="21">
        <f t="shared" si="81"/>
        <v>3.7201167947399423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5.6</v>
      </c>
      <c r="N100" s="13">
        <f>IF('Données projet'!$A$36&gt;35,N99+M100-V99,IF(A100&lt;'Données projet'!$A$36,$K$205^A100,IF(A100='Données projet'!$A$36,'Données projet'!$B$36,N99+M100-V99)))</f>
        <v>316.19999999999993</v>
      </c>
      <c r="O100" s="13">
        <f>N100*VLOOKUP('Données projet'!$B$9,Paramètres!$A$1:$I$89,3,0)*VLOOKUP('Données projet'!$B$9,Paramètres!$A$1:$I$89,5,0)</f>
        <v>286.09775999999994</v>
      </c>
      <c r="P100" s="13">
        <f t="shared" si="87"/>
        <v>68.254020651723678</v>
      </c>
      <c r="Q100" s="20">
        <f t="shared" si="107"/>
        <v>617.16268463508527</v>
      </c>
      <c r="R100" s="59">
        <f t="shared" si="55"/>
        <v>910.49601796841853</v>
      </c>
      <c r="S100" s="59">
        <f ca="1">AVERAGE(OFFSET($R$3,0,0,'Données projet'!$E$9+1,1))-AVERAGE(OFFSET($H$3,0,0,'Données projet'!$E$9+1,1))</f>
        <v>312.53389584272878</v>
      </c>
      <c r="T100" s="59">
        <f t="shared" si="88"/>
        <v>203.5274665601915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1.9389541337499339</v>
      </c>
      <c r="AA100" s="21">
        <f>EXP(-LN(2)/25)*AA99+(1-EXP(-LN(2)/25))/(LN(2)/25)*Calculateur!V100*Calculateur!X100*VLOOKUP('Données projet'!$B$9,Paramètres!$A$1:$I$89,3,0)*0.475*44/12</f>
        <v>1.461290455035976</v>
      </c>
      <c r="AB100" s="21">
        <f>EXP(-LN(2)/2)*AB99+(1-EXP(-LN(2)/2))/(LN(2)/2)*V100*Y100*VLOOKUP('Données projet'!$B$9,Paramètres!$A$1:$I$89,3,0)*0.475*44/12</f>
        <v>7.0257089103253463E-10</v>
      </c>
      <c r="AC100" s="22">
        <f t="shared" si="57"/>
        <v>3.4002445894884805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5.6843418860808015E-14</v>
      </c>
      <c r="AJ100" s="13">
        <f>AI100*VLOOKUP('Données projet'!$B$10,Paramètres!$A$1:$I$89,3,0)*VLOOKUP('Données projet'!$B$10,Paramètres!$A$1:$I$89,5,0)</f>
        <v>4.9658410716801891E-14</v>
      </c>
      <c r="AK100" s="13">
        <f t="shared" si="89"/>
        <v>8.0934058173791862E-13</v>
      </c>
      <c r="AL100" s="20">
        <f t="shared" si="58"/>
        <v>1.4960899118586383E-12</v>
      </c>
      <c r="AM100" s="59">
        <f t="shared" si="59"/>
        <v>293.33333333333479</v>
      </c>
      <c r="AN100" s="59">
        <f ca="1">AVERAGE(OFFSET($AM$3,0,0,'Données projet'!$E$10+1,1))-AVERAGE(OFFSET($H$3,0,0,'Données projet'!$E$10+1,1))</f>
        <v>243.05628303465238</v>
      </c>
      <c r="AO100" s="59">
        <f t="shared" si="90"/>
        <v>352.47096767658394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2.0945261194363249</v>
      </c>
      <c r="AV100" s="21">
        <f>EXP(-LN(2)/25)*AV99+(1-EXP(-LN(2)/25))/(LN(2)/25)*Calculateur!AQ100*Calculateur!AS100*VLOOKUP('Données projet'!$B$10,Paramètres!$A$1:$I$89,3,0)*0.475*44/12</f>
        <v>2.8271685943888119</v>
      </c>
      <c r="AW100" s="21">
        <f>EXP(-LN(2)/2)*AW99+(1-EXP(-LN(2)/2))/(LN(2)/2)*AQ100*AT100*VLOOKUP('Données projet'!$B$10,Paramètres!$A$1:$I$89,3,0)*0.475*44/12</f>
        <v>9.2798537546808558E-10</v>
      </c>
      <c r="AX100" s="21">
        <f t="shared" si="60"/>
        <v>4.921694714753122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-2.8421709430404007E-13</v>
      </c>
      <c r="BE100" s="13">
        <f>BD100*VLOOKUP('Données projet'!$B$11,Paramètres!$A$1:$I$89,3,0)*VLOOKUP('Données projet'!$B$11,Paramètres!$A$1:$I$89,5,0)</f>
        <v>-2.2612312022829427E-13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325.72928944930294</v>
      </c>
      <c r="BJ100" s="59">
        <f t="shared" si="92"/>
        <v>318.38876834819752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4.5935696389025802</v>
      </c>
      <c r="BQ100" s="21">
        <f>EXP(-LN(2)/25)*BQ99+(1-EXP(-LN(2)/25))/(LN(2)/25)*Calculateur!BL100*Calculateur!BN100*VLOOKUP('Données projet'!$B$11,Paramètres!$A$1:$I$89,3,0)*0.475*44/12</f>
        <v>3.2269158791268486</v>
      </c>
      <c r="BR100" s="21">
        <f>EXP(-LN(2)/2)*BR99+(1-EXP(-LN(2)/2))/(LN(2)/2)*BL100*BO100*VLOOKUP('Données projet'!$B$11,Paramètres!$A$1:$I$89,3,0)*0.475*44/12</f>
        <v>9.7379972724546449E-10</v>
      </c>
      <c r="BS100" s="22">
        <f t="shared" si="63"/>
        <v>7.8204855190032285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-3.4106051316484809E-13</v>
      </c>
      <c r="BZ100" s="13">
        <f>BY100*VLOOKUP('Données projet'!$B$12,Paramètres!$A$1:$I$89,3,0)*VLOOKUP('Données projet'!$B$12,Paramètres!$A$1:$I$89,5,0)</f>
        <v>-1.9065282685915009E-13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475.54809021014017</v>
      </c>
      <c r="CE100" s="59">
        <f t="shared" si="94"/>
        <v>593.51433014569966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1.9476814977912618</v>
      </c>
      <c r="CL100" s="21">
        <f>EXP(-LN(2)/25)*CL99+(1-EXP(-LN(2)/25))/(LN(2)/25)*Calculateur!CG100*Calculateur!CI100*VLOOKUP('Données projet'!$B$12,Paramètres!$A$1:$I$89,3,0)*0.475*44/12</f>
        <v>6.6492675571531841</v>
      </c>
      <c r="CM100" s="21">
        <f>EXP(-LN(2)/2)*CM99+(1-EXP(-LN(2)/2))/(LN(2)/2)*CG100*CJ100*VLOOKUP('Données projet'!$B$12,Paramètres!$A$1:$I$89,3,0)*0.475*44/12</f>
        <v>1.1868583627868471E-9</v>
      </c>
      <c r="CN100" s="22">
        <f t="shared" si="66"/>
        <v>8.5969490561313044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18.5</v>
      </c>
      <c r="CT100" s="12">
        <f>IF('Données projet'!$A$140&gt;35,CT99+CS100-DB99,IF(A100&lt;'Données projet'!$A$140,$CQ$205^A100,IF(A100='Données projet'!$A$140,'Données projet'!$B$140,CT99+CS100-DB99)))</f>
        <v>619.99999999999989</v>
      </c>
      <c r="CU100" s="17">
        <f>CT100*VLOOKUP('Données projet'!$B$13,Paramètres!$A$1:$I$89,3,0)*VLOOKUP('Données projet'!$B$13,Paramètres!$A$1:$I$89,5,0)</f>
        <v>290.15999999999997</v>
      </c>
      <c r="CV100" s="13">
        <f t="shared" si="95"/>
        <v>69.109634717039938</v>
      </c>
      <c r="CW100" s="20">
        <f t="shared" si="67"/>
        <v>625.72794713217797</v>
      </c>
      <c r="CX100" s="59">
        <f t="shared" si="68"/>
        <v>919.06128046551135</v>
      </c>
      <c r="CY100" s="59">
        <f ca="1">AVERAGE(OFFSET($CX$3,0,0,'Données projet'!$E$13+1,1))-AVERAGE(OFFSET($H$3,0,0,'Données projet'!$E$13+1,1))</f>
        <v>226.0452828290525</v>
      </c>
      <c r="CZ100" s="59">
        <f t="shared" si="96"/>
        <v>179.89696397462069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2.4079366914026545</v>
      </c>
      <c r="DG100" s="21">
        <f>EXP(-LN(2)/25)*DG99+(1-EXP(-LN(2)/25))/(LN(2)/25)*Calculateur!DB100*Calculateur!DD100*VLOOKUP('Données projet'!$B$13,Paramètres!$A$1:$I$89,3,0)*0.475*44/12</f>
        <v>1.7400667108847738</v>
      </c>
      <c r="DH100" s="21">
        <f>EXP(-LN(2)/2)*DH99+(1-EXP(-LN(2)/2))/(LN(2)/2)*DB100*DE100*VLOOKUP('Données projet'!$B$13,Paramètres!$A$1:$I$89,3,0)*0.475*44/12</f>
        <v>9.0904896489854849E-10</v>
      </c>
      <c r="DI100" s="22">
        <f t="shared" si="69"/>
        <v>4.1480034031964772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1.1368683772161603E-13</v>
      </c>
      <c r="DP100" s="17">
        <f>DO100*VLOOKUP('Données projet'!$B$14,Paramètres!$A$1:$I$89,3,0)*VLOOKUP('Données projet'!$B$14,Paramètres!$A$1:$I$89,5,0)</f>
        <v>6.7984728957526396E-14</v>
      </c>
      <c r="DQ100" s="13">
        <f t="shared" si="97"/>
        <v>1.0682447123141398E-12</v>
      </c>
      <c r="DR100" s="20">
        <f t="shared" si="70"/>
        <v>1.978932943548152E-12</v>
      </c>
      <c r="DS100" s="59">
        <f t="shared" si="71"/>
        <v>293.3333333333353</v>
      </c>
      <c r="DT100" s="59">
        <f ca="1">AVERAGE(OFFSET($DS$3,0,0,'Données projet'!$E$14+1,1))-AVERAGE(OFFSET($H$3,0,0,'Données projet'!$E$14+1,1))</f>
        <v>252.81045065813976</v>
      </c>
      <c r="DU100" s="59">
        <f t="shared" si="98"/>
        <v>254.36590349790589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4.7899115682188214</v>
      </c>
      <c r="EB100" s="21">
        <f>EXP(-LN(2)/25)*EB99+(1-EXP(-LN(2)/25))/(LN(2)/25)*Calculateur!DW100*Calculateur!DY100*VLOOKUP('Données projet'!$B$14,Paramètres!$A$1:$I$89,3,0)*0.475*44/12</f>
        <v>2.5163249784497719</v>
      </c>
      <c r="EC100" s="21">
        <f>EXP(-LN(2)/2)*EC99+(1-EXP(-LN(2)/2))/(LN(2)/2)*DW100*DZ100*VLOOKUP('Données projet'!$B$14,Paramètres!$A$1:$I$89,3,0)*0.475*44/12</f>
        <v>4.7261958667633495E-10</v>
      </c>
      <c r="ED100" s="22">
        <f t="shared" si="72"/>
        <v>7.3062365471412125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-2.8421709430404007E-13</v>
      </c>
      <c r="EK100" s="17">
        <f>EJ100*VLOOKUP('Données projet'!$B$15,Paramètres!$A$1:$I$89,3,0)*VLOOKUP('Données projet'!$B$15,Paramètres!$A$1:$I$89,5,0)</f>
        <v>-2.0838797354372215E-13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296.91321813251051</v>
      </c>
      <c r="EP100" s="59">
        <f t="shared" si="100"/>
        <v>291.0718079639509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3.4345557677477316</v>
      </c>
      <c r="EW100" s="21">
        <f>EXP(-LN(2)/25)*EW99+(1-EXP(-LN(2)/25))/(LN(2)/25)*Calculateur!ER100*Calculateur!ET100*VLOOKUP('Données projet'!$B$15,Paramètres!$A$1:$I$89,3,0)*0.475*44/12</f>
        <v>2.4127254871310986</v>
      </c>
      <c r="EX100" s="21">
        <f>EXP(-LN(2)/2)*EX99+(1-EXP(-LN(2)/2))/(LN(2)/2)*ER100*EU100*VLOOKUP('Données projet'!$B$15,Paramètres!$A$1:$I$89,3,0)*0.475*44/12</f>
        <v>8.9742327804974399E-10</v>
      </c>
      <c r="EY100" s="22">
        <f t="shared" si="75"/>
        <v>5.8472812557762532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5.6</v>
      </c>
      <c r="FE100" s="12">
        <f>IF('Données projet'!$A$218&gt;35,FE99+FD100-FM99,IF(A100&lt;'Données projet'!$A$218,$FB$205^A100,IF(A100='Données projet'!$A$218,'Données projet'!$B$218,FE99+FD100-FM99)))</f>
        <v>316.19999999999993</v>
      </c>
      <c r="FF100" s="17">
        <f>FE100*VLOOKUP('Données projet'!$B$16,Paramètres!$A$1:$I$89,3,0)*VLOOKUP('Données projet'!$B$16,Paramètres!$A$1:$I$89,5,0)</f>
        <v>320.62679999999995</v>
      </c>
      <c r="FG100" s="13">
        <f t="shared" si="101"/>
        <v>75.483756735990909</v>
      </c>
      <c r="FH100" s="20">
        <f t="shared" si="76"/>
        <v>689.89255298185071</v>
      </c>
      <c r="FI100" s="59">
        <f t="shared" si="77"/>
        <v>983.22588631518397</v>
      </c>
      <c r="FJ100" s="59">
        <f ca="1">AVERAGE(OFFSET($FI$3,0,0,'Données projet'!$E$16+1,1))-AVERAGE(OFFSET($H$3,0,0,'Données projet'!$E$16+1,1))</f>
        <v>356.65981389369125</v>
      </c>
      <c r="FK100" s="59">
        <f t="shared" si="102"/>
        <v>231.92898690465887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2.1729658395473423</v>
      </c>
      <c r="FR100" s="21">
        <f>EXP(-LN(2)/25)*FR99+(1-EXP(-LN(2)/25))/(LN(2)/25)*Calculateur!FM100*Calculateur!FO100*VLOOKUP('Données projet'!$B$16,Paramètres!$A$1:$I$89,3,0)*0.475*44/12</f>
        <v>1.6376530961610094</v>
      </c>
      <c r="FS100" s="21">
        <f>EXP(-LN(2)/2)*FS99+(1-EXP(-LN(2)/2))/(LN(2)/2)*FM100*FP100*VLOOKUP('Données projet'!$B$16,Paramètres!$A$1:$I$89,3,0)*0.475*44/12</f>
        <v>7.8736392960542677E-10</v>
      </c>
      <c r="FT100" s="22">
        <f t="shared" si="78"/>
        <v>3.8106189364957155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5.6</v>
      </c>
      <c r="FZ100" s="12">
        <f>IF('Données projet'!$A$244&gt;35,FZ99+FY100-GH99,IF(A100&lt;'Données projet'!$A$244,$FW$205^A100,IF(A100='Données projet'!$A$244,'Données projet'!$B$244,FZ99+FY100-GH99)))</f>
        <v>316.19999999999993</v>
      </c>
      <c r="GA100" s="17">
        <f>FZ100*VLOOKUP('Données projet'!$B$17,Paramètres!$A$1:$I$89,3,0)*VLOOKUP('Données projet'!$B$17,Paramètres!$A$1:$I$89,5,0)</f>
        <v>305.82863999999995</v>
      </c>
      <c r="GB100" s="13">
        <f t="shared" si="103"/>
        <v>72.396998509767741</v>
      </c>
      <c r="GC100" s="20">
        <f t="shared" si="79"/>
        <v>658.74298707117862</v>
      </c>
      <c r="GD100" s="59">
        <f t="shared" si="80"/>
        <v>952.07632040451199</v>
      </c>
      <c r="GE100" s="59">
        <f ca="1">AVERAGE(OFFSET($GD$3,0,0,'Données projet'!$E$17+1,1))-AVERAGE(OFFSET($H$3,0,0,'Données projet'!$E$17+1,1))</f>
        <v>337.76140497227715</v>
      </c>
      <c r="GF100" s="59">
        <f t="shared" si="104"/>
        <v>219.76562717496353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2.07267510849131</v>
      </c>
      <c r="GM100" s="21">
        <f>EXP(-LN(2)/25)*GM99+(1-EXP(-LN(2)/25))/(LN(2)/25)*Calculateur!GH100*Calculateur!GJ100*VLOOKUP('Données projet'!$B$17,Paramètres!$A$1:$I$89,3,0)*0.475*44/12</f>
        <v>1.562069107107424</v>
      </c>
      <c r="GN100" s="21">
        <f>EXP(-LN(2)/2)*GN99+(1-EXP(-LN(2)/2))/(LN(2)/2)*GH100*GK100*VLOOKUP('Données projet'!$B$17,Paramètres!$A$1:$I$89,3,0)*0.475*44/12</f>
        <v>7.5102405593133033E-10</v>
      </c>
      <c r="GO100" s="21">
        <f t="shared" si="81"/>
        <v>3.6347442163497581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5.6</v>
      </c>
      <c r="N101" s="13">
        <f>IF('Données projet'!$A$36&gt;35,N100+M101-V100,IF(A101&lt;'Données projet'!$A$36,$K$205^A101,IF(A101='Données projet'!$A$36,'Données projet'!$B$36,N100+M101-V100)))</f>
        <v>321.79999999999995</v>
      </c>
      <c r="O101" s="13">
        <f>N101*VLOOKUP('Données projet'!$B$9,Paramètres!$A$1:$I$89,3,0)*VLOOKUP('Données projet'!$B$9,Paramètres!$A$1:$I$89,5,0)</f>
        <v>291.16463999999991</v>
      </c>
      <c r="P101" s="13">
        <f t="shared" si="87"/>
        <v>69.321022467464644</v>
      </c>
      <c r="Q101" s="20">
        <f t="shared" si="107"/>
        <v>627.84586213083401</v>
      </c>
      <c r="R101" s="59">
        <f t="shared" si="55"/>
        <v>921.17919546416738</v>
      </c>
      <c r="S101" s="59">
        <f ca="1">AVERAGE(OFFSET($R$3,0,0,'Données projet'!$E$9+1,1))-AVERAGE(OFFSET($H$3,0,0,'Données projet'!$E$9+1,1))</f>
        <v>312.53389584272878</v>
      </c>
      <c r="T101" s="59">
        <f t="shared" si="88"/>
        <v>203.5274665601915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1.9009324258323428</v>
      </c>
      <c r="AA101" s="21">
        <f>EXP(-LN(2)/25)*AA100+(1-EXP(-LN(2)/25))/(LN(2)/25)*Calculateur!V101*Calculateur!X101*VLOOKUP('Données projet'!$B$9,Paramètres!$A$1:$I$89,3,0)*0.475*44/12</f>
        <v>1.4213313906970919</v>
      </c>
      <c r="AB101" s="21">
        <f>EXP(-LN(2)/2)*AB100+(1-EXP(-LN(2)/2))/(LN(2)/2)*V101*Y101*VLOOKUP('Données projet'!$B$9,Paramètres!$A$1:$I$89,3,0)*0.475*44/12</f>
        <v>4.9679264131338018E-10</v>
      </c>
      <c r="AC101" s="22">
        <f t="shared" si="57"/>
        <v>3.3222638170262275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5.6843418860808015E-14</v>
      </c>
      <c r="AJ101" s="13">
        <f>AI101*VLOOKUP('Données projet'!$B$10,Paramètres!$A$1:$I$89,3,0)*VLOOKUP('Données projet'!$B$10,Paramètres!$A$1:$I$89,5,0)</f>
        <v>4.9658410716801891E-14</v>
      </c>
      <c r="AK101" s="13">
        <f t="shared" si="89"/>
        <v>8.0934058173791862E-13</v>
      </c>
      <c r="AL101" s="20">
        <f t="shared" si="58"/>
        <v>1.4960899118586383E-12</v>
      </c>
      <c r="AM101" s="59">
        <f t="shared" si="59"/>
        <v>293.33333333333479</v>
      </c>
      <c r="AN101" s="59">
        <f ca="1">AVERAGE(OFFSET($AM$3,0,0,'Données projet'!$E$10+1,1))-AVERAGE(OFFSET($H$3,0,0,'Données projet'!$E$10+1,1))</f>
        <v>243.05628303465238</v>
      </c>
      <c r="AO101" s="59">
        <f t="shared" si="90"/>
        <v>352.47096767658394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2.0534537397689654</v>
      </c>
      <c r="AV101" s="21">
        <f>EXP(-LN(2)/25)*AV100+(1-EXP(-LN(2)/25))/(LN(2)/25)*Calculateur!AQ101*Calculateur!AS101*VLOOKUP('Données projet'!$B$10,Paramètres!$A$1:$I$89,3,0)*0.475*44/12</f>
        <v>2.7498595205009151</v>
      </c>
      <c r="AW101" s="21">
        <f>EXP(-LN(2)/2)*AW100+(1-EXP(-LN(2)/2))/(LN(2)/2)*AQ101*AT101*VLOOKUP('Données projet'!$B$10,Paramètres!$A$1:$I$89,3,0)*0.475*44/12</f>
        <v>6.5618475183542782E-10</v>
      </c>
      <c r="AX101" s="21">
        <f t="shared" si="60"/>
        <v>4.8033132609260649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-2.8421709430404007E-13</v>
      </c>
      <c r="BE101" s="13">
        <f>BD101*VLOOKUP('Données projet'!$B$11,Paramètres!$A$1:$I$89,3,0)*VLOOKUP('Données projet'!$B$11,Paramètres!$A$1:$I$89,5,0)</f>
        <v>-2.2612312022829427E-13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325.72928944930294</v>
      </c>
      <c r="BJ101" s="59">
        <f t="shared" si="92"/>
        <v>318.38876834819752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4.5034925400845252</v>
      </c>
      <c r="BQ101" s="21">
        <f>EXP(-LN(2)/25)*BQ100+(1-EXP(-LN(2)/25))/(LN(2)/25)*Calculateur!BL101*Calculateur!BN101*VLOOKUP('Données projet'!$B$11,Paramètres!$A$1:$I$89,3,0)*0.475*44/12</f>
        <v>3.1386756947159942</v>
      </c>
      <c r="BR101" s="21">
        <f>EXP(-LN(2)/2)*BR100+(1-EXP(-LN(2)/2))/(LN(2)/2)*BL101*BO101*VLOOKUP('Données projet'!$B$11,Paramètres!$A$1:$I$89,3,0)*0.475*44/12</f>
        <v>6.8858039065287835E-10</v>
      </c>
      <c r="BS101" s="22">
        <f t="shared" si="63"/>
        <v>7.6421682354891001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-3.4106051316484809E-13</v>
      </c>
      <c r="BZ101" s="13">
        <f>BY101*VLOOKUP('Données projet'!$B$12,Paramètres!$A$1:$I$89,3,0)*VLOOKUP('Données projet'!$B$12,Paramètres!$A$1:$I$89,5,0)</f>
        <v>-1.9065282685915009E-13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475.54809021014017</v>
      </c>
      <c r="CE101" s="59">
        <f t="shared" si="94"/>
        <v>593.51433014569966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1.9094886515879865</v>
      </c>
      <c r="CL101" s="21">
        <f>EXP(-LN(2)/25)*CL100+(1-EXP(-LN(2)/25))/(LN(2)/25)*Calculateur!CG101*Calculateur!CI101*VLOOKUP('Données projet'!$B$12,Paramètres!$A$1:$I$89,3,0)*0.475*44/12</f>
        <v>6.4674429861330465</v>
      </c>
      <c r="CM101" s="21">
        <f>EXP(-LN(2)/2)*CM100+(1-EXP(-LN(2)/2))/(LN(2)/2)*CG101*CJ101*VLOOKUP('Données projet'!$B$12,Paramètres!$A$1:$I$89,3,0)*0.475*44/12</f>
        <v>8.3923559663454313E-10</v>
      </c>
      <c r="CN101" s="22">
        <f t="shared" si="66"/>
        <v>8.3769316385602686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18.5</v>
      </c>
      <c r="CT101" s="12">
        <f>IF('Données projet'!$A$140&gt;35,CT100+CS101-DB100,IF(A101&lt;'Données projet'!$A$140,$CQ$205^A101,IF(A101='Données projet'!$A$140,'Données projet'!$B$140,CT100+CS101-DB100)))</f>
        <v>638.49999999999989</v>
      </c>
      <c r="CU101" s="17">
        <f>CT101*VLOOKUP('Données projet'!$B$13,Paramètres!$A$1:$I$89,3,0)*VLOOKUP('Données projet'!$B$13,Paramètres!$A$1:$I$89,5,0)</f>
        <v>298.81799999999993</v>
      </c>
      <c r="CV101" s="13">
        <f t="shared" si="95"/>
        <v>70.928613970256563</v>
      </c>
      <c r="CW101" s="20">
        <f t="shared" si="67"/>
        <v>643.97535266486341</v>
      </c>
      <c r="CX101" s="59">
        <f t="shared" si="68"/>
        <v>937.30868599819678</v>
      </c>
      <c r="CY101" s="59">
        <f ca="1">AVERAGE(OFFSET($CX$3,0,0,'Données projet'!$E$13+1,1))-AVERAGE(OFFSET($H$3,0,0,'Données projet'!$E$13+1,1))</f>
        <v>226.0452828290525</v>
      </c>
      <c r="CZ101" s="59">
        <f t="shared" si="96"/>
        <v>179.89696397462069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2.3607185215806084</v>
      </c>
      <c r="DG101" s="21">
        <f>EXP(-LN(2)/25)*DG100+(1-EXP(-LN(2)/25))/(LN(2)/25)*Calculateur!DB101*Calculateur!DD101*VLOOKUP('Données projet'!$B$13,Paramètres!$A$1:$I$89,3,0)*0.475*44/12</f>
        <v>1.6924844951694984</v>
      </c>
      <c r="DH101" s="21">
        <f>EXP(-LN(2)/2)*DH100+(1-EXP(-LN(2)/2))/(LN(2)/2)*DB101*DE101*VLOOKUP('Données projet'!$B$13,Paramètres!$A$1:$I$89,3,0)*0.475*44/12</f>
        <v>6.4279468751037549E-10</v>
      </c>
      <c r="DI101" s="22">
        <f t="shared" si="69"/>
        <v>4.0532030173929012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1.1368683772161603E-13</v>
      </c>
      <c r="DP101" s="17">
        <f>DO101*VLOOKUP('Données projet'!$B$14,Paramètres!$A$1:$I$89,3,0)*VLOOKUP('Données projet'!$B$14,Paramètres!$A$1:$I$89,5,0)</f>
        <v>6.7984728957526396E-14</v>
      </c>
      <c r="DQ101" s="13">
        <f t="shared" si="97"/>
        <v>1.0682447123141398E-12</v>
      </c>
      <c r="DR101" s="20">
        <f t="shared" si="70"/>
        <v>1.978932943548152E-12</v>
      </c>
      <c r="DS101" s="59">
        <f t="shared" si="71"/>
        <v>293.3333333333353</v>
      </c>
      <c r="DT101" s="59">
        <f ca="1">AVERAGE(OFFSET($DS$3,0,0,'Données projet'!$E$14+1,1))-AVERAGE(OFFSET($H$3,0,0,'Données projet'!$E$14+1,1))</f>
        <v>252.81045065813976</v>
      </c>
      <c r="DU101" s="59">
        <f t="shared" si="98"/>
        <v>254.36590349790589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4.6959843239236267</v>
      </c>
      <c r="EB101" s="21">
        <f>EXP(-LN(2)/25)*EB100+(1-EXP(-LN(2)/25))/(LN(2)/25)*Calculateur!DW101*Calculateur!DY101*VLOOKUP('Données projet'!$B$14,Paramètres!$A$1:$I$89,3,0)*0.475*44/12</f>
        <v>2.4475159395862836</v>
      </c>
      <c r="EC101" s="21">
        <f>EXP(-LN(2)/2)*EC100+(1-EXP(-LN(2)/2))/(LN(2)/2)*DW101*DZ101*VLOOKUP('Données projet'!$B$14,Paramètres!$A$1:$I$89,3,0)*0.475*44/12</f>
        <v>3.3419251466041971E-10</v>
      </c>
      <c r="ED101" s="22">
        <f t="shared" si="72"/>
        <v>7.1435002638441025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-2.8421709430404007E-13</v>
      </c>
      <c r="EK101" s="17">
        <f>EJ101*VLOOKUP('Données projet'!$B$15,Paramètres!$A$1:$I$89,3,0)*VLOOKUP('Données projet'!$B$15,Paramètres!$A$1:$I$89,5,0)</f>
        <v>-2.0838797354372215E-13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296.91321813251051</v>
      </c>
      <c r="EP101" s="59">
        <f t="shared" si="100"/>
        <v>291.0718079639509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3.3672062240143656</v>
      </c>
      <c r="EW101" s="21">
        <f>EXP(-LN(2)/25)*EW100+(1-EXP(-LN(2)/25))/(LN(2)/25)*Calculateur!ER101*Calculateur!ET101*VLOOKUP('Données projet'!$B$15,Paramètres!$A$1:$I$89,3,0)*0.475*44/12</f>
        <v>2.3467493818057799</v>
      </c>
      <c r="EX101" s="21">
        <f>EXP(-LN(2)/2)*EX100+(1-EXP(-LN(2)/2))/(LN(2)/2)*ER101*EU101*VLOOKUP('Données projet'!$B$15,Paramètres!$A$1:$I$89,3,0)*0.475*44/12</f>
        <v>6.3457408550363451E-10</v>
      </c>
      <c r="EY101" s="22">
        <f t="shared" si="75"/>
        <v>5.7139556064547197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5.6</v>
      </c>
      <c r="FE101" s="12">
        <f>IF('Données projet'!$A$218&gt;35,FE100+FD101-FM100,IF(A101&lt;'Données projet'!$A$218,$FB$205^A101,IF(A101='Données projet'!$A$218,'Données projet'!$B$218,FE100+FD101-FM100)))</f>
        <v>321.79999999999995</v>
      </c>
      <c r="FF101" s="17">
        <f>FE101*VLOOKUP('Données projet'!$B$16,Paramètres!$A$1:$I$89,3,0)*VLOOKUP('Données projet'!$B$16,Paramètres!$A$1:$I$89,5,0)</f>
        <v>326.30520000000001</v>
      </c>
      <c r="FG101" s="13">
        <f t="shared" si="101"/>
        <v>76.663779608302349</v>
      </c>
      <c r="FH101" s="20">
        <f t="shared" si="76"/>
        <v>701.83763948445983</v>
      </c>
      <c r="FI101" s="59">
        <f t="shared" si="77"/>
        <v>995.1709728177932</v>
      </c>
      <c r="FJ101" s="59">
        <f ca="1">AVERAGE(OFFSET($FI$3,0,0,'Données projet'!$E$16+1,1))-AVERAGE(OFFSET($H$3,0,0,'Données projet'!$E$16+1,1))</f>
        <v>356.65981389369125</v>
      </c>
      <c r="FK101" s="59">
        <f t="shared" si="102"/>
        <v>231.92898690465887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2.1303553048121109</v>
      </c>
      <c r="FR101" s="21">
        <f>EXP(-LN(2)/25)*FR100+(1-EXP(-LN(2)/25))/(LN(2)/25)*Calculateur!FM101*Calculateur!FO101*VLOOKUP('Données projet'!$B$16,Paramètres!$A$1:$I$89,3,0)*0.475*44/12</f>
        <v>1.5928713861260533</v>
      </c>
      <c r="FS101" s="21">
        <f>EXP(-LN(2)/2)*FS100+(1-EXP(-LN(2)/2))/(LN(2)/2)*FM101*FP101*VLOOKUP('Données projet'!$B$16,Paramètres!$A$1:$I$89,3,0)*0.475*44/12</f>
        <v>5.5675037388568471E-10</v>
      </c>
      <c r="FT101" s="22">
        <f t="shared" si="78"/>
        <v>3.7232266914949141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5.6</v>
      </c>
      <c r="FZ101" s="12">
        <f>IF('Données projet'!$A$244&gt;35,FZ100+FY101-GH100,IF(A101&lt;'Données projet'!$A$244,$FW$205^A101,IF(A101='Données projet'!$A$244,'Données projet'!$B$244,FZ100+FY101-GH100)))</f>
        <v>321.79999999999995</v>
      </c>
      <c r="GA101" s="17">
        <f>FZ101*VLOOKUP('Données projet'!$B$17,Paramètres!$A$1:$I$89,3,0)*VLOOKUP('Données projet'!$B$17,Paramètres!$A$1:$I$89,5,0)</f>
        <v>311.24495999999994</v>
      </c>
      <c r="GB101" s="13">
        <f t="shared" si="103"/>
        <v>73.528766691722723</v>
      </c>
      <c r="GC101" s="20">
        <f t="shared" si="79"/>
        <v>670.14757398808365</v>
      </c>
      <c r="GD101" s="59">
        <f t="shared" si="80"/>
        <v>963.48090732141691</v>
      </c>
      <c r="GE101" s="59">
        <f ca="1">AVERAGE(OFFSET($GD$3,0,0,'Données projet'!$E$17+1,1))-AVERAGE(OFFSET($H$3,0,0,'Données projet'!$E$17+1,1))</f>
        <v>337.76140497227715</v>
      </c>
      <c r="GF101" s="59">
        <f t="shared" si="104"/>
        <v>219.76562717496353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2.0320312138207814</v>
      </c>
      <c r="GM101" s="21">
        <f>EXP(-LN(2)/25)*GM100+(1-EXP(-LN(2)/25))/(LN(2)/25)*Calculateur!GH101*Calculateur!GJ101*VLOOKUP('Données projet'!$B$17,Paramètres!$A$1:$I$89,3,0)*0.475*44/12</f>
        <v>1.5193542452279272</v>
      </c>
      <c r="GN101" s="21">
        <f>EXP(-LN(2)/2)*GN100+(1-EXP(-LN(2)/2))/(LN(2)/2)*GH101*GK101*VLOOKUP('Données projet'!$B$17,Paramètres!$A$1:$I$89,3,0)*0.475*44/12</f>
        <v>5.3105420278326862E-10</v>
      </c>
      <c r="GO101" s="21">
        <f t="shared" si="81"/>
        <v>3.5513854595797629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5.6</v>
      </c>
      <c r="N102" s="13">
        <f>IF('Données projet'!$A$36&gt;35,N101+M102-V101,IF(A102&lt;'Données projet'!$A$36,$K$205^A102,IF(A102='Données projet'!$A$36,'Données projet'!$B$36,N101+M102-V101)))</f>
        <v>327.39999999999998</v>
      </c>
      <c r="O102" s="13">
        <f>N102*VLOOKUP('Données projet'!$B$9,Paramètres!$A$1:$I$89,3,0)*VLOOKUP('Données projet'!$B$9,Paramètres!$A$1:$I$89,5,0)</f>
        <v>296.23151999999993</v>
      </c>
      <c r="P102" s="13">
        <f t="shared" si="87"/>
        <v>70.385865030263986</v>
      </c>
      <c r="Q102" s="20">
        <f t="shared" si="107"/>
        <v>638.52527892770956</v>
      </c>
      <c r="R102" s="59">
        <f t="shared" si="55"/>
        <v>931.85861226104294</v>
      </c>
      <c r="S102" s="59">
        <f ca="1">AVERAGE(OFFSET($R$3,0,0,'Données projet'!$E$9+1,1))-AVERAGE(OFFSET($H$3,0,0,'Données projet'!$E$9+1,1))</f>
        <v>312.53389584272878</v>
      </c>
      <c r="T102" s="59">
        <f t="shared" si="88"/>
        <v>203.5274665601915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1.8636563004160638</v>
      </c>
      <c r="AA102" s="21">
        <f>EXP(-LN(2)/25)*AA101+(1-EXP(-LN(2)/25))/(LN(2)/25)*Calculateur!V102*Calculateur!X102*VLOOKUP('Données projet'!$B$9,Paramètres!$A$1:$I$89,3,0)*0.475*44/12</f>
        <v>1.3824650090739106</v>
      </c>
      <c r="AB102" s="21">
        <f>EXP(-LN(2)/2)*AB101+(1-EXP(-LN(2)/2))/(LN(2)/2)*V102*Y102*VLOOKUP('Données projet'!$B$9,Paramètres!$A$1:$I$89,3,0)*0.475*44/12</f>
        <v>3.5128544551626731E-10</v>
      </c>
      <c r="AC102" s="22">
        <f t="shared" si="57"/>
        <v>3.2461213098412602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5.6843418860808015E-14</v>
      </c>
      <c r="AJ102" s="13">
        <f>AI102*VLOOKUP('Données projet'!$B$10,Paramètres!$A$1:$I$89,3,0)*VLOOKUP('Données projet'!$B$10,Paramètres!$A$1:$I$89,5,0)</f>
        <v>4.9658410716801891E-14</v>
      </c>
      <c r="AK102" s="13">
        <f t="shared" si="89"/>
        <v>8.0934058173791862E-13</v>
      </c>
      <c r="AL102" s="20">
        <f t="shared" si="58"/>
        <v>1.4960899118586383E-12</v>
      </c>
      <c r="AM102" s="59">
        <f t="shared" si="59"/>
        <v>293.33333333333479</v>
      </c>
      <c r="AN102" s="59">
        <f ca="1">AVERAGE(OFFSET($AM$3,0,0,'Données projet'!$E$10+1,1))-AVERAGE(OFFSET($H$3,0,0,'Données projet'!$E$10+1,1))</f>
        <v>243.05628303465238</v>
      </c>
      <c r="AO102" s="59">
        <f t="shared" si="90"/>
        <v>352.47096767658394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2.0131867644152046</v>
      </c>
      <c r="AV102" s="21">
        <f>EXP(-LN(2)/25)*AV101+(1-EXP(-LN(2)/25))/(LN(2)/25)*Calculateur!AQ102*Calculateur!AS102*VLOOKUP('Données projet'!$B$10,Paramètres!$A$1:$I$89,3,0)*0.475*44/12</f>
        <v>2.6746644673039901</v>
      </c>
      <c r="AW102" s="21">
        <f>EXP(-LN(2)/2)*AW101+(1-EXP(-LN(2)/2))/(LN(2)/2)*AQ102*AT102*VLOOKUP('Données projet'!$B$10,Paramètres!$A$1:$I$89,3,0)*0.475*44/12</f>
        <v>4.6399268773404289E-10</v>
      </c>
      <c r="AX102" s="21">
        <f t="shared" si="60"/>
        <v>4.6878512321831876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-2.8421709430404007E-13</v>
      </c>
      <c r="BE102" s="13">
        <f>BD102*VLOOKUP('Données projet'!$B$11,Paramètres!$A$1:$I$89,3,0)*VLOOKUP('Données projet'!$B$11,Paramètres!$A$1:$I$89,5,0)</f>
        <v>-2.2612312022829427E-13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325.72928944930294</v>
      </c>
      <c r="BJ102" s="59">
        <f t="shared" si="92"/>
        <v>318.38876834819752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4.4151817982326875</v>
      </c>
      <c r="BQ102" s="21">
        <f>EXP(-LN(2)/25)*BQ101+(1-EXP(-LN(2)/25))/(LN(2)/25)*Calculateur!BL102*Calculateur!BN102*VLOOKUP('Données projet'!$B$11,Paramètres!$A$1:$I$89,3,0)*0.475*44/12</f>
        <v>3.0528484427882039</v>
      </c>
      <c r="BR102" s="21">
        <f>EXP(-LN(2)/2)*BR101+(1-EXP(-LN(2)/2))/(LN(2)/2)*BL102*BO102*VLOOKUP('Données projet'!$B$11,Paramètres!$A$1:$I$89,3,0)*0.475*44/12</f>
        <v>4.8689986362273225E-10</v>
      </c>
      <c r="BS102" s="22">
        <f t="shared" si="63"/>
        <v>7.4680302415077913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-3.4106051316484809E-13</v>
      </c>
      <c r="BZ102" s="13">
        <f>BY102*VLOOKUP('Données projet'!$B$12,Paramètres!$A$1:$I$89,3,0)*VLOOKUP('Données projet'!$B$12,Paramètres!$A$1:$I$89,5,0)</f>
        <v>-1.9065282685915009E-13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475.54809021014017</v>
      </c>
      <c r="CE102" s="59">
        <f t="shared" si="94"/>
        <v>593.51433014569966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1.8720447438034216</v>
      </c>
      <c r="CL102" s="21">
        <f>EXP(-LN(2)/25)*CL101+(1-EXP(-LN(2)/25))/(LN(2)/25)*Calculateur!CG102*Calculateur!CI102*VLOOKUP('Données projet'!$B$12,Paramètres!$A$1:$I$89,3,0)*0.475*44/12</f>
        <v>6.2905904175691933</v>
      </c>
      <c r="CM102" s="21">
        <f>EXP(-LN(2)/2)*CM101+(1-EXP(-LN(2)/2))/(LN(2)/2)*CG102*CJ102*VLOOKUP('Données projet'!$B$12,Paramètres!$A$1:$I$89,3,0)*0.475*44/12</f>
        <v>5.9342918139342354E-10</v>
      </c>
      <c r="CN102" s="22">
        <f t="shared" si="66"/>
        <v>8.162635161966044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18.5</v>
      </c>
      <c r="CT102" s="12">
        <f>IF('Données projet'!$A$140&gt;35,CT101+CS102-DB101,IF(A102&lt;'Données projet'!$A$140,$CQ$205^A102,IF(A102='Données projet'!$A$140,'Données projet'!$B$140,CT101+CS102-DB101)))</f>
        <v>656.99999999999989</v>
      </c>
      <c r="CU102" s="17">
        <f>CT102*VLOOKUP('Données projet'!$B$13,Paramètres!$A$1:$I$89,3,0)*VLOOKUP('Données projet'!$B$13,Paramètres!$A$1:$I$89,5,0)</f>
        <v>307.47599999999994</v>
      </c>
      <c r="CV102" s="13">
        <f t="shared" si="95"/>
        <v>72.741467976269988</v>
      </c>
      <c r="CW102" s="20">
        <f t="shared" si="67"/>
        <v>662.21209005867013</v>
      </c>
      <c r="CX102" s="59">
        <f t="shared" si="68"/>
        <v>955.54542339200339</v>
      </c>
      <c r="CY102" s="59">
        <f ca="1">AVERAGE(OFFSET($CX$3,0,0,'Données projet'!$E$13+1,1))-AVERAGE(OFFSET($H$3,0,0,'Données projet'!$E$13+1,1))</f>
        <v>226.0452828290525</v>
      </c>
      <c r="CZ102" s="59">
        <f t="shared" si="96"/>
        <v>179.89696397462069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2.3144262712685331</v>
      </c>
      <c r="DG102" s="21">
        <f>EXP(-LN(2)/25)*DG101+(1-EXP(-LN(2)/25))/(LN(2)/25)*Calculateur!DB102*Calculateur!DD102*VLOOKUP('Données projet'!$B$13,Paramètres!$A$1:$I$89,3,0)*0.475*44/12</f>
        <v>1.6462034176451972</v>
      </c>
      <c r="DH102" s="21">
        <f>EXP(-LN(2)/2)*DH101+(1-EXP(-LN(2)/2))/(LN(2)/2)*DB102*DE102*VLOOKUP('Données projet'!$B$13,Paramètres!$A$1:$I$89,3,0)*0.475*44/12</f>
        <v>4.545244824492743E-10</v>
      </c>
      <c r="DI102" s="22">
        <f t="shared" si="69"/>
        <v>3.9606296893682549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1.1368683772161603E-13</v>
      </c>
      <c r="DP102" s="17">
        <f>DO102*VLOOKUP('Données projet'!$B$14,Paramètres!$A$1:$I$89,3,0)*VLOOKUP('Données projet'!$B$14,Paramètres!$A$1:$I$89,5,0)</f>
        <v>6.7984728957526396E-14</v>
      </c>
      <c r="DQ102" s="13">
        <f t="shared" si="97"/>
        <v>1.0682447123141398E-12</v>
      </c>
      <c r="DR102" s="20">
        <f t="shared" si="70"/>
        <v>1.978932943548152E-12</v>
      </c>
      <c r="DS102" s="59">
        <f t="shared" si="71"/>
        <v>293.3333333333353</v>
      </c>
      <c r="DT102" s="59">
        <f ca="1">AVERAGE(OFFSET($DS$3,0,0,'Données projet'!$E$14+1,1))-AVERAGE(OFFSET($H$3,0,0,'Données projet'!$E$14+1,1))</f>
        <v>252.81045065813976</v>
      </c>
      <c r="DU102" s="59">
        <f t="shared" si="98"/>
        <v>254.36590349790589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4.6038989355990987</v>
      </c>
      <c r="EB102" s="21">
        <f>EXP(-LN(2)/25)*EB101+(1-EXP(-LN(2)/25))/(LN(2)/25)*Calculateur!DW102*Calculateur!DY102*VLOOKUP('Données projet'!$B$14,Paramètres!$A$1:$I$89,3,0)*0.475*44/12</f>
        <v>2.3805884875090273</v>
      </c>
      <c r="EC102" s="21">
        <f>EXP(-LN(2)/2)*EC101+(1-EXP(-LN(2)/2))/(LN(2)/2)*DW102*DZ102*VLOOKUP('Données projet'!$B$14,Paramètres!$A$1:$I$89,3,0)*0.475*44/12</f>
        <v>2.3630979333816747E-10</v>
      </c>
      <c r="ED102" s="22">
        <f t="shared" si="72"/>
        <v>6.9844874233444356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-2.8421709430404007E-13</v>
      </c>
      <c r="EK102" s="17">
        <f>EJ102*VLOOKUP('Données projet'!$B$15,Paramètres!$A$1:$I$89,3,0)*VLOOKUP('Données projet'!$B$15,Paramètres!$A$1:$I$89,5,0)</f>
        <v>-2.0838797354372215E-13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296.91321813251051</v>
      </c>
      <c r="EP102" s="59">
        <f t="shared" si="100"/>
        <v>291.0718079639509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3.3011773637544453</v>
      </c>
      <c r="EW102" s="21">
        <f>EXP(-LN(2)/25)*EW101+(1-EXP(-LN(2)/25))/(LN(2)/25)*Calculateur!ER102*Calculateur!ET102*VLOOKUP('Données projet'!$B$15,Paramètres!$A$1:$I$89,3,0)*0.475*44/12</f>
        <v>2.2825773965501144</v>
      </c>
      <c r="EX102" s="21">
        <f>EXP(-LN(2)/2)*EX101+(1-EXP(-LN(2)/2))/(LN(2)/2)*ER102*EU102*VLOOKUP('Données projet'!$B$15,Paramètres!$A$1:$I$89,3,0)*0.475*44/12</f>
        <v>4.4871163902487199E-10</v>
      </c>
      <c r="EY102" s="22">
        <f t="shared" si="75"/>
        <v>5.5837547607532709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5.6</v>
      </c>
      <c r="FE102" s="12">
        <f>IF('Données projet'!$A$218&gt;35,FE101+FD102-FM101,IF(A102&lt;'Données projet'!$A$218,$FB$205^A102,IF(A102='Données projet'!$A$218,'Données projet'!$B$218,FE101+FD102-FM101)))</f>
        <v>327.39999999999998</v>
      </c>
      <c r="FF102" s="17">
        <f>FE102*VLOOKUP('Données projet'!$B$16,Paramètres!$A$1:$I$89,3,0)*VLOOKUP('Données projet'!$B$16,Paramètres!$A$1:$I$89,5,0)</f>
        <v>331.98360000000002</v>
      </c>
      <c r="FG102" s="13">
        <f t="shared" si="101"/>
        <v>77.841414511052207</v>
      </c>
      <c r="FH102" s="20">
        <f t="shared" si="76"/>
        <v>713.77856694008267</v>
      </c>
      <c r="FI102" s="59">
        <f t="shared" si="77"/>
        <v>1007.111900273416</v>
      </c>
      <c r="FJ102" s="59">
        <f ca="1">AVERAGE(OFFSET($FI$3,0,0,'Données projet'!$E$16+1,1))-AVERAGE(OFFSET($H$3,0,0,'Données projet'!$E$16+1,1))</f>
        <v>356.65981389369125</v>
      </c>
      <c r="FK102" s="59">
        <f t="shared" si="102"/>
        <v>231.92898690465887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2.0885803366731772</v>
      </c>
      <c r="FR102" s="21">
        <f>EXP(-LN(2)/25)*FR101+(1-EXP(-LN(2)/25))/(LN(2)/25)*Calculateur!FM102*Calculateur!FO102*VLOOKUP('Données projet'!$B$16,Paramètres!$A$1:$I$89,3,0)*0.475*44/12</f>
        <v>1.5493142343069708</v>
      </c>
      <c r="FS102" s="21">
        <f>EXP(-LN(2)/2)*FS101+(1-EXP(-LN(2)/2))/(LN(2)/2)*FM102*FP102*VLOOKUP('Données projet'!$B$16,Paramètres!$A$1:$I$89,3,0)*0.475*44/12</f>
        <v>3.9368196480271339E-10</v>
      </c>
      <c r="FT102" s="22">
        <f t="shared" si="78"/>
        <v>3.6378945713738298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5.6</v>
      </c>
      <c r="FZ102" s="12">
        <f>IF('Données projet'!$A$244&gt;35,FZ101+FY102-GH101,IF(A102&lt;'Données projet'!$A$244,$FW$205^A102,IF(A102='Données projet'!$A$244,'Données projet'!$B$244,FZ101+FY102-GH101)))</f>
        <v>327.39999999999998</v>
      </c>
      <c r="GA102" s="17">
        <f>FZ102*VLOOKUP('Données projet'!$B$17,Paramètres!$A$1:$I$89,3,0)*VLOOKUP('Données projet'!$B$17,Paramètres!$A$1:$I$89,5,0)</f>
        <v>316.66127999999998</v>
      </c>
      <c r="GB102" s="13">
        <f t="shared" si="103"/>
        <v>74.658244555385821</v>
      </c>
      <c r="GC102" s="20">
        <f t="shared" si="79"/>
        <v>681.54817193396354</v>
      </c>
      <c r="GD102" s="59">
        <f t="shared" si="80"/>
        <v>974.88150526729692</v>
      </c>
      <c r="GE102" s="59">
        <f ca="1">AVERAGE(OFFSET($GD$3,0,0,'Données projet'!$E$17+1,1))-AVERAGE(OFFSET($H$3,0,0,'Données projet'!$E$17+1,1))</f>
        <v>337.76140497227715</v>
      </c>
      <c r="GF102" s="59">
        <f t="shared" si="104"/>
        <v>219.76562717496353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1.9921843211344141</v>
      </c>
      <c r="GM102" s="21">
        <f>EXP(-LN(2)/25)*GM101+(1-EXP(-LN(2)/25))/(LN(2)/25)*Calculateur!GH102*Calculateur!GJ102*VLOOKUP('Données projet'!$B$17,Paramètres!$A$1:$I$89,3,0)*0.475*44/12</f>
        <v>1.4778074234928023</v>
      </c>
      <c r="GN102" s="21">
        <f>EXP(-LN(2)/2)*GN101+(1-EXP(-LN(2)/2))/(LN(2)/2)*GH102*GK102*VLOOKUP('Données projet'!$B$17,Paramètres!$A$1:$I$89,3,0)*0.475*44/12</f>
        <v>3.7551202796566517E-10</v>
      </c>
      <c r="GO102" s="21">
        <f t="shared" si="81"/>
        <v>3.4699917450027282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333</v>
      </c>
      <c r="L103" s="12">
        <f>VLOOKUP(A103,'Données projet'!$A$35:$I$55,9,0)</f>
        <v>5.6</v>
      </c>
      <c r="M103" s="12">
        <f t="array" ref="M103">INDEX(L:L,MIN(IF(ISNUMBER(L103:L299),ROW(L103:L299),"")))</f>
        <v>5.6</v>
      </c>
      <c r="N103" s="13">
        <f>IF('Données projet'!$A$36&gt;35,N102+M103-V102,IF(A103&lt;'Données projet'!$A$36,$K$205^A103,IF(A103='Données projet'!$A$36,'Données projet'!$B$36,N102+M103-V102)))</f>
        <v>333</v>
      </c>
      <c r="O103" s="13">
        <f>N103*VLOOKUP('Données projet'!$B$9,Paramètres!$A$1:$I$89,3,0)*VLOOKUP('Données projet'!$B$9,Paramètres!$A$1:$I$89,5,0)</f>
        <v>301.29840000000002</v>
      </c>
      <c r="P103" s="13">
        <f t="shared" si="87"/>
        <v>71.448589534990518</v>
      </c>
      <c r="Q103" s="20">
        <f t="shared" si="107"/>
        <v>649.2010067734418</v>
      </c>
      <c r="R103" s="59">
        <f t="shared" si="55"/>
        <v>942.53434010677506</v>
      </c>
      <c r="S103" s="59">
        <f ca="1">AVERAGE(OFFSET($R$3,0,0,'Données projet'!$E$9+1,1))-AVERAGE(OFFSET($H$3,0,0,'Données projet'!$E$9+1,1))</f>
        <v>312.53389584272878</v>
      </c>
      <c r="T103" s="59">
        <f t="shared" si="88"/>
        <v>203.5274665601915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333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1.8271111370830064</v>
      </c>
      <c r="AA103" s="21">
        <f>EXP(-LN(2)/25)*AA102+(1-EXP(-LN(2)/25))/(LN(2)/25)*Calculateur!V103*Calculateur!X103*VLOOKUP('Données projet'!$B$9,Paramètres!$A$1:$I$89,3,0)*0.475*44/12</f>
        <v>1.3446614307001092</v>
      </c>
      <c r="AB103" s="21">
        <f>EXP(-LN(2)/2)*AB102+(1-EXP(-LN(2)/2))/(LN(2)/2)*V103*Y103*VLOOKUP('Données projet'!$B$9,Paramètres!$A$1:$I$89,3,0)*0.475*44/12</f>
        <v>2.4839632065669009E-10</v>
      </c>
      <c r="AC103" s="22">
        <f t="shared" si="57"/>
        <v>3.1717725680315119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5.6843418860808015E-14</v>
      </c>
      <c r="AJ103" s="13">
        <f>AI103*VLOOKUP('Données projet'!$B$10,Paramètres!$A$1:$I$89,3,0)*VLOOKUP('Données projet'!$B$10,Paramètres!$A$1:$I$89,5,0)</f>
        <v>4.9658410716801891E-14</v>
      </c>
      <c r="AK103" s="13">
        <f t="shared" si="89"/>
        <v>8.0934058173791862E-13</v>
      </c>
      <c r="AL103" s="20">
        <f t="shared" si="58"/>
        <v>1.4960899118586383E-12</v>
      </c>
      <c r="AM103" s="59">
        <f t="shared" si="59"/>
        <v>293.33333333333479</v>
      </c>
      <c r="AN103" s="59">
        <f ca="1">AVERAGE(OFFSET($AM$3,0,0,'Données projet'!$E$10+1,1))-AVERAGE(OFFSET($H$3,0,0,'Données projet'!$E$10+1,1))</f>
        <v>243.05628303465238</v>
      </c>
      <c r="AO103" s="59">
        <f t="shared" si="90"/>
        <v>352.47096767658394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1.9737093998877016</v>
      </c>
      <c r="AV103" s="21">
        <f>EXP(-LN(2)/25)*AV102+(1-EXP(-LN(2)/25))/(LN(2)/25)*Calculateur!AQ103*Calculateur!AS103*VLOOKUP('Données projet'!$B$10,Paramètres!$A$1:$I$89,3,0)*0.475*44/12</f>
        <v>2.6015256267910711</v>
      </c>
      <c r="AW103" s="21">
        <f>EXP(-LN(2)/2)*AW102+(1-EXP(-LN(2)/2))/(LN(2)/2)*AQ103*AT103*VLOOKUP('Données projet'!$B$10,Paramètres!$A$1:$I$89,3,0)*0.475*44/12</f>
        <v>3.2809237591771396E-10</v>
      </c>
      <c r="AX103" s="21">
        <f t="shared" si="60"/>
        <v>4.5752350270068645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-2.8421709430404007E-13</v>
      </c>
      <c r="BE103" s="13">
        <f>BD103*VLOOKUP('Données projet'!$B$11,Paramètres!$A$1:$I$89,3,0)*VLOOKUP('Données projet'!$B$11,Paramètres!$A$1:$I$89,5,0)</f>
        <v>-2.2612312022829427E-13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325.72928944930294</v>
      </c>
      <c r="BJ103" s="59">
        <f t="shared" si="92"/>
        <v>318.38876834819752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4.3286027761643302</v>
      </c>
      <c r="BQ103" s="21">
        <f>EXP(-LN(2)/25)*BQ102+(1-EXP(-LN(2)/25))/(LN(2)/25)*Calculateur!BL103*Calculateur!BN103*VLOOKUP('Données projet'!$B$11,Paramètres!$A$1:$I$89,3,0)*0.475*44/12</f>
        <v>2.9693681415778381</v>
      </c>
      <c r="BR103" s="21">
        <f>EXP(-LN(2)/2)*BR102+(1-EXP(-LN(2)/2))/(LN(2)/2)*BL103*BO103*VLOOKUP('Données projet'!$B$11,Paramètres!$A$1:$I$89,3,0)*0.475*44/12</f>
        <v>3.4429019532643917E-10</v>
      </c>
      <c r="BS103" s="22">
        <f t="shared" si="63"/>
        <v>7.2979709180864578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-3.4106051316484809E-13</v>
      </c>
      <c r="BZ103" s="13">
        <f>BY103*VLOOKUP('Données projet'!$B$12,Paramètres!$A$1:$I$89,3,0)*VLOOKUP('Données projet'!$B$12,Paramètres!$A$1:$I$89,5,0)</f>
        <v>-1.9065282685915009E-13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475.54809021014017</v>
      </c>
      <c r="CE103" s="59">
        <f t="shared" si="94"/>
        <v>593.51433014569966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1.8353350882119834</v>
      </c>
      <c r="CL103" s="21">
        <f>EXP(-LN(2)/25)*CL102+(1-EXP(-LN(2)/25))/(LN(2)/25)*Calculateur!CG103*Calculateur!CI103*VLOOKUP('Données projet'!$B$12,Paramètres!$A$1:$I$89,3,0)*0.475*44/12</f>
        <v>6.118573891792991</v>
      </c>
      <c r="CM103" s="21">
        <f>EXP(-LN(2)/2)*CM102+(1-EXP(-LN(2)/2))/(LN(2)/2)*CG103*CJ103*VLOOKUP('Données projet'!$B$12,Paramètres!$A$1:$I$89,3,0)*0.475*44/12</f>
        <v>4.1961779831727156E-10</v>
      </c>
      <c r="CN103" s="22">
        <f t="shared" si="66"/>
        <v>7.9539089804245924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675.5</v>
      </c>
      <c r="CR103" s="12">
        <f>VLOOKUP(A103,'Données projet'!$A$139:$I$159,9,0)</f>
        <v>18.5</v>
      </c>
      <c r="CS103" s="12">
        <f t="array" ref="CS103">INDEX(CR:CR,MIN(IF(ISNUMBER(CR103:CR299),ROW(CR103:CR299),"")))</f>
        <v>18.5</v>
      </c>
      <c r="CT103" s="12">
        <f>IF('Données projet'!$A$140&gt;35,CT102+CS103-DB102,IF(A103&lt;'Données projet'!$A$140,$CQ$205^A103,IF(A103='Données projet'!$A$140,'Données projet'!$B$140,CT102+CS103-DB102)))</f>
        <v>675.49999999999989</v>
      </c>
      <c r="CU103" s="17">
        <f>CT103*VLOOKUP('Données projet'!$B$13,Paramètres!$A$1:$I$89,3,0)*VLOOKUP('Données projet'!$B$13,Paramètres!$A$1:$I$89,5,0)</f>
        <v>316.13399999999996</v>
      </c>
      <c r="CV103" s="13">
        <f t="shared" si="95"/>
        <v>74.548389024136753</v>
      </c>
      <c r="CW103" s="20">
        <f t="shared" si="67"/>
        <v>680.43849421703806</v>
      </c>
      <c r="CX103" s="59">
        <f t="shared" si="68"/>
        <v>973.77182755037143</v>
      </c>
      <c r="CY103" s="59">
        <f ca="1">AVERAGE(OFFSET($CX$3,0,0,'Données projet'!$E$13+1,1))-AVERAGE(OFFSET($H$3,0,0,'Données projet'!$E$13+1,1))</f>
        <v>226.0452828290525</v>
      </c>
      <c r="CZ103" s="59">
        <f t="shared" si="96"/>
        <v>179.89696397462069</v>
      </c>
      <c r="DA103" s="15">
        <f>IF(ISNA(VLOOKUP(A103,'Données projet'!$A$139:$I$159,3,0)),0,VLOOKUP(A103,'Données projet'!$A$139:$I$159,3,0))</f>
        <v>9</v>
      </c>
      <c r="DB103" s="15">
        <f>IF(ISNA(VLOOKUP(A103,'Données projet'!$A$139:$I$159,4,0)),0,VLOOKUP(A103,'Données projet'!$A$139:$I$159,4,0))</f>
        <v>675.5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2.2690417837495929</v>
      </c>
      <c r="DG103" s="21">
        <f>EXP(-LN(2)/25)*DG102+(1-EXP(-LN(2)/25))/(LN(2)/25)*Calculateur!DB103*Calculateur!DD103*VLOOKUP('Données projet'!$B$13,Paramètres!$A$1:$I$89,3,0)*0.475*44/12</f>
        <v>1.601187898619614</v>
      </c>
      <c r="DH103" s="21">
        <f>EXP(-LN(2)/2)*DH102+(1-EXP(-LN(2)/2))/(LN(2)/2)*DB103*DE103*VLOOKUP('Données projet'!$B$13,Paramètres!$A$1:$I$89,3,0)*0.475*44/12</f>
        <v>3.213973437551878E-10</v>
      </c>
      <c r="DI103" s="22">
        <f t="shared" si="69"/>
        <v>3.8702296826906037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1.1368683772161603E-13</v>
      </c>
      <c r="DP103" s="17">
        <f>DO103*VLOOKUP('Données projet'!$B$14,Paramètres!$A$1:$I$89,3,0)*VLOOKUP('Données projet'!$B$14,Paramètres!$A$1:$I$89,5,0)</f>
        <v>6.7984728957526396E-14</v>
      </c>
      <c r="DQ103" s="13">
        <f t="shared" si="97"/>
        <v>1.0682447123141398E-12</v>
      </c>
      <c r="DR103" s="20">
        <f t="shared" si="70"/>
        <v>1.978932943548152E-12</v>
      </c>
      <c r="DS103" s="59">
        <f t="shared" si="71"/>
        <v>293.3333333333353</v>
      </c>
      <c r="DT103" s="59">
        <f ca="1">AVERAGE(OFFSET($DS$3,0,0,'Données projet'!$E$14+1,1))-AVERAGE(OFFSET($H$3,0,0,'Données projet'!$E$14+1,1))</f>
        <v>252.81045065813976</v>
      </c>
      <c r="DU103" s="59">
        <f t="shared" si="98"/>
        <v>254.36590349790589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4.5136192855730739</v>
      </c>
      <c r="EB103" s="21">
        <f>EXP(-LN(2)/25)*EB102+(1-EXP(-LN(2)/25))/(LN(2)/25)*Calculateur!DW103*Calculateur!DY103*VLOOKUP('Données projet'!$B$14,Paramètres!$A$1:$I$89,3,0)*0.475*44/12</f>
        <v>2.3154911701283853</v>
      </c>
      <c r="EC103" s="21">
        <f>EXP(-LN(2)/2)*EC102+(1-EXP(-LN(2)/2))/(LN(2)/2)*DW103*DZ103*VLOOKUP('Données projet'!$B$14,Paramètres!$A$1:$I$89,3,0)*0.475*44/12</f>
        <v>1.6709625733020986E-10</v>
      </c>
      <c r="ED103" s="22">
        <f t="shared" si="72"/>
        <v>6.8291104558685554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-2.8421709430404007E-13</v>
      </c>
      <c r="EK103" s="17">
        <f>EJ103*VLOOKUP('Données projet'!$B$15,Paramètres!$A$1:$I$89,3,0)*VLOOKUP('Données projet'!$B$15,Paramètres!$A$1:$I$89,5,0)</f>
        <v>-2.0838797354372215E-13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296.91321813251051</v>
      </c>
      <c r="EP103" s="59">
        <f t="shared" si="100"/>
        <v>291.0718079639509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3.2364432891705941</v>
      </c>
      <c r="EW103" s="21">
        <f>EXP(-LN(2)/25)*EW102+(1-EXP(-LN(2)/25))/(LN(2)/25)*Calculateur!ER103*Calculateur!ET103*VLOOKUP('Données projet'!$B$15,Paramètres!$A$1:$I$89,3,0)*0.475*44/12</f>
        <v>2.2201601976059231</v>
      </c>
      <c r="EX103" s="21">
        <f>EXP(-LN(2)/2)*EX102+(1-EXP(-LN(2)/2))/(LN(2)/2)*ER103*EU103*VLOOKUP('Données projet'!$B$15,Paramètres!$A$1:$I$89,3,0)*0.475*44/12</f>
        <v>3.1728704275181726E-10</v>
      </c>
      <c r="EY103" s="22">
        <f t="shared" si="75"/>
        <v>5.4566034870938038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>
        <f>VLOOKUP(A103,'Données projet'!$A$217:$I$237,2,0)</f>
        <v>333</v>
      </c>
      <c r="FC103" s="12">
        <f>VLOOKUP(A103,'Données projet'!$A$217:$I$237,9,0)</f>
        <v>5.6</v>
      </c>
      <c r="FD103" s="12">
        <f t="array" ref="FD103">INDEX(FC:FC,MIN(IF(ISNUMBER(FC103:FC299),ROW(FC103:FC299),"")))</f>
        <v>5.6</v>
      </c>
      <c r="FE103" s="12">
        <f>IF('Données projet'!$A$218&gt;35,FE102+FD103-FM102,IF(A103&lt;'Données projet'!$A$218,$FB$205^A103,IF(A103='Données projet'!$A$218,'Données projet'!$B$218,FE102+FD103-FM102)))</f>
        <v>333</v>
      </c>
      <c r="FF103" s="17">
        <f>FE103*VLOOKUP('Données projet'!$B$16,Paramètres!$A$1:$I$89,3,0)*VLOOKUP('Données projet'!$B$16,Paramètres!$A$1:$I$89,5,0)</f>
        <v>337.66200000000003</v>
      </c>
      <c r="FG103" s="13">
        <f t="shared" si="101"/>
        <v>79.016707002632685</v>
      </c>
      <c r="FH103" s="20">
        <f t="shared" si="76"/>
        <v>725.71541469625208</v>
      </c>
      <c r="FI103" s="59">
        <f t="shared" si="77"/>
        <v>1019.0487480295853</v>
      </c>
      <c r="FJ103" s="59">
        <f ca="1">AVERAGE(OFFSET($FI$3,0,0,'Données projet'!$E$16+1,1))-AVERAGE(OFFSET($H$3,0,0,'Données projet'!$E$16+1,1))</f>
        <v>356.65981389369125</v>
      </c>
      <c r="FK103" s="59">
        <f t="shared" si="102"/>
        <v>231.92898690465887</v>
      </c>
      <c r="FL103" s="15">
        <f>IF(ISNA(VLOOKUP(A103,'Données projet'!$A$217:$I$237,3,0)),0,VLOOKUP(A103,'Données projet'!$A$217:$I$237,3,0))</f>
        <v>17</v>
      </c>
      <c r="FM103" s="15">
        <f>IF(ISNA(VLOOKUP(A103,'Données projet'!$A$217:$I$237,4,0)),0,VLOOKUP(A103,'Données projet'!$A$217:$I$237,4,0))</f>
        <v>333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2.0476245501792336</v>
      </c>
      <c r="FR103" s="21">
        <f>EXP(-LN(2)/25)*FR102+(1-EXP(-LN(2)/25))/(LN(2)/25)*Calculateur!FM103*Calculateur!FO103*VLOOKUP('Données projet'!$B$16,Paramètres!$A$1:$I$89,3,0)*0.475*44/12</f>
        <v>1.5069481550949522</v>
      </c>
      <c r="FS103" s="21">
        <f>EXP(-LN(2)/2)*FS102+(1-EXP(-LN(2)/2))/(LN(2)/2)*FM103*FP103*VLOOKUP('Données projet'!$B$16,Paramètres!$A$1:$I$89,3,0)*0.475*44/12</f>
        <v>2.7837518694284236E-10</v>
      </c>
      <c r="FT103" s="22">
        <f t="shared" si="78"/>
        <v>3.5545727055525611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>
        <f>VLOOKUP(A103,'Données projet'!$A$243:$I$263,2,0)</f>
        <v>333</v>
      </c>
      <c r="FX103" s="12">
        <f>VLOOKUP(A103,'Données projet'!$A$243:$I$263,9,0)</f>
        <v>5.6</v>
      </c>
      <c r="FY103" s="12">
        <f t="array" ref="FY103">INDEX(FX:FX,MIN(IF(ISNUMBER(FX103:FX299),ROW(FX103:FX299),"")))</f>
        <v>5.6</v>
      </c>
      <c r="FZ103" s="12">
        <f>IF('Données projet'!$A$244&gt;35,FZ102+FY103-GH102,IF(A103&lt;'Données projet'!$A$244,$FW$205^A103,IF(A103='Données projet'!$A$244,'Données projet'!$B$244,FZ102+FY103-GH102)))</f>
        <v>333</v>
      </c>
      <c r="GA103" s="17">
        <f>FZ103*VLOOKUP('Données projet'!$B$17,Paramètres!$A$1:$I$89,3,0)*VLOOKUP('Données projet'!$B$17,Paramètres!$A$1:$I$89,5,0)</f>
        <v>322.07760000000002</v>
      </c>
      <c r="GB103" s="13">
        <f t="shared" si="103"/>
        <v>75.785475796129461</v>
      </c>
      <c r="GC103" s="20">
        <f t="shared" si="79"/>
        <v>692.94485701159203</v>
      </c>
      <c r="GD103" s="59">
        <f t="shared" si="80"/>
        <v>986.27819034492541</v>
      </c>
      <c r="GE103" s="59">
        <f ca="1">AVERAGE(OFFSET($GD$3,0,0,'Données projet'!$E$17+1,1))-AVERAGE(OFFSET($H$3,0,0,'Données projet'!$E$17+1,1))</f>
        <v>337.76140497227715</v>
      </c>
      <c r="GF103" s="59">
        <f t="shared" si="104"/>
        <v>219.76562717496353</v>
      </c>
      <c r="GG103" s="15">
        <f>IF(ISNA(VLOOKUP(A103,'Données projet'!$A$243:$I$263,3,0)),0,VLOOKUP(A103,'Données projet'!$A$243:$I$263,3,0))</f>
        <v>17</v>
      </c>
      <c r="GH103" s="15">
        <f>IF(ISNA(VLOOKUP(A103,'Données projet'!$A$243:$I$263,4,0)),0,VLOOKUP(A103,'Données projet'!$A$243:$I$263,4,0))</f>
        <v>333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1.9531188017094219</v>
      </c>
      <c r="GM103" s="21">
        <f>EXP(-LN(2)/25)*GM102+(1-EXP(-LN(2)/25))/(LN(2)/25)*Calculateur!GH103*Calculateur!GJ103*VLOOKUP('Données projet'!$B$17,Paramètres!$A$1:$I$89,3,0)*0.475*44/12</f>
        <v>1.4373967017828768</v>
      </c>
      <c r="GN103" s="21">
        <f>EXP(-LN(2)/2)*GN102+(1-EXP(-LN(2)/2))/(LN(2)/2)*GH103*GK103*VLOOKUP('Données projet'!$B$17,Paramètres!$A$1:$I$89,3,0)*0.475*44/12</f>
        <v>2.6552710139163431E-10</v>
      </c>
      <c r="GO103" s="21">
        <f t="shared" si="81"/>
        <v>3.3905155037578258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312.53389584272878</v>
      </c>
      <c r="T104" s="59">
        <f t="shared" si="88"/>
        <v>203.5274665601915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1.7912826021125616</v>
      </c>
      <c r="AA104" s="21">
        <f>EXP(-LN(2)/25)*AA103+(1-EXP(-LN(2)/25))/(LN(2)/25)*Calculateur!V104*Calculateur!X104*VLOOKUP('Données projet'!$B$9,Paramètres!$A$1:$I$89,3,0)*0.475*44/12</f>
        <v>1.3078915931649433</v>
      </c>
      <c r="AB104" s="21">
        <f>EXP(-LN(2)/2)*AB103+(1-EXP(-LN(2)/2))/(LN(2)/2)*V104*Y104*VLOOKUP('Données projet'!$B$9,Paramètres!$A$1:$I$89,3,0)*0.475*44/12</f>
        <v>1.7564272275813366E-10</v>
      </c>
      <c r="AC104" s="22">
        <f t="shared" si="57"/>
        <v>3.0991741954531475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5.6843418860808015E-14</v>
      </c>
      <c r="AJ104" s="13">
        <f>AI104*VLOOKUP('Données projet'!$B$10,Paramètres!$A$1:$I$89,3,0)*VLOOKUP('Données projet'!$B$10,Paramètres!$A$1:$I$89,5,0)</f>
        <v>4.9658410716801891E-14</v>
      </c>
      <c r="AK104" s="13">
        <f t="shared" si="89"/>
        <v>8.0934058173791862E-13</v>
      </c>
      <c r="AL104" s="20">
        <f t="shared" si="58"/>
        <v>1.4960899118586383E-12</v>
      </c>
      <c r="AM104" s="59">
        <f t="shared" si="59"/>
        <v>293.33333333333479</v>
      </c>
      <c r="AN104" s="59">
        <f ca="1">AVERAGE(OFFSET($AM$3,0,0,'Données projet'!$E$10+1,1))-AVERAGE(OFFSET($H$3,0,0,'Données projet'!$E$10+1,1))</f>
        <v>243.05628303465238</v>
      </c>
      <c r="AO104" s="59">
        <f t="shared" si="90"/>
        <v>352.47096767658394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1.9350061623997679</v>
      </c>
      <c r="AV104" s="21">
        <f>EXP(-LN(2)/25)*AV103+(1-EXP(-LN(2)/25))/(LN(2)/25)*Calculateur!AQ104*Calculateur!AS104*VLOOKUP('Données projet'!$B$10,Paramètres!$A$1:$I$89,3,0)*0.475*44/12</f>
        <v>2.5303867717181823</v>
      </c>
      <c r="AW104" s="21">
        <f>EXP(-LN(2)/2)*AW103+(1-EXP(-LN(2)/2))/(LN(2)/2)*AQ104*AT104*VLOOKUP('Données projet'!$B$10,Paramètres!$A$1:$I$89,3,0)*0.475*44/12</f>
        <v>2.3199634386702147E-10</v>
      </c>
      <c r="AX104" s="21">
        <f t="shared" si="60"/>
        <v>4.4653929343499472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-2.8421709430404007E-13</v>
      </c>
      <c r="BE104" s="13">
        <f>BD104*VLOOKUP('Données projet'!$B$11,Paramètres!$A$1:$I$89,3,0)*VLOOKUP('Données projet'!$B$11,Paramètres!$A$1:$I$89,5,0)</f>
        <v>-2.2612312022829427E-13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325.72928944930294</v>
      </c>
      <c r="BJ104" s="59">
        <f t="shared" si="92"/>
        <v>318.38876834819752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4.2437215159107442</v>
      </c>
      <c r="BQ104" s="21">
        <f>EXP(-LN(2)/25)*BQ103+(1-EXP(-LN(2)/25))/(LN(2)/25)*Calculateur!BL104*Calculateur!BN104*VLOOKUP('Données projet'!$B$11,Paramètres!$A$1:$I$89,3,0)*0.475*44/12</f>
        <v>2.8881706135941081</v>
      </c>
      <c r="BR104" s="21">
        <f>EXP(-LN(2)/2)*BR103+(1-EXP(-LN(2)/2))/(LN(2)/2)*BL104*BO104*VLOOKUP('Données projet'!$B$11,Paramètres!$A$1:$I$89,3,0)*0.475*44/12</f>
        <v>2.4344993181136612E-10</v>
      </c>
      <c r="BS104" s="22">
        <f t="shared" si="63"/>
        <v>7.1318921297483016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-3.4106051316484809E-13</v>
      </c>
      <c r="BZ104" s="13">
        <f>BY104*VLOOKUP('Données projet'!$B$12,Paramètres!$A$1:$I$89,3,0)*VLOOKUP('Données projet'!$B$12,Paramètres!$A$1:$I$89,5,0)</f>
        <v>-1.9065282685915009E-13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475.54809021014017</v>
      </c>
      <c r="CE104" s="59">
        <f t="shared" si="94"/>
        <v>593.51433014569966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1.7993452865760144</v>
      </c>
      <c r="CL104" s="21">
        <f>EXP(-LN(2)/25)*CL103+(1-EXP(-LN(2)/25))/(LN(2)/25)*Calculateur!CG104*Calculateur!CI104*VLOOKUP('Données projet'!$B$12,Paramètres!$A$1:$I$89,3,0)*0.475*44/12</f>
        <v>5.9512611669600952</v>
      </c>
      <c r="CM104" s="21">
        <f>EXP(-LN(2)/2)*CM103+(1-EXP(-LN(2)/2))/(LN(2)/2)*CG104*CJ104*VLOOKUP('Données projet'!$B$12,Paramètres!$A$1:$I$89,3,0)*0.475*44/12</f>
        <v>2.9671459069671177E-10</v>
      </c>
      <c r="CN104" s="22">
        <f t="shared" si="66"/>
        <v>7.7506064538328241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-1.1368683772161603E-13</v>
      </c>
      <c r="CU104" s="17">
        <f>CT104*VLOOKUP('Données projet'!$B$13,Paramètres!$A$1:$I$89,3,0)*VLOOKUP('Données projet'!$B$13,Paramètres!$A$1:$I$89,5,0)</f>
        <v>-5.3205440053716299E-14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226.0452828290525</v>
      </c>
      <c r="CZ104" s="59">
        <f t="shared" si="96"/>
        <v>179.89696397462069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2.2245472583490948</v>
      </c>
      <c r="DG104" s="21">
        <f>EXP(-LN(2)/25)*DG103+(1-EXP(-LN(2)/25))/(LN(2)/25)*Calculateur!DB104*Calculateur!DD104*VLOOKUP('Données projet'!$B$13,Paramètres!$A$1:$I$89,3,0)*0.475*44/12</f>
        <v>1.5574033313290485</v>
      </c>
      <c r="DH104" s="21">
        <f>EXP(-LN(2)/2)*DH103+(1-EXP(-LN(2)/2))/(LN(2)/2)*DB104*DE104*VLOOKUP('Données projet'!$B$13,Paramètres!$A$1:$I$89,3,0)*0.475*44/12</f>
        <v>2.272622412246372E-10</v>
      </c>
      <c r="DI104" s="22">
        <f t="shared" si="69"/>
        <v>3.7819505899054056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1.1368683772161603E-13</v>
      </c>
      <c r="DP104" s="17">
        <f>DO104*VLOOKUP('Données projet'!$B$14,Paramètres!$A$1:$I$89,3,0)*VLOOKUP('Données projet'!$B$14,Paramètres!$A$1:$I$89,5,0)</f>
        <v>6.7984728957526396E-14</v>
      </c>
      <c r="DQ104" s="13">
        <f t="shared" si="97"/>
        <v>1.0682447123141398E-12</v>
      </c>
      <c r="DR104" s="20">
        <f t="shared" si="70"/>
        <v>1.978932943548152E-12</v>
      </c>
      <c r="DS104" s="59">
        <f t="shared" si="71"/>
        <v>293.3333333333353</v>
      </c>
      <c r="DT104" s="59">
        <f ca="1">AVERAGE(OFFSET($DS$3,0,0,'Données projet'!$E$14+1,1))-AVERAGE(OFFSET($H$3,0,0,'Données projet'!$E$14+1,1))</f>
        <v>252.81045065813976</v>
      </c>
      <c r="DU104" s="59">
        <f t="shared" si="98"/>
        <v>254.36590349790589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4.42510996441891</v>
      </c>
      <c r="EB104" s="21">
        <f>EXP(-LN(2)/25)*EB103+(1-EXP(-LN(2)/25))/(LN(2)/25)*Calculateur!DW104*Calculateur!DY104*VLOOKUP('Données projet'!$B$14,Paramètres!$A$1:$I$89,3,0)*0.475*44/12</f>
        <v>2.2521739423148359</v>
      </c>
      <c r="EC104" s="21">
        <f>EXP(-LN(2)/2)*EC103+(1-EXP(-LN(2)/2))/(LN(2)/2)*DW104*DZ104*VLOOKUP('Données projet'!$B$14,Paramètres!$A$1:$I$89,3,0)*0.475*44/12</f>
        <v>1.1815489666908374E-10</v>
      </c>
      <c r="ED104" s="22">
        <f t="shared" si="72"/>
        <v>6.6772839068519012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-2.8421709430404007E-13</v>
      </c>
      <c r="EK104" s="17">
        <f>EJ104*VLOOKUP('Données projet'!$B$15,Paramètres!$A$1:$I$89,3,0)*VLOOKUP('Données projet'!$B$15,Paramètres!$A$1:$I$89,5,0)</f>
        <v>-2.0838797354372215E-13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296.91321813251051</v>
      </c>
      <c r="EP104" s="59">
        <f t="shared" si="100"/>
        <v>291.0718079639509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3.1729786103054454</v>
      </c>
      <c r="EW104" s="21">
        <f>EXP(-LN(2)/25)*EW103+(1-EXP(-LN(2)/25))/(LN(2)/25)*Calculateur!ER104*Calculateur!ET104*VLOOKUP('Données projet'!$B$15,Paramètres!$A$1:$I$89,3,0)*0.475*44/12</f>
        <v>2.1594498002492384</v>
      </c>
      <c r="EX104" s="21">
        <f>EXP(-LN(2)/2)*EX103+(1-EXP(-LN(2)/2))/(LN(2)/2)*ER104*EU104*VLOOKUP('Données projet'!$B$15,Paramètres!$A$1:$I$89,3,0)*0.475*44/12</f>
        <v>2.24355819512436E-10</v>
      </c>
      <c r="EY104" s="22">
        <f t="shared" si="75"/>
        <v>5.3324284107790394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>
        <f>FE104*VLOOKUP('Données projet'!$B$16,Paramètres!$A$1:$I$89,3,0)*VLOOKUP('Données projet'!$B$16,Paramètres!$A$1:$I$89,5,0)</f>
        <v>0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356.65981389369125</v>
      </c>
      <c r="FK104" s="59">
        <f t="shared" si="102"/>
        <v>231.92898690465887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2.0074718816778732</v>
      </c>
      <c r="FR104" s="21">
        <f>EXP(-LN(2)/25)*FR103+(1-EXP(-LN(2)/25))/(LN(2)/25)*Calculateur!FM104*Calculateur!FO104*VLOOKUP('Données projet'!$B$16,Paramètres!$A$1:$I$89,3,0)*0.475*44/12</f>
        <v>1.4657405785469213</v>
      </c>
      <c r="FS104" s="21">
        <f>EXP(-LN(2)/2)*FS103+(1-EXP(-LN(2)/2))/(LN(2)/2)*FM104*FP104*VLOOKUP('Données projet'!$B$16,Paramètres!$A$1:$I$89,3,0)*0.475*44/12</f>
        <v>1.9684098240135669E-10</v>
      </c>
      <c r="FT104" s="22">
        <f t="shared" si="78"/>
        <v>3.4732124604216352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>
        <f>FZ104*VLOOKUP('Données projet'!$B$17,Paramètres!$A$1:$I$89,3,0)*VLOOKUP('Données projet'!$B$17,Paramètres!$A$1:$I$89,5,0)</f>
        <v>0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337.76140497227715</v>
      </c>
      <c r="GF104" s="59">
        <f t="shared" si="104"/>
        <v>219.76562717496353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1.9148193332927395</v>
      </c>
      <c r="GM104" s="21">
        <f>EXP(-LN(2)/25)*GM103+(1-EXP(-LN(2)/25))/(LN(2)/25)*Calculateur!GH104*Calculateur!GJ104*VLOOKUP('Données projet'!$B$17,Paramètres!$A$1:$I$89,3,0)*0.475*44/12</f>
        <v>1.3980910133832167</v>
      </c>
      <c r="GN104" s="21">
        <f>EXP(-LN(2)/2)*GN103+(1-EXP(-LN(2)/2))/(LN(2)/2)*GH104*GK104*VLOOKUP('Données projet'!$B$17,Paramètres!$A$1:$I$89,3,0)*0.475*44/12</f>
        <v>1.8775601398283258E-10</v>
      </c>
      <c r="GO104" s="21">
        <f t="shared" si="81"/>
        <v>3.312910346863712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312.53389584272878</v>
      </c>
      <c r="T105" s="59">
        <f t="shared" si="88"/>
        <v>203.5274665601915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1.7561566428596389</v>
      </c>
      <c r="AA105" s="21">
        <f>EXP(-LN(2)/25)*AA104+(1-EXP(-LN(2)/25))/(LN(2)/25)*Calculateur!V105*Calculateur!X105*VLOOKUP('Données projet'!$B$9,Paramètres!$A$1:$I$89,3,0)*0.475*44/12</f>
        <v>1.2721272287708183</v>
      </c>
      <c r="AB105" s="21">
        <f>EXP(-LN(2)/2)*AB104+(1-EXP(-LN(2)/2))/(LN(2)/2)*V105*Y105*VLOOKUP('Données projet'!$B$9,Paramètres!$A$1:$I$89,3,0)*0.475*44/12</f>
        <v>1.2419816032834505E-10</v>
      </c>
      <c r="AC105" s="22">
        <f t="shared" si="57"/>
        <v>3.0282838717546552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5.6843418860808015E-14</v>
      </c>
      <c r="AJ105" s="13">
        <f>AI105*VLOOKUP('Données projet'!$B$10,Paramètres!$A$1:$I$89,3,0)*VLOOKUP('Données projet'!$B$10,Paramètres!$A$1:$I$89,5,0)</f>
        <v>4.9658410716801891E-14</v>
      </c>
      <c r="AK105" s="13">
        <f t="shared" si="89"/>
        <v>8.0934058173791862E-13</v>
      </c>
      <c r="AL105" s="20">
        <f t="shared" si="58"/>
        <v>1.4960899118586383E-12</v>
      </c>
      <c r="AM105" s="59">
        <f t="shared" si="59"/>
        <v>293.33333333333479</v>
      </c>
      <c r="AN105" s="59">
        <f ca="1">AVERAGE(OFFSET($AM$3,0,0,'Données projet'!$E$10+1,1))-AVERAGE(OFFSET($H$3,0,0,'Données projet'!$E$10+1,1))</f>
        <v>243.05628303465238</v>
      </c>
      <c r="AO105" s="59">
        <f t="shared" si="90"/>
        <v>352.47096767658394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1.8970618717923287</v>
      </c>
      <c r="AV105" s="21">
        <f>EXP(-LN(2)/25)*AV104+(1-EXP(-LN(2)/25))/(LN(2)/25)*Calculateur!AQ105*Calculateur!AS105*VLOOKUP('Données projet'!$B$10,Paramètres!$A$1:$I$89,3,0)*0.475*44/12</f>
        <v>2.4611932123782916</v>
      </c>
      <c r="AW105" s="21">
        <f>EXP(-LN(2)/2)*AW104+(1-EXP(-LN(2)/2))/(LN(2)/2)*AQ105*AT105*VLOOKUP('Données projet'!$B$10,Paramètres!$A$1:$I$89,3,0)*0.475*44/12</f>
        <v>1.6404618795885701E-10</v>
      </c>
      <c r="AX105" s="21">
        <f t="shared" si="60"/>
        <v>4.358255084334667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-2.8421709430404007E-13</v>
      </c>
      <c r="BE105" s="13">
        <f>BD105*VLOOKUP('Données projet'!$B$11,Paramètres!$A$1:$I$89,3,0)*VLOOKUP('Données projet'!$B$11,Paramètres!$A$1:$I$89,5,0)</f>
        <v>-2.2612312022829427E-13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325.72928944930294</v>
      </c>
      <c r="BJ105" s="59">
        <f t="shared" si="92"/>
        <v>318.38876834819752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4.1605047253982743</v>
      </c>
      <c r="BQ105" s="21">
        <f>EXP(-LN(2)/25)*BQ104+(1-EXP(-LN(2)/25))/(LN(2)/25)*Calculateur!BL105*Calculateur!BN105*VLOOKUP('Données projet'!$B$11,Paramètres!$A$1:$I$89,3,0)*0.475*44/12</f>
        <v>2.8091934362830857</v>
      </c>
      <c r="BR105" s="21">
        <f>EXP(-LN(2)/2)*BR104+(1-EXP(-LN(2)/2))/(LN(2)/2)*BL105*BO105*VLOOKUP('Données projet'!$B$11,Paramètres!$A$1:$I$89,3,0)*0.475*44/12</f>
        <v>1.7214509766321959E-10</v>
      </c>
      <c r="BS105" s="22">
        <f t="shared" si="63"/>
        <v>6.969698161853505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-3.4106051316484809E-13</v>
      </c>
      <c r="BZ105" s="13">
        <f>BY105*VLOOKUP('Données projet'!$B$12,Paramètres!$A$1:$I$89,3,0)*VLOOKUP('Données projet'!$B$12,Paramètres!$A$1:$I$89,5,0)</f>
        <v>-1.9065282685915009E-13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475.54809021014017</v>
      </c>
      <c r="CE105" s="59">
        <f t="shared" si="94"/>
        <v>593.51433014569966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1.7640612229985153</v>
      </c>
      <c r="CL105" s="21">
        <f>EXP(-LN(2)/25)*CL104+(1-EXP(-LN(2)/25))/(LN(2)/25)*Calculateur!CG105*Calculateur!CI105*VLOOKUP('Données projet'!$B$12,Paramètres!$A$1:$I$89,3,0)*0.475*44/12</f>
        <v>5.7885236173863488</v>
      </c>
      <c r="CM105" s="21">
        <f>EXP(-LN(2)/2)*CM104+(1-EXP(-LN(2)/2))/(LN(2)/2)*CG105*CJ105*VLOOKUP('Données projet'!$B$12,Paramètres!$A$1:$I$89,3,0)*0.475*44/12</f>
        <v>2.0980889915863578E-10</v>
      </c>
      <c r="CN105" s="22">
        <f t="shared" si="66"/>
        <v>7.5525848405946734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-1.1368683772161603E-13</v>
      </c>
      <c r="CU105" s="17">
        <f>CT105*VLOOKUP('Données projet'!$B$13,Paramètres!$A$1:$I$89,3,0)*VLOOKUP('Données projet'!$B$13,Paramètres!$A$1:$I$89,5,0)</f>
        <v>-5.3205440053716299E-14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226.0452828290525</v>
      </c>
      <c r="CZ105" s="59">
        <f t="shared" si="96"/>
        <v>179.89696397462069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2.18092524345272</v>
      </c>
      <c r="DG105" s="21">
        <f>EXP(-LN(2)/25)*DG104+(1-EXP(-LN(2)/25))/(LN(2)/25)*Calculateur!DB105*Calculateur!DD105*VLOOKUP('Données projet'!$B$13,Paramètres!$A$1:$I$89,3,0)*0.475*44/12</f>
        <v>1.5148160553335739</v>
      </c>
      <c r="DH105" s="21">
        <f>EXP(-LN(2)/2)*DH104+(1-EXP(-LN(2)/2))/(LN(2)/2)*DB105*DE105*VLOOKUP('Données projet'!$B$13,Paramètres!$A$1:$I$89,3,0)*0.475*44/12</f>
        <v>1.6069867187759392E-10</v>
      </c>
      <c r="DI105" s="22">
        <f t="shared" si="69"/>
        <v>3.6957412989469924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1.1368683772161603E-13</v>
      </c>
      <c r="DP105" s="17">
        <f>DO105*VLOOKUP('Données projet'!$B$14,Paramètres!$A$1:$I$89,3,0)*VLOOKUP('Données projet'!$B$14,Paramètres!$A$1:$I$89,5,0)</f>
        <v>6.7984728957526396E-14</v>
      </c>
      <c r="DQ105" s="13">
        <f t="shared" si="97"/>
        <v>1.0682447123141398E-12</v>
      </c>
      <c r="DR105" s="20">
        <f t="shared" si="70"/>
        <v>1.978932943548152E-12</v>
      </c>
      <c r="DS105" s="59">
        <f t="shared" si="71"/>
        <v>293.3333333333353</v>
      </c>
      <c r="DT105" s="59">
        <f ca="1">AVERAGE(OFFSET($DS$3,0,0,'Données projet'!$E$14+1,1))-AVERAGE(OFFSET($H$3,0,0,'Données projet'!$E$14+1,1))</f>
        <v>252.81045065813976</v>
      </c>
      <c r="DU105" s="59">
        <f t="shared" si="98"/>
        <v>254.36590349790589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4.3383362570672244</v>
      </c>
      <c r="EB105" s="21">
        <f>EXP(-LN(2)/25)*EB104+(1-EXP(-LN(2)/25))/(LN(2)/25)*Calculateur!DW105*Calculateur!DY105*VLOOKUP('Données projet'!$B$14,Paramètres!$A$1:$I$89,3,0)*0.475*44/12</f>
        <v>2.1905881274255563</v>
      </c>
      <c r="EC105" s="21">
        <f>EXP(-LN(2)/2)*EC104+(1-EXP(-LN(2)/2))/(LN(2)/2)*DW105*DZ105*VLOOKUP('Données projet'!$B$14,Paramètres!$A$1:$I$89,3,0)*0.475*44/12</f>
        <v>8.3548128665104928E-11</v>
      </c>
      <c r="ED105" s="22">
        <f t="shared" si="72"/>
        <v>6.528924384576329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-2.8421709430404007E-13</v>
      </c>
      <c r="EK105" s="17">
        <f>EJ105*VLOOKUP('Données projet'!$B$15,Paramètres!$A$1:$I$89,3,0)*VLOOKUP('Données projet'!$B$15,Paramètres!$A$1:$I$89,5,0)</f>
        <v>-2.0838797354372215E-13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296.91321813251051</v>
      </c>
      <c r="EP105" s="59">
        <f t="shared" si="100"/>
        <v>291.0718079639509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3.1107584350832105</v>
      </c>
      <c r="EW105" s="21">
        <f>EXP(-LN(2)/25)*EW104+(1-EXP(-LN(2)/25))/(LN(2)/25)*Calculateur!ER105*Calculateur!ET105*VLOOKUP('Données projet'!$B$15,Paramètres!$A$1:$I$89,3,0)*0.475*44/12</f>
        <v>2.1003995319008935</v>
      </c>
      <c r="EX105" s="21">
        <f>EXP(-LN(2)/2)*EX104+(1-EXP(-LN(2)/2))/(LN(2)/2)*ER105*EU105*VLOOKUP('Données projet'!$B$15,Paramètres!$A$1:$I$89,3,0)*0.475*44/12</f>
        <v>1.5864352137590863E-10</v>
      </c>
      <c r="EY105" s="22">
        <f t="shared" si="75"/>
        <v>5.2111579671427473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>
        <f>FE105*VLOOKUP('Données projet'!$B$16,Paramètres!$A$1:$I$89,3,0)*VLOOKUP('Données projet'!$B$16,Paramètres!$A$1:$I$89,5,0)</f>
        <v>0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356.65981389369125</v>
      </c>
      <c r="FK105" s="59">
        <f t="shared" si="102"/>
        <v>231.92898690465887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1.9681065825151147</v>
      </c>
      <c r="FR105" s="21">
        <f>EXP(-LN(2)/25)*FR104+(1-EXP(-LN(2)/25))/(LN(2)/25)*Calculateur!FM105*Calculateur!FO105*VLOOKUP('Données projet'!$B$16,Paramètres!$A$1:$I$89,3,0)*0.475*44/12</f>
        <v>1.4256598253466086</v>
      </c>
      <c r="FS105" s="21">
        <f>EXP(-LN(2)/2)*FS104+(1-EXP(-LN(2)/2))/(LN(2)/2)*FM105*FP105*VLOOKUP('Données projet'!$B$16,Paramètres!$A$1:$I$89,3,0)*0.475*44/12</f>
        <v>1.3918759347142118E-10</v>
      </c>
      <c r="FT105" s="22">
        <f t="shared" si="78"/>
        <v>3.3937664080009111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>
        <f>FZ105*VLOOKUP('Données projet'!$B$17,Paramètres!$A$1:$I$89,3,0)*VLOOKUP('Données projet'!$B$17,Paramètres!$A$1:$I$89,5,0)</f>
        <v>0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337.76140497227715</v>
      </c>
      <c r="GF105" s="59">
        <f t="shared" si="104"/>
        <v>219.76562717496353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1.8772708940913392</v>
      </c>
      <c r="GM105" s="21">
        <f>EXP(-LN(2)/25)*GM104+(1-EXP(-LN(2)/25))/(LN(2)/25)*Calculateur!GH105*Calculateur!GJ105*VLOOKUP('Données projet'!$B$17,Paramètres!$A$1:$I$89,3,0)*0.475*44/12</f>
        <v>1.3598601410998417</v>
      </c>
      <c r="GN105" s="21">
        <f>EXP(-LN(2)/2)*GN104+(1-EXP(-LN(2)/2))/(LN(2)/2)*GH105*GK105*VLOOKUP('Données projet'!$B$17,Paramètres!$A$1:$I$89,3,0)*0.475*44/12</f>
        <v>1.3276355069581715E-10</v>
      </c>
      <c r="GO105" s="21">
        <f t="shared" si="81"/>
        <v>3.2371310353239444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312.53389584272878</v>
      </c>
      <c r="T106" s="59">
        <f t="shared" si="88"/>
        <v>203.5274665601915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1.7217194822429462</v>
      </c>
      <c r="AA106" s="21">
        <f>EXP(-LN(2)/25)*AA105+(1-EXP(-LN(2)/25))/(LN(2)/25)*Calculateur!V106*Calculateur!X106*VLOOKUP('Données projet'!$B$9,Paramètres!$A$1:$I$89,3,0)*0.475*44/12</f>
        <v>1.2373408428018169</v>
      </c>
      <c r="AB106" s="21">
        <f>EXP(-LN(2)/2)*AB105+(1-EXP(-LN(2)/2))/(LN(2)/2)*V106*Y106*VLOOKUP('Données projet'!$B$9,Paramètres!$A$1:$I$89,3,0)*0.475*44/12</f>
        <v>8.7821361379066829E-11</v>
      </c>
      <c r="AC106" s="22">
        <f t="shared" si="57"/>
        <v>2.9590603251325844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5.6843418860808015E-14</v>
      </c>
      <c r="AJ106" s="13">
        <f>AI106*VLOOKUP('Données projet'!$B$10,Paramètres!$A$1:$I$89,3,0)*VLOOKUP('Données projet'!$B$10,Paramètres!$A$1:$I$89,5,0)</f>
        <v>4.9658410716801891E-14</v>
      </c>
      <c r="AK106" s="13">
        <f t="shared" si="89"/>
        <v>8.0934058173791862E-13</v>
      </c>
      <c r="AL106" s="20">
        <f t="shared" si="58"/>
        <v>1.4960899118586383E-12</v>
      </c>
      <c r="AM106" s="59">
        <f t="shared" si="59"/>
        <v>293.33333333333479</v>
      </c>
      <c r="AN106" s="59">
        <f ca="1">AVERAGE(OFFSET($AM$3,0,0,'Données projet'!$E$10+1,1))-AVERAGE(OFFSET($H$3,0,0,'Données projet'!$E$10+1,1))</f>
        <v>243.05628303465238</v>
      </c>
      <c r="AO106" s="59">
        <f t="shared" si="90"/>
        <v>352.47096767658394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1.8598616455799695</v>
      </c>
      <c r="AV106" s="21">
        <f>EXP(-LN(2)/25)*AV105+(1-EXP(-LN(2)/25))/(LN(2)/25)*Calculateur!AQ106*Calculateur!AS106*VLOOKUP('Données projet'!$B$10,Paramètres!$A$1:$I$89,3,0)*0.475*44/12</f>
        <v>2.3938917545572811</v>
      </c>
      <c r="AW106" s="21">
        <f>EXP(-LN(2)/2)*AW105+(1-EXP(-LN(2)/2))/(LN(2)/2)*AQ106*AT106*VLOOKUP('Données projet'!$B$10,Paramètres!$A$1:$I$89,3,0)*0.475*44/12</f>
        <v>1.1599817193351076E-10</v>
      </c>
      <c r="AX106" s="21">
        <f t="shared" si="60"/>
        <v>4.2537534002532489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-2.8421709430404007E-13</v>
      </c>
      <c r="BE106" s="13">
        <f>BD106*VLOOKUP('Données projet'!$B$11,Paramètres!$A$1:$I$89,3,0)*VLOOKUP('Données projet'!$B$11,Paramètres!$A$1:$I$89,5,0)</f>
        <v>-2.2612312022829427E-13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325.72928944930294</v>
      </c>
      <c r="BJ106" s="59">
        <f t="shared" si="92"/>
        <v>318.38876834819752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4.0789197653905234</v>
      </c>
      <c r="BQ106" s="21">
        <f>EXP(-LN(2)/25)*BQ105+(1-EXP(-LN(2)/25))/(LN(2)/25)*Calculateur!BL106*Calculateur!BN106*VLOOKUP('Données projet'!$B$11,Paramètres!$A$1:$I$89,3,0)*0.475*44/12</f>
        <v>2.7323758940388623</v>
      </c>
      <c r="BR106" s="21">
        <f>EXP(-LN(2)/2)*BR105+(1-EXP(-LN(2)/2))/(LN(2)/2)*BL106*BO106*VLOOKUP('Données projet'!$B$11,Paramètres!$A$1:$I$89,3,0)*0.475*44/12</f>
        <v>1.2172496590568306E-10</v>
      </c>
      <c r="BS106" s="22">
        <f t="shared" si="63"/>
        <v>6.81129565955111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-3.4106051316484809E-13</v>
      </c>
      <c r="BZ106" s="13">
        <f>BY106*VLOOKUP('Données projet'!$B$12,Paramètres!$A$1:$I$89,3,0)*VLOOKUP('Données projet'!$B$12,Paramètres!$A$1:$I$89,5,0)</f>
        <v>-1.9065282685915009E-13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475.54809021014017</v>
      </c>
      <c r="CE106" s="59">
        <f t="shared" si="94"/>
        <v>593.51433014569966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1.7294690583866172</v>
      </c>
      <c r="CL106" s="21">
        <f>EXP(-LN(2)/25)*CL105+(1-EXP(-LN(2)/25))/(LN(2)/25)*Calculateur!CG106*Calculateur!CI106*VLOOKUP('Données projet'!$B$12,Paramètres!$A$1:$I$89,3,0)*0.475*44/12</f>
        <v>5.6302361346636918</v>
      </c>
      <c r="CM106" s="21">
        <f>EXP(-LN(2)/2)*CM105+(1-EXP(-LN(2)/2))/(LN(2)/2)*CG106*CJ106*VLOOKUP('Données projet'!$B$12,Paramètres!$A$1:$I$89,3,0)*0.475*44/12</f>
        <v>1.4835729534835588E-10</v>
      </c>
      <c r="CN106" s="22">
        <f t="shared" si="66"/>
        <v>7.3597051931986659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-1.1368683772161603E-13</v>
      </c>
      <c r="CU106" s="17">
        <f>CT106*VLOOKUP('Données projet'!$B$13,Paramètres!$A$1:$I$89,3,0)*VLOOKUP('Données projet'!$B$13,Paramètres!$A$1:$I$89,5,0)</f>
        <v>-5.3205440053716299E-14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226.0452828290525</v>
      </c>
      <c r="CZ106" s="59">
        <f t="shared" si="96"/>
        <v>179.89696397462069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2.1381586296616613</v>
      </c>
      <c r="DG106" s="21">
        <f>EXP(-LN(2)/25)*DG105+(1-EXP(-LN(2)/25))/(LN(2)/25)*Calculateur!DB106*Calculateur!DD106*VLOOKUP('Données projet'!$B$13,Paramètres!$A$1:$I$89,3,0)*0.475*44/12</f>
        <v>1.4733933306397631</v>
      </c>
      <c r="DH106" s="21">
        <f>EXP(-LN(2)/2)*DH105+(1-EXP(-LN(2)/2))/(LN(2)/2)*DB106*DE106*VLOOKUP('Données projet'!$B$13,Paramètres!$A$1:$I$89,3,0)*0.475*44/12</f>
        <v>1.1363112061231861E-10</v>
      </c>
      <c r="DI106" s="22">
        <f t="shared" si="69"/>
        <v>3.6115519604150559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1.1368683772161603E-13</v>
      </c>
      <c r="DP106" s="17">
        <f>DO106*VLOOKUP('Données projet'!$B$14,Paramètres!$A$1:$I$89,3,0)*VLOOKUP('Données projet'!$B$14,Paramètres!$A$1:$I$89,5,0)</f>
        <v>6.7984728957526396E-14</v>
      </c>
      <c r="DQ106" s="13">
        <f t="shared" si="97"/>
        <v>1.0682447123141398E-12</v>
      </c>
      <c r="DR106" s="20">
        <f t="shared" si="70"/>
        <v>1.978932943548152E-12</v>
      </c>
      <c r="DS106" s="59">
        <f t="shared" si="71"/>
        <v>293.3333333333353</v>
      </c>
      <c r="DT106" s="59">
        <f ca="1">AVERAGE(OFFSET($DS$3,0,0,'Données projet'!$E$14+1,1))-AVERAGE(OFFSET($H$3,0,0,'Données projet'!$E$14+1,1))</f>
        <v>252.81045065813976</v>
      </c>
      <c r="DU106" s="59">
        <f t="shared" si="98"/>
        <v>254.36590349790589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4.2532641291899695</v>
      </c>
      <c r="EB106" s="21">
        <f>EXP(-LN(2)/25)*EB105+(1-EXP(-LN(2)/25))/(LN(2)/25)*Calculateur!DW106*Calculateur!DY106*VLOOKUP('Données projet'!$B$14,Paramètres!$A$1:$I$89,3,0)*0.475*44/12</f>
        <v>2.1306863798830813</v>
      </c>
      <c r="EC106" s="21">
        <f>EXP(-LN(2)/2)*EC105+(1-EXP(-LN(2)/2))/(LN(2)/2)*DW106*DZ106*VLOOKUP('Données projet'!$B$14,Paramètres!$A$1:$I$89,3,0)*0.475*44/12</f>
        <v>5.9077448334541868E-11</v>
      </c>
      <c r="ED106" s="22">
        <f t="shared" si="72"/>
        <v>6.383950509132128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-2.8421709430404007E-13</v>
      </c>
      <c r="EK106" s="17">
        <f>EJ106*VLOOKUP('Données projet'!$B$15,Paramètres!$A$1:$I$89,3,0)*VLOOKUP('Données projet'!$B$15,Paramètres!$A$1:$I$89,5,0)</f>
        <v>-2.0838797354372215E-13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296.91321813251051</v>
      </c>
      <c r="EP106" s="59">
        <f t="shared" si="100"/>
        <v>291.0718079639509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3.0497583595465239</v>
      </c>
      <c r="EW106" s="21">
        <f>EXP(-LN(2)/25)*EW105+(1-EXP(-LN(2)/25))/(LN(2)/25)*Calculateur!ER106*Calculateur!ET106*VLOOKUP('Données projet'!$B$15,Paramètres!$A$1:$I$89,3,0)*0.475*44/12</f>
        <v>2.0429639962458528</v>
      </c>
      <c r="EX106" s="21">
        <f>EXP(-LN(2)/2)*EX105+(1-EXP(-LN(2)/2))/(LN(2)/2)*ER106*EU106*VLOOKUP('Données projet'!$B$15,Paramètres!$A$1:$I$89,3,0)*0.475*44/12</f>
        <v>1.12177909756218E-10</v>
      </c>
      <c r="EY106" s="22">
        <f t="shared" si="75"/>
        <v>5.0927223559045549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>
        <f>FE106*VLOOKUP('Données projet'!$B$16,Paramètres!$A$1:$I$89,3,0)*VLOOKUP('Données projet'!$B$16,Paramètres!$A$1:$I$89,5,0)</f>
        <v>0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356.65981389369125</v>
      </c>
      <c r="FK106" s="59">
        <f t="shared" si="102"/>
        <v>231.92898690465887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1.9295132128584764</v>
      </c>
      <c r="FR106" s="21">
        <f>EXP(-LN(2)/25)*FR105+(1-EXP(-LN(2)/25))/(LN(2)/25)*Calculateur!FM106*Calculateur!FO106*VLOOKUP('Données projet'!$B$16,Paramètres!$A$1:$I$89,3,0)*0.475*44/12</f>
        <v>1.3866750824503138</v>
      </c>
      <c r="FS106" s="21">
        <f>EXP(-LN(2)/2)*FS105+(1-EXP(-LN(2)/2))/(LN(2)/2)*FM106*FP106*VLOOKUP('Données projet'!$B$16,Paramètres!$A$1:$I$89,3,0)*0.475*44/12</f>
        <v>9.8420491200678347E-11</v>
      </c>
      <c r="FT106" s="22">
        <f t="shared" si="78"/>
        <v>3.3161882954072106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>
        <f>FZ106*VLOOKUP('Données projet'!$B$17,Paramètres!$A$1:$I$89,3,0)*VLOOKUP('Données projet'!$B$17,Paramètres!$A$1:$I$89,5,0)</f>
        <v>0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337.76140497227715</v>
      </c>
      <c r="GF106" s="59">
        <f t="shared" si="104"/>
        <v>219.76562717496353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1.8404587568803918</v>
      </c>
      <c r="GM106" s="21">
        <f>EXP(-LN(2)/25)*GM105+(1-EXP(-LN(2)/25))/(LN(2)/25)*Calculateur!GH106*Calculateur!GJ106*VLOOKUP('Données projet'!$B$17,Paramètres!$A$1:$I$89,3,0)*0.475*44/12</f>
        <v>1.3226746940295298</v>
      </c>
      <c r="GN106" s="21">
        <f>EXP(-LN(2)/2)*GN105+(1-EXP(-LN(2)/2))/(LN(2)/2)*GH106*GK106*VLOOKUP('Données projet'!$B$17,Paramètres!$A$1:$I$89,3,0)*0.475*44/12</f>
        <v>9.3878006991416291E-11</v>
      </c>
      <c r="GO106" s="21">
        <f t="shared" si="81"/>
        <v>3.1631334510037994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312.53389584272878</v>
      </c>
      <c r="T107" s="59">
        <f t="shared" si="88"/>
        <v>203.5274665601915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1.687957613341353</v>
      </c>
      <c r="AA107" s="21">
        <f>EXP(-LN(2)/25)*AA106+(1-EXP(-LN(2)/25))/(LN(2)/25)*Calculateur!V107*Calculateur!X107*VLOOKUP('Données projet'!$B$9,Paramètres!$A$1:$I$89,3,0)*0.475*44/12</f>
        <v>1.2035056923864742</v>
      </c>
      <c r="AB107" s="21">
        <f>EXP(-LN(2)/2)*AB106+(1-EXP(-LN(2)/2))/(LN(2)/2)*V107*Y107*VLOOKUP('Données projet'!$B$9,Paramètres!$A$1:$I$89,3,0)*0.475*44/12</f>
        <v>6.2099080164172523E-11</v>
      </c>
      <c r="AC107" s="22">
        <f t="shared" si="57"/>
        <v>2.8914633057899262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5.6843418860808015E-14</v>
      </c>
      <c r="AJ107" s="13">
        <f>AI107*VLOOKUP('Données projet'!$B$10,Paramètres!$A$1:$I$89,3,0)*VLOOKUP('Données projet'!$B$10,Paramètres!$A$1:$I$89,5,0)</f>
        <v>4.9658410716801891E-14</v>
      </c>
      <c r="AK107" s="13">
        <f t="shared" si="89"/>
        <v>8.0934058173791862E-13</v>
      </c>
      <c r="AL107" s="20">
        <f t="shared" si="58"/>
        <v>1.4960899118586383E-12</v>
      </c>
      <c r="AM107" s="59">
        <f t="shared" si="59"/>
        <v>293.33333333333479</v>
      </c>
      <c r="AN107" s="59">
        <f ca="1">AVERAGE(OFFSET($AM$3,0,0,'Données projet'!$E$10+1,1))-AVERAGE(OFFSET($H$3,0,0,'Données projet'!$E$10+1,1))</f>
        <v>243.05628303465238</v>
      </c>
      <c r="AO107" s="59">
        <f t="shared" si="90"/>
        <v>352.47096767658394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1.823390893113737</v>
      </c>
      <c r="AV107" s="21">
        <f>EXP(-LN(2)/25)*AV106+(1-EXP(-LN(2)/25))/(LN(2)/25)*Calculateur!AQ107*Calculateur!AS107*VLOOKUP('Données projet'!$B$10,Paramètres!$A$1:$I$89,3,0)*0.475*44/12</f>
        <v>2.3284306586396162</v>
      </c>
      <c r="AW107" s="21">
        <f>EXP(-LN(2)/2)*AW106+(1-EXP(-LN(2)/2))/(LN(2)/2)*AQ107*AT107*VLOOKUP('Données projet'!$B$10,Paramètres!$A$1:$I$89,3,0)*0.475*44/12</f>
        <v>8.2023093979428516E-11</v>
      </c>
      <c r="AX107" s="21">
        <f t="shared" si="60"/>
        <v>4.1518215518353765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-2.8421709430404007E-13</v>
      </c>
      <c r="BE107" s="13">
        <f>BD107*VLOOKUP('Données projet'!$B$11,Paramètres!$A$1:$I$89,3,0)*VLOOKUP('Données projet'!$B$11,Paramètres!$A$1:$I$89,5,0)</f>
        <v>-2.2612312022829427E-13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325.72928944930294</v>
      </c>
      <c r="BJ107" s="59">
        <f t="shared" si="92"/>
        <v>318.38876834819752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3.998934636686613</v>
      </c>
      <c r="BQ107" s="21">
        <f>EXP(-LN(2)/25)*BQ106+(1-EXP(-LN(2)/25))/(LN(2)/25)*Calculateur!BL107*Calculateur!BN107*VLOOKUP('Données projet'!$B$11,Paramètres!$A$1:$I$89,3,0)*0.475*44/12</f>
        <v>2.6576589315269663</v>
      </c>
      <c r="BR107" s="21">
        <f>EXP(-LN(2)/2)*BR106+(1-EXP(-LN(2)/2))/(LN(2)/2)*BL107*BO107*VLOOKUP('Données projet'!$B$11,Paramètres!$A$1:$I$89,3,0)*0.475*44/12</f>
        <v>8.6072548831609794E-11</v>
      </c>
      <c r="BS107" s="22">
        <f t="shared" si="63"/>
        <v>6.6565935682996518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-3.4106051316484809E-13</v>
      </c>
      <c r="BZ107" s="13">
        <f>BY107*VLOOKUP('Données projet'!$B$12,Paramètres!$A$1:$I$89,3,0)*VLOOKUP('Données projet'!$B$12,Paramètres!$A$1:$I$89,5,0)</f>
        <v>-1.9065282685915009E-13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475.54809021014017</v>
      </c>
      <c r="CE107" s="59">
        <f t="shared" si="94"/>
        <v>593.51433014569966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1.6955552250236214</v>
      </c>
      <c r="CL107" s="21">
        <f>EXP(-LN(2)/25)*CL106+(1-EXP(-LN(2)/25))/(LN(2)/25)*Calculateur!CG107*Calculateur!CI107*VLOOKUP('Données projet'!$B$12,Paramètres!$A$1:$I$89,3,0)*0.475*44/12</f>
        <v>5.4762770314800626</v>
      </c>
      <c r="CM107" s="21">
        <f>EXP(-LN(2)/2)*CM106+(1-EXP(-LN(2)/2))/(LN(2)/2)*CG107*CJ107*VLOOKUP('Données projet'!$B$12,Paramètres!$A$1:$I$89,3,0)*0.475*44/12</f>
        <v>1.0490444957931789E-10</v>
      </c>
      <c r="CN107" s="22">
        <f t="shared" si="66"/>
        <v>7.1718322566085888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-1.1368683772161603E-13</v>
      </c>
      <c r="CU107" s="17">
        <f>CT107*VLOOKUP('Données projet'!$B$13,Paramètres!$A$1:$I$89,3,0)*VLOOKUP('Données projet'!$B$13,Paramètres!$A$1:$I$89,5,0)</f>
        <v>-5.3205440053716299E-14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226.0452828290525</v>
      </c>
      <c r="CZ107" s="59">
        <f t="shared" si="96"/>
        <v>179.89696397462069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2.0962306430819861</v>
      </c>
      <c r="DG107" s="21">
        <f>EXP(-LN(2)/25)*DG106+(1-EXP(-LN(2)/25))/(LN(2)/25)*Calculateur!DB107*Calculateur!DD107*VLOOKUP('Données projet'!$B$13,Paramètres!$A$1:$I$89,3,0)*0.475*44/12</f>
        <v>1.4331033125310311</v>
      </c>
      <c r="DH107" s="21">
        <f>EXP(-LN(2)/2)*DH106+(1-EXP(-LN(2)/2))/(LN(2)/2)*DB107*DE107*VLOOKUP('Données projet'!$B$13,Paramètres!$A$1:$I$89,3,0)*0.475*44/12</f>
        <v>8.0349335938796975E-11</v>
      </c>
      <c r="DI107" s="22">
        <f t="shared" si="69"/>
        <v>3.5293339556933669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1.1368683772161603E-13</v>
      </c>
      <c r="DP107" s="17">
        <f>DO107*VLOOKUP('Données projet'!$B$14,Paramètres!$A$1:$I$89,3,0)*VLOOKUP('Données projet'!$B$14,Paramètres!$A$1:$I$89,5,0)</f>
        <v>6.7984728957526396E-14</v>
      </c>
      <c r="DQ107" s="13">
        <f t="shared" si="97"/>
        <v>1.0682447123141398E-12</v>
      </c>
      <c r="DR107" s="20">
        <f t="shared" si="70"/>
        <v>1.978932943548152E-12</v>
      </c>
      <c r="DS107" s="59">
        <f t="shared" si="71"/>
        <v>293.3333333333353</v>
      </c>
      <c r="DT107" s="59">
        <f ca="1">AVERAGE(OFFSET($DS$3,0,0,'Données projet'!$E$14+1,1))-AVERAGE(OFFSET($H$3,0,0,'Données projet'!$E$14+1,1))</f>
        <v>252.81045065813976</v>
      </c>
      <c r="DU107" s="59">
        <f t="shared" si="98"/>
        <v>254.36590349790589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4.1698602138515133</v>
      </c>
      <c r="EB107" s="21">
        <f>EXP(-LN(2)/25)*EB106+(1-EXP(-LN(2)/25))/(LN(2)/25)*Calculateur!DW107*Calculateur!DY107*VLOOKUP('Données projet'!$B$14,Paramètres!$A$1:$I$89,3,0)*0.475*44/12</f>
        <v>2.0724226487772515</v>
      </c>
      <c r="EC107" s="21">
        <f>EXP(-LN(2)/2)*EC106+(1-EXP(-LN(2)/2))/(LN(2)/2)*DW107*DZ107*VLOOKUP('Données projet'!$B$14,Paramètres!$A$1:$I$89,3,0)*0.475*44/12</f>
        <v>4.1774064332552464E-11</v>
      </c>
      <c r="ED107" s="22">
        <f t="shared" si="72"/>
        <v>6.242282862670538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-2.8421709430404007E-13</v>
      </c>
      <c r="EK107" s="17">
        <f>EJ107*VLOOKUP('Données projet'!$B$15,Paramètres!$A$1:$I$89,3,0)*VLOOKUP('Données projet'!$B$15,Paramètres!$A$1:$I$89,5,0)</f>
        <v>-2.0838797354372215E-13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296.91321813251051</v>
      </c>
      <c r="EP107" s="59">
        <f t="shared" si="100"/>
        <v>291.0718079639509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2.9899544582847395</v>
      </c>
      <c r="EW107" s="21">
        <f>EXP(-LN(2)/25)*EW106+(1-EXP(-LN(2)/25))/(LN(2)/25)*Calculateur!ER107*Calculateur!ET107*VLOOKUP('Données projet'!$B$15,Paramètres!$A$1:$I$89,3,0)*0.475*44/12</f>
        <v>1.9870990383337026</v>
      </c>
      <c r="EX107" s="21">
        <f>EXP(-LN(2)/2)*EX106+(1-EXP(-LN(2)/2))/(LN(2)/2)*ER107*EU107*VLOOKUP('Données projet'!$B$15,Paramètres!$A$1:$I$89,3,0)*0.475*44/12</f>
        <v>7.9321760687954314E-11</v>
      </c>
      <c r="EY107" s="22">
        <f t="shared" si="75"/>
        <v>4.9770534966977635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>
        <f>FE107*VLOOKUP('Données projet'!$B$16,Paramètres!$A$1:$I$89,3,0)*VLOOKUP('Données projet'!$B$16,Paramètres!$A$1:$I$89,5,0)</f>
        <v>0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356.65981389369125</v>
      </c>
      <c r="FK107" s="59">
        <f t="shared" si="102"/>
        <v>231.92898690465887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1.8916766356411736</v>
      </c>
      <c r="FR107" s="21">
        <f>EXP(-LN(2)/25)*FR106+(1-EXP(-LN(2)/25))/(LN(2)/25)*Calculateur!FM107*Calculateur!FO107*VLOOKUP('Données projet'!$B$16,Paramètres!$A$1:$I$89,3,0)*0.475*44/12</f>
        <v>1.3487563793986366</v>
      </c>
      <c r="FS107" s="21">
        <f>EXP(-LN(2)/2)*FS106+(1-EXP(-LN(2)/2))/(LN(2)/2)*FM107*FP107*VLOOKUP('Données projet'!$B$16,Paramètres!$A$1:$I$89,3,0)*0.475*44/12</f>
        <v>6.9593796735710589E-11</v>
      </c>
      <c r="FT107" s="22">
        <f t="shared" si="78"/>
        <v>3.2404330151094038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>
        <f>FZ107*VLOOKUP('Données projet'!$B$17,Paramètres!$A$1:$I$89,3,0)*VLOOKUP('Données projet'!$B$17,Paramètres!$A$1:$I$89,5,0)</f>
        <v>0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337.76140497227715</v>
      </c>
      <c r="GF107" s="59">
        <f t="shared" si="104"/>
        <v>219.76562717496353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1.8043684832269646</v>
      </c>
      <c r="GM107" s="21">
        <f>EXP(-LN(2)/25)*GM106+(1-EXP(-LN(2)/25))/(LN(2)/25)*Calculateur!GH107*Calculateur!GJ107*VLOOKUP('Données projet'!$B$17,Paramètres!$A$1:$I$89,3,0)*0.475*44/12</f>
        <v>1.2865060849648531</v>
      </c>
      <c r="GN107" s="21">
        <f>EXP(-LN(2)/2)*GN106+(1-EXP(-LN(2)/2))/(LN(2)/2)*GH107*GK107*VLOOKUP('Données projet'!$B$17,Paramètres!$A$1:$I$89,3,0)*0.475*44/12</f>
        <v>6.6381775347908577E-11</v>
      </c>
      <c r="GO107" s="21">
        <f t="shared" si="81"/>
        <v>3.0908745682581991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312.53389584272878</v>
      </c>
      <c r="T108" s="59">
        <f t="shared" si="88"/>
        <v>203.5274665601915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1.6548577940962133</v>
      </c>
      <c r="AA108" s="21">
        <f>EXP(-LN(2)/25)*AA107+(1-EXP(-LN(2)/25))/(LN(2)/25)*Calculateur!V108*Calculateur!X108*VLOOKUP('Données projet'!$B$9,Paramètres!$A$1:$I$89,3,0)*0.475*44/12</f>
        <v>1.1705957659385524</v>
      </c>
      <c r="AB108" s="21">
        <f>EXP(-LN(2)/2)*AB107+(1-EXP(-LN(2)/2))/(LN(2)/2)*V108*Y108*VLOOKUP('Données projet'!$B$9,Paramètres!$A$1:$I$89,3,0)*0.475*44/12</f>
        <v>4.3910680689533414E-11</v>
      </c>
      <c r="AC108" s="22">
        <f t="shared" si="57"/>
        <v>2.8254535600786763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5.6843418860808015E-14</v>
      </c>
      <c r="AJ108" s="13">
        <f>AI108*VLOOKUP('Données projet'!$B$10,Paramètres!$A$1:$I$89,3,0)*VLOOKUP('Données projet'!$B$10,Paramètres!$A$1:$I$89,5,0)</f>
        <v>4.9658410716801891E-14</v>
      </c>
      <c r="AK108" s="13">
        <f t="shared" si="89"/>
        <v>8.0934058173791862E-13</v>
      </c>
      <c r="AL108" s="20">
        <f t="shared" si="58"/>
        <v>1.4960899118586383E-12</v>
      </c>
      <c r="AM108" s="59">
        <f t="shared" si="59"/>
        <v>293.33333333333479</v>
      </c>
      <c r="AN108" s="59">
        <f ca="1">AVERAGE(OFFSET($AM$3,0,0,'Données projet'!$E$10+1,1))-AVERAGE(OFFSET($H$3,0,0,'Données projet'!$E$10+1,1))</f>
        <v>243.05628303465238</v>
      </c>
      <c r="AO108" s="59">
        <f t="shared" si="90"/>
        <v>352.47096767658394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1.7876353098584048</v>
      </c>
      <c r="AV108" s="21">
        <f>EXP(-LN(2)/25)*AV107+(1-EXP(-LN(2)/25))/(LN(2)/25)*Calculateur!AQ108*Calculateur!AS108*VLOOKUP('Données projet'!$B$10,Paramètres!$A$1:$I$89,3,0)*0.475*44/12</f>
        <v>2.2647595998322694</v>
      </c>
      <c r="AW108" s="21">
        <f>EXP(-LN(2)/2)*AW107+(1-EXP(-LN(2)/2))/(LN(2)/2)*AQ108*AT108*VLOOKUP('Données projet'!$B$10,Paramètres!$A$1:$I$89,3,0)*0.475*44/12</f>
        <v>5.7999085966755387E-11</v>
      </c>
      <c r="AX108" s="21">
        <f t="shared" si="60"/>
        <v>4.0523949097486733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-2.8421709430404007E-13</v>
      </c>
      <c r="BE108" s="13">
        <f>BD108*VLOOKUP('Données projet'!$B$11,Paramètres!$A$1:$I$89,3,0)*VLOOKUP('Données projet'!$B$11,Paramètres!$A$1:$I$89,5,0)</f>
        <v>-2.2612312022829427E-13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325.72928944930294</v>
      </c>
      <c r="BJ108" s="59">
        <f t="shared" si="92"/>
        <v>318.38876834819752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3.9205179675704747</v>
      </c>
      <c r="BQ108" s="21">
        <f>EXP(-LN(2)/25)*BQ107+(1-EXP(-LN(2)/25))/(LN(2)/25)*Calculateur!BL108*Calculateur!BN108*VLOOKUP('Données projet'!$B$11,Paramètres!$A$1:$I$89,3,0)*0.475*44/12</f>
        <v>2.5849851082841524</v>
      </c>
      <c r="BR108" s="21">
        <f>EXP(-LN(2)/2)*BR107+(1-EXP(-LN(2)/2))/(LN(2)/2)*BL108*BO108*VLOOKUP('Données projet'!$B$11,Paramètres!$A$1:$I$89,3,0)*0.475*44/12</f>
        <v>6.0862482952841531E-11</v>
      </c>
      <c r="BS108" s="22">
        <f t="shared" si="63"/>
        <v>6.505503075915489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-3.4106051316484809E-13</v>
      </c>
      <c r="BZ108" s="13">
        <f>BY108*VLOOKUP('Données projet'!$B$12,Paramètres!$A$1:$I$89,3,0)*VLOOKUP('Données projet'!$B$12,Paramètres!$A$1:$I$89,5,0)</f>
        <v>-1.9065282685915009E-13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475.54809021014017</v>
      </c>
      <c r="CE108" s="59">
        <f t="shared" si="94"/>
        <v>593.51433014569966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1.6623064212474781</v>
      </c>
      <c r="CL108" s="21">
        <f>EXP(-LN(2)/25)*CL107+(1-EXP(-LN(2)/25))/(LN(2)/25)*Calculateur!CG108*Calculateur!CI108*VLOOKUP('Données projet'!$B$12,Paramètres!$A$1:$I$89,3,0)*0.475*44/12</f>
        <v>5.326527948069347</v>
      </c>
      <c r="CM108" s="21">
        <f>EXP(-LN(2)/2)*CM107+(1-EXP(-LN(2)/2))/(LN(2)/2)*CG108*CJ108*VLOOKUP('Données projet'!$B$12,Paramètres!$A$1:$I$89,3,0)*0.475*44/12</f>
        <v>7.4178647674177942E-11</v>
      </c>
      <c r="CN108" s="22">
        <f t="shared" si="66"/>
        <v>6.9888343693910038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-1.1368683772161603E-13</v>
      </c>
      <c r="CU108" s="17">
        <f>CT108*VLOOKUP('Données projet'!$B$13,Paramètres!$A$1:$I$89,3,0)*VLOOKUP('Données projet'!$B$13,Paramètres!$A$1:$I$89,5,0)</f>
        <v>-5.3205440053716299E-14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226.0452828290525</v>
      </c>
      <c r="CZ108" s="59">
        <f t="shared" si="96"/>
        <v>179.89696397462069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2.0551248387455918</v>
      </c>
      <c r="DG108" s="21">
        <f>EXP(-LN(2)/25)*DG107+(1-EXP(-LN(2)/25))/(LN(2)/25)*Calculateur!DB108*Calculateur!DD108*VLOOKUP('Données projet'!$B$13,Paramètres!$A$1:$I$89,3,0)*0.475*44/12</f>
        <v>1.3939150270862422</v>
      </c>
      <c r="DH108" s="21">
        <f>EXP(-LN(2)/2)*DH107+(1-EXP(-LN(2)/2))/(LN(2)/2)*DB108*DE108*VLOOKUP('Données projet'!$B$13,Paramètres!$A$1:$I$89,3,0)*0.475*44/12</f>
        <v>5.6815560306159313E-11</v>
      </c>
      <c r="DI108" s="22">
        <f t="shared" si="69"/>
        <v>3.4490398658886492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1.1368683772161603E-13</v>
      </c>
      <c r="DP108" s="17">
        <f>DO108*VLOOKUP('Données projet'!$B$14,Paramètres!$A$1:$I$89,3,0)*VLOOKUP('Données projet'!$B$14,Paramètres!$A$1:$I$89,5,0)</f>
        <v>6.7984728957526396E-14</v>
      </c>
      <c r="DQ108" s="13">
        <f t="shared" si="97"/>
        <v>1.0682447123141398E-12</v>
      </c>
      <c r="DR108" s="20">
        <f t="shared" si="70"/>
        <v>1.978932943548152E-12</v>
      </c>
      <c r="DS108" s="59">
        <f t="shared" si="71"/>
        <v>293.3333333333353</v>
      </c>
      <c r="DT108" s="59">
        <f ca="1">AVERAGE(OFFSET($DS$3,0,0,'Données projet'!$E$14+1,1))-AVERAGE(OFFSET($H$3,0,0,'Données projet'!$E$14+1,1))</f>
        <v>252.81045065813976</v>
      </c>
      <c r="DU108" s="59">
        <f t="shared" si="98"/>
        <v>254.36590349790589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4.0880917984214795</v>
      </c>
      <c r="EB108" s="21">
        <f>EXP(-LN(2)/25)*EB107+(1-EXP(-LN(2)/25))/(LN(2)/25)*Calculateur!DW108*Calculateur!DY108*VLOOKUP('Données projet'!$B$14,Paramètres!$A$1:$I$89,3,0)*0.475*44/12</f>
        <v>2.0157521424624671</v>
      </c>
      <c r="EC108" s="21">
        <f>EXP(-LN(2)/2)*EC107+(1-EXP(-LN(2)/2))/(LN(2)/2)*DW108*DZ108*VLOOKUP('Données projet'!$B$14,Paramètres!$A$1:$I$89,3,0)*0.475*44/12</f>
        <v>2.9538724167270934E-11</v>
      </c>
      <c r="ED108" s="22">
        <f t="shared" si="72"/>
        <v>6.1038439409134853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-2.8421709430404007E-13</v>
      </c>
      <c r="EK108" s="17">
        <f>EJ108*VLOOKUP('Données projet'!$B$15,Paramètres!$A$1:$I$89,3,0)*VLOOKUP('Données projet'!$B$15,Paramètres!$A$1:$I$89,5,0)</f>
        <v>-2.0838797354372215E-13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296.91321813251051</v>
      </c>
      <c r="EP108" s="59">
        <f t="shared" si="100"/>
        <v>291.0718079639509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2.9313232750499205</v>
      </c>
      <c r="EW108" s="21">
        <f>EXP(-LN(2)/25)*EW107+(1-EXP(-LN(2)/25))/(LN(2)/25)*Calculateur!ER108*Calculateur!ET108*VLOOKUP('Données projet'!$B$15,Paramètres!$A$1:$I$89,3,0)*0.475*44/12</f>
        <v>1.9327617106334707</v>
      </c>
      <c r="EX108" s="21">
        <f>EXP(-LN(2)/2)*EX107+(1-EXP(-LN(2)/2))/(LN(2)/2)*ER108*EU108*VLOOKUP('Données projet'!$B$15,Paramètres!$A$1:$I$89,3,0)*0.475*44/12</f>
        <v>5.6088954878108999E-11</v>
      </c>
      <c r="EY108" s="22">
        <f t="shared" si="75"/>
        <v>4.8640849857394803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>
        <f>FE108*VLOOKUP('Données projet'!$B$16,Paramètres!$A$1:$I$89,3,0)*VLOOKUP('Données projet'!$B$16,Paramètres!$A$1:$I$89,5,0)</f>
        <v>0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356.65981389369125</v>
      </c>
      <c r="FK108" s="59">
        <f t="shared" si="102"/>
        <v>231.92898690465887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1.8545820106250688</v>
      </c>
      <c r="FR108" s="21">
        <f>EXP(-LN(2)/25)*FR107+(1-EXP(-LN(2)/25))/(LN(2)/25)*Calculateur!FM108*Calculateur!FO108*VLOOKUP('Données projet'!$B$16,Paramètres!$A$1:$I$89,3,0)*0.475*44/12</f>
        <v>1.3118745652759656</v>
      </c>
      <c r="FS108" s="21">
        <f>EXP(-LN(2)/2)*FS107+(1-EXP(-LN(2)/2))/(LN(2)/2)*FM108*FP108*VLOOKUP('Données projet'!$B$16,Paramètres!$A$1:$I$89,3,0)*0.475*44/12</f>
        <v>4.9210245600339173E-11</v>
      </c>
      <c r="FT108" s="22">
        <f t="shared" si="78"/>
        <v>3.166456575950245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>
        <f>FZ108*VLOOKUP('Données projet'!$B$17,Paramètres!$A$1:$I$89,3,0)*VLOOKUP('Données projet'!$B$17,Paramètres!$A$1:$I$89,5,0)</f>
        <v>0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337.76140497227715</v>
      </c>
      <c r="GF108" s="59">
        <f t="shared" si="104"/>
        <v>219.76562717496353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1.7689859178269878</v>
      </c>
      <c r="GM108" s="21">
        <f>EXP(-LN(2)/25)*GM107+(1-EXP(-LN(2)/25))/(LN(2)/25)*Calculateur!GH108*Calculateur!GJ108*VLOOKUP('Données projet'!$B$17,Paramètres!$A$1:$I$89,3,0)*0.475*44/12</f>
        <v>1.2513265084170746</v>
      </c>
      <c r="GN108" s="21">
        <f>EXP(-LN(2)/2)*GN107+(1-EXP(-LN(2)/2))/(LN(2)/2)*GH108*GK108*VLOOKUP('Données projet'!$B$17,Paramètres!$A$1:$I$89,3,0)*0.475*44/12</f>
        <v>4.6939003495708146E-11</v>
      </c>
      <c r="GO108" s="21">
        <f t="shared" si="81"/>
        <v>3.0203124262910013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312.53389584272878</v>
      </c>
      <c r="T109" s="59">
        <f t="shared" si="88"/>
        <v>203.5274665601915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1.6224070421175745</v>
      </c>
      <c r="AA109" s="21">
        <f>EXP(-LN(2)/25)*AA108+(1-EXP(-LN(2)/25))/(LN(2)/25)*Calculateur!V109*Calculateur!X109*VLOOKUP('Données projet'!$B$9,Paramètres!$A$1:$I$89,3,0)*0.475*44/12</f>
        <v>1.1385857631600067</v>
      </c>
      <c r="AB109" s="21">
        <f>EXP(-LN(2)/2)*AB108+(1-EXP(-LN(2)/2))/(LN(2)/2)*V109*Y109*VLOOKUP('Données projet'!$B$9,Paramètres!$A$1:$I$89,3,0)*0.475*44/12</f>
        <v>3.1049540082086261E-11</v>
      </c>
      <c r="AC109" s="22">
        <f t="shared" si="57"/>
        <v>2.7609928053086308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5.6843418860808015E-14</v>
      </c>
      <c r="AJ109" s="13">
        <f>AI109*VLOOKUP('Données projet'!$B$10,Paramètres!$A$1:$I$89,3,0)*VLOOKUP('Données projet'!$B$10,Paramètres!$A$1:$I$89,5,0)</f>
        <v>4.9658410716801891E-14</v>
      </c>
      <c r="AK109" s="13">
        <f t="shared" si="89"/>
        <v>8.0934058173791862E-13</v>
      </c>
      <c r="AL109" s="20">
        <f t="shared" si="58"/>
        <v>1.4960899118586383E-12</v>
      </c>
      <c r="AM109" s="59">
        <f t="shared" si="59"/>
        <v>293.33333333333479</v>
      </c>
      <c r="AN109" s="59">
        <f ca="1">AVERAGE(OFFSET($AM$3,0,0,'Données projet'!$E$10+1,1))-AVERAGE(OFFSET($H$3,0,0,'Données projet'!$E$10+1,1))</f>
        <v>243.05628303465238</v>
      </c>
      <c r="AO109" s="59">
        <f t="shared" si="90"/>
        <v>352.47096767658394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1.7525808717819573</v>
      </c>
      <c r="AV109" s="21">
        <f>EXP(-LN(2)/25)*AV108+(1-EXP(-LN(2)/25))/(LN(2)/25)*Calculateur!AQ109*Calculateur!AS109*VLOOKUP('Données projet'!$B$10,Paramètres!$A$1:$I$89,3,0)*0.475*44/12</f>
        <v>2.2028296294763248</v>
      </c>
      <c r="AW109" s="21">
        <f>EXP(-LN(2)/2)*AW108+(1-EXP(-LN(2)/2))/(LN(2)/2)*AQ109*AT109*VLOOKUP('Données projet'!$B$10,Paramètres!$A$1:$I$89,3,0)*0.475*44/12</f>
        <v>4.1011546989714265E-11</v>
      </c>
      <c r="AX109" s="21">
        <f t="shared" si="60"/>
        <v>3.9554105012992937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-2.8421709430404007E-13</v>
      </c>
      <c r="BE109" s="13">
        <f>BD109*VLOOKUP('Données projet'!$B$11,Paramètres!$A$1:$I$89,3,0)*VLOOKUP('Données projet'!$B$11,Paramètres!$A$1:$I$89,5,0)</f>
        <v>-2.2612312022829427E-13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325.72928944930294</v>
      </c>
      <c r="BJ109" s="59">
        <f t="shared" si="92"/>
        <v>318.38876834819752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3.8436390015062587</v>
      </c>
      <c r="BQ109" s="21">
        <f>EXP(-LN(2)/25)*BQ108+(1-EXP(-LN(2)/25))/(LN(2)/25)*Calculateur!BL109*Calculateur!BN109*VLOOKUP('Données projet'!$B$11,Paramètres!$A$1:$I$89,3,0)*0.475*44/12</f>
        <v>2.5142985545596637</v>
      </c>
      <c r="BR109" s="21">
        <f>EXP(-LN(2)/2)*BR108+(1-EXP(-LN(2)/2))/(LN(2)/2)*BL109*BO109*VLOOKUP('Données projet'!$B$11,Paramètres!$A$1:$I$89,3,0)*0.475*44/12</f>
        <v>4.3036274415804897E-11</v>
      </c>
      <c r="BS109" s="22">
        <f t="shared" si="63"/>
        <v>6.3579375561089586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-3.4106051316484809E-13</v>
      </c>
      <c r="BZ109" s="13">
        <f>BY109*VLOOKUP('Données projet'!$B$12,Paramètres!$A$1:$I$89,3,0)*VLOOKUP('Données projet'!$B$12,Paramètres!$A$1:$I$89,5,0)</f>
        <v>-1.9065282685915009E-13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475.54809021014017</v>
      </c>
      <c r="CE109" s="59">
        <f t="shared" si="94"/>
        <v>593.51433014569966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1.6297096062336169</v>
      </c>
      <c r="CL109" s="21">
        <f>EXP(-LN(2)/25)*CL108+(1-EXP(-LN(2)/25))/(LN(2)/25)*Calculateur!CG109*Calculateur!CI109*VLOOKUP('Données projet'!$B$12,Paramètres!$A$1:$I$89,3,0)*0.475*44/12</f>
        <v>5.18087376121946</v>
      </c>
      <c r="CM109" s="21">
        <f>EXP(-LN(2)/2)*CM108+(1-EXP(-LN(2)/2))/(LN(2)/2)*CG109*CJ109*VLOOKUP('Données projet'!$B$12,Paramètres!$A$1:$I$89,3,0)*0.475*44/12</f>
        <v>5.2452224789658945E-11</v>
      </c>
      <c r="CN109" s="22">
        <f t="shared" si="66"/>
        <v>6.8105833675055294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-1.1368683772161603E-13</v>
      </c>
      <c r="CU109" s="17">
        <f>CT109*VLOOKUP('Données projet'!$B$13,Paramètres!$A$1:$I$89,3,0)*VLOOKUP('Données projet'!$B$13,Paramètres!$A$1:$I$89,5,0)</f>
        <v>-5.3205440053716299E-14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226.0452828290525</v>
      </c>
      <c r="CZ109" s="59">
        <f t="shared" si="96"/>
        <v>179.89696397462069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2.0148250941601695</v>
      </c>
      <c r="DG109" s="21">
        <f>EXP(-LN(2)/25)*DG108+(1-EXP(-LN(2)/25))/(LN(2)/25)*Calculateur!DB109*Calculateur!DD109*VLOOKUP('Données projet'!$B$13,Paramètres!$A$1:$I$89,3,0)*0.475*44/12</f>
        <v>1.3557983473677635</v>
      </c>
      <c r="DH109" s="21">
        <f>EXP(-LN(2)/2)*DH108+(1-EXP(-LN(2)/2))/(LN(2)/2)*DB109*DE109*VLOOKUP('Données projet'!$B$13,Paramètres!$A$1:$I$89,3,0)*0.475*44/12</f>
        <v>4.0174667969398494E-11</v>
      </c>
      <c r="DI109" s="22">
        <f t="shared" si="69"/>
        <v>3.3706234415681076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1.1368683772161603E-13</v>
      </c>
      <c r="DP109" s="17">
        <f>DO109*VLOOKUP('Données projet'!$B$14,Paramètres!$A$1:$I$89,3,0)*VLOOKUP('Données projet'!$B$14,Paramètres!$A$1:$I$89,5,0)</f>
        <v>6.7984728957526396E-14</v>
      </c>
      <c r="DQ109" s="13">
        <f t="shared" si="97"/>
        <v>1.0682447123141398E-12</v>
      </c>
      <c r="DR109" s="20">
        <f t="shared" si="70"/>
        <v>1.978932943548152E-12</v>
      </c>
      <c r="DS109" s="59">
        <f t="shared" si="71"/>
        <v>293.3333333333353</v>
      </c>
      <c r="DT109" s="59">
        <f ca="1">AVERAGE(OFFSET($DS$3,0,0,'Données projet'!$E$14+1,1))-AVERAGE(OFFSET($H$3,0,0,'Données projet'!$E$14+1,1))</f>
        <v>252.81045065813976</v>
      </c>
      <c r="DU109" s="59">
        <f t="shared" si="98"/>
        <v>254.36590349790589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4.0079268117442197</v>
      </c>
      <c r="EB109" s="21">
        <f>EXP(-LN(2)/25)*EB108+(1-EXP(-LN(2)/25))/(LN(2)/25)*Calculateur!DW109*Calculateur!DY109*VLOOKUP('Données projet'!$B$14,Paramètres!$A$1:$I$89,3,0)*0.475*44/12</f>
        <v>1.9606312941230328</v>
      </c>
      <c r="EC109" s="21">
        <f>EXP(-LN(2)/2)*EC108+(1-EXP(-LN(2)/2))/(LN(2)/2)*DW109*DZ109*VLOOKUP('Données projet'!$B$14,Paramètres!$A$1:$I$89,3,0)*0.475*44/12</f>
        <v>2.0887032166276232E-11</v>
      </c>
      <c r="ED109" s="22">
        <f t="shared" si="72"/>
        <v>5.9685581058881398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-2.8421709430404007E-13</v>
      </c>
      <c r="EK109" s="17">
        <f>EJ109*VLOOKUP('Données projet'!$B$15,Paramètres!$A$1:$I$89,3,0)*VLOOKUP('Données projet'!$B$15,Paramètres!$A$1:$I$89,5,0)</f>
        <v>-2.0838797354372215E-13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296.91321813251051</v>
      </c>
      <c r="EP109" s="59">
        <f t="shared" si="100"/>
        <v>291.0718079639509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2.873841813556846</v>
      </c>
      <c r="EW109" s="21">
        <f>EXP(-LN(2)/25)*EW108+(1-EXP(-LN(2)/25))/(LN(2)/25)*Calculateur!ER109*Calculateur!ET109*VLOOKUP('Données projet'!$B$15,Paramètres!$A$1:$I$89,3,0)*0.475*44/12</f>
        <v>1.8799102400166774</v>
      </c>
      <c r="EX109" s="21">
        <f>EXP(-LN(2)/2)*EX108+(1-EXP(-LN(2)/2))/(LN(2)/2)*ER109*EU109*VLOOKUP('Données projet'!$B$15,Paramètres!$A$1:$I$89,3,0)*0.475*44/12</f>
        <v>3.9660880343977157E-11</v>
      </c>
      <c r="EY109" s="22">
        <f t="shared" si="75"/>
        <v>4.7537520536131836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>
        <f>FE109*VLOOKUP('Données projet'!$B$16,Paramètres!$A$1:$I$89,3,0)*VLOOKUP('Données projet'!$B$16,Paramètres!$A$1:$I$89,5,0)</f>
        <v>0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356.65981389369125</v>
      </c>
      <c r="FK109" s="59">
        <f t="shared" si="102"/>
        <v>231.92898690465887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1.8182147885800426</v>
      </c>
      <c r="FR109" s="21">
        <f>EXP(-LN(2)/25)*FR108+(1-EXP(-LN(2)/25))/(LN(2)/25)*Calculateur!FM109*Calculateur!FO109*VLOOKUP('Données projet'!$B$16,Paramètres!$A$1:$I$89,3,0)*0.475*44/12</f>
        <v>1.2760012863000092</v>
      </c>
      <c r="FS109" s="21">
        <f>EXP(-LN(2)/2)*FS108+(1-EXP(-LN(2)/2))/(LN(2)/2)*FM109*FP109*VLOOKUP('Données projet'!$B$16,Paramètres!$A$1:$I$89,3,0)*0.475*44/12</f>
        <v>3.4796898367855294E-11</v>
      </c>
      <c r="FT109" s="22">
        <f t="shared" si="78"/>
        <v>3.0942160749148488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>
        <f>FZ109*VLOOKUP('Données projet'!$B$17,Paramètres!$A$1:$I$89,3,0)*VLOOKUP('Données projet'!$B$17,Paramètres!$A$1:$I$89,5,0)</f>
        <v>0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337.76140497227715</v>
      </c>
      <c r="GF109" s="59">
        <f t="shared" si="104"/>
        <v>219.76562717496353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1.7342971829532705</v>
      </c>
      <c r="GM109" s="21">
        <f>EXP(-LN(2)/25)*GM108+(1-EXP(-LN(2)/25))/(LN(2)/25)*Calculateur!GH109*Calculateur!GJ109*VLOOKUP('Données projet'!$B$17,Paramètres!$A$1:$I$89,3,0)*0.475*44/12</f>
        <v>1.2171089192400086</v>
      </c>
      <c r="GN109" s="21">
        <f>EXP(-LN(2)/2)*GN108+(1-EXP(-LN(2)/2))/(LN(2)/2)*GH109*GK109*VLOOKUP('Données projet'!$B$17,Paramètres!$A$1:$I$89,3,0)*0.475*44/12</f>
        <v>3.3190887673954289E-11</v>
      </c>
      <c r="GO109" s="21">
        <f t="shared" si="81"/>
        <v>2.9514061022264699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312.53389584272878</v>
      </c>
      <c r="T110" s="59">
        <f t="shared" si="88"/>
        <v>203.5274665601915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1.5905926295922326</v>
      </c>
      <c r="AA110" s="21">
        <f>EXP(-LN(2)/25)*AA109+(1-EXP(-LN(2)/25))/(LN(2)/25)*Calculateur!V110*Calculateur!X110*VLOOKUP('Données projet'!$B$9,Paramètres!$A$1:$I$89,3,0)*0.475*44/12</f>
        <v>1.1074510755907734</v>
      </c>
      <c r="AB110" s="21">
        <f>EXP(-LN(2)/2)*AB109+(1-EXP(-LN(2)/2))/(LN(2)/2)*V110*Y110*VLOOKUP('Données projet'!$B$9,Paramètres!$A$1:$I$89,3,0)*0.475*44/12</f>
        <v>2.1955340344766707E-11</v>
      </c>
      <c r="AC110" s="22">
        <f t="shared" si="57"/>
        <v>2.6980437052049613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5.6843418860808015E-14</v>
      </c>
      <c r="AJ110" s="13">
        <f>AI110*VLOOKUP('Données projet'!$B$10,Paramètres!$A$1:$I$89,3,0)*VLOOKUP('Données projet'!$B$10,Paramètres!$A$1:$I$89,5,0)</f>
        <v>4.9658410716801891E-14</v>
      </c>
      <c r="AK110" s="13">
        <f t="shared" si="89"/>
        <v>8.0934058173791862E-13</v>
      </c>
      <c r="AL110" s="20">
        <f t="shared" si="58"/>
        <v>1.4960899118586383E-12</v>
      </c>
      <c r="AM110" s="59">
        <f t="shared" si="59"/>
        <v>293.33333333333479</v>
      </c>
      <c r="AN110" s="59">
        <f ca="1">AVERAGE(OFFSET($AM$3,0,0,'Données projet'!$E$10+1,1))-AVERAGE(OFFSET($H$3,0,0,'Données projet'!$E$10+1,1))</f>
        <v>243.05628303465238</v>
      </c>
      <c r="AO110" s="59">
        <f t="shared" si="90"/>
        <v>352.47096767658394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1.7182138298550931</v>
      </c>
      <c r="AV110" s="21">
        <f>EXP(-LN(2)/25)*AV109+(1-EXP(-LN(2)/25))/(LN(2)/25)*Calculateur!AQ110*Calculateur!AS110*VLOOKUP('Données projet'!$B$10,Paramètres!$A$1:$I$89,3,0)*0.475*44/12</f>
        <v>2.1425931374165192</v>
      </c>
      <c r="AW110" s="21">
        <f>EXP(-LN(2)/2)*AW109+(1-EXP(-LN(2)/2))/(LN(2)/2)*AQ110*AT110*VLOOKUP('Données projet'!$B$10,Paramètres!$A$1:$I$89,3,0)*0.475*44/12</f>
        <v>2.8999542983377697E-11</v>
      </c>
      <c r="AX110" s="21">
        <f t="shared" si="60"/>
        <v>3.8608069673006118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-2.8421709430404007E-13</v>
      </c>
      <c r="BE110" s="13">
        <f>BD110*VLOOKUP('Données projet'!$B$11,Paramètres!$A$1:$I$89,3,0)*VLOOKUP('Données projet'!$B$11,Paramètres!$A$1:$I$89,5,0)</f>
        <v>-2.2612312022829427E-13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325.72928944930294</v>
      </c>
      <c r="BJ110" s="59">
        <f t="shared" si="92"/>
        <v>318.38876834819752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3.7682675850750229</v>
      </c>
      <c r="BQ110" s="21">
        <f>EXP(-LN(2)/25)*BQ109+(1-EXP(-LN(2)/25))/(LN(2)/25)*Calculateur!BL110*Calculateur!BN110*VLOOKUP('Données projet'!$B$11,Paramètres!$A$1:$I$89,3,0)*0.475*44/12</f>
        <v>2.4455449283640154</v>
      </c>
      <c r="BR110" s="21">
        <f>EXP(-LN(2)/2)*BR109+(1-EXP(-LN(2)/2))/(LN(2)/2)*BL110*BO110*VLOOKUP('Données projet'!$B$11,Paramètres!$A$1:$I$89,3,0)*0.475*44/12</f>
        <v>3.0431241476420765E-11</v>
      </c>
      <c r="BS110" s="22">
        <f t="shared" si="63"/>
        <v>6.2138125134694695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-3.4106051316484809E-13</v>
      </c>
      <c r="BZ110" s="13">
        <f>BY110*VLOOKUP('Données projet'!$B$12,Paramètres!$A$1:$I$89,3,0)*VLOOKUP('Données projet'!$B$12,Paramètres!$A$1:$I$89,5,0)</f>
        <v>-1.9065282685915009E-13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475.54809021014017</v>
      </c>
      <c r="CE110" s="59">
        <f t="shared" si="94"/>
        <v>593.51433014569966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1.5977519948800838</v>
      </c>
      <c r="CL110" s="21">
        <f>EXP(-LN(2)/25)*CL109+(1-EXP(-LN(2)/25))/(LN(2)/25)*Calculateur!CG110*Calculateur!CI110*VLOOKUP('Données projet'!$B$12,Paramètres!$A$1:$I$89,3,0)*0.475*44/12</f>
        <v>5.0392024957686035</v>
      </c>
      <c r="CM110" s="21">
        <f>EXP(-LN(2)/2)*CM109+(1-EXP(-LN(2)/2))/(LN(2)/2)*CG110*CJ110*VLOOKUP('Données projet'!$B$12,Paramètres!$A$1:$I$89,3,0)*0.475*44/12</f>
        <v>3.7089323837088971E-11</v>
      </c>
      <c r="CN110" s="22">
        <f t="shared" si="66"/>
        <v>6.6369544906857767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-1.1368683772161603E-13</v>
      </c>
      <c r="CU110" s="17">
        <f>CT110*VLOOKUP('Données projet'!$B$13,Paramètres!$A$1:$I$89,3,0)*VLOOKUP('Données projet'!$B$13,Paramètres!$A$1:$I$89,5,0)</f>
        <v>-5.3205440053716299E-14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226.0452828290525</v>
      </c>
      <c r="CZ110" s="59">
        <f t="shared" si="96"/>
        <v>179.89696397462069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1.97531560298565</v>
      </c>
      <c r="DG110" s="21">
        <f>EXP(-LN(2)/25)*DG109+(1-EXP(-LN(2)/25))/(LN(2)/25)*Calculateur!DB110*Calculateur!DD110*VLOOKUP('Données projet'!$B$13,Paramètres!$A$1:$I$89,3,0)*0.475*44/12</f>
        <v>1.3187239702606557</v>
      </c>
      <c r="DH110" s="21">
        <f>EXP(-LN(2)/2)*DH109+(1-EXP(-LN(2)/2))/(LN(2)/2)*DB110*DE110*VLOOKUP('Données projet'!$B$13,Paramètres!$A$1:$I$89,3,0)*0.475*44/12</f>
        <v>2.8407780153079663E-11</v>
      </c>
      <c r="DI110" s="22">
        <f t="shared" si="69"/>
        <v>3.2940395732747136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1.1368683772161603E-13</v>
      </c>
      <c r="DP110" s="17">
        <f>DO110*VLOOKUP('Données projet'!$B$14,Paramètres!$A$1:$I$89,3,0)*VLOOKUP('Données projet'!$B$14,Paramètres!$A$1:$I$89,5,0)</f>
        <v>6.7984728957526396E-14</v>
      </c>
      <c r="DQ110" s="13">
        <f t="shared" si="97"/>
        <v>1.0682447123141398E-12</v>
      </c>
      <c r="DR110" s="20">
        <f t="shared" si="70"/>
        <v>1.978932943548152E-12</v>
      </c>
      <c r="DS110" s="59">
        <f t="shared" si="71"/>
        <v>293.3333333333353</v>
      </c>
      <c r="DT110" s="59">
        <f ca="1">AVERAGE(OFFSET($DS$3,0,0,'Données projet'!$E$14+1,1))-AVERAGE(OFFSET($H$3,0,0,'Données projet'!$E$14+1,1))</f>
        <v>252.81045065813976</v>
      </c>
      <c r="DU110" s="59">
        <f t="shared" si="98"/>
        <v>254.36590349790589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3.929333811559887</v>
      </c>
      <c r="EB110" s="21">
        <f>EXP(-LN(2)/25)*EB109+(1-EXP(-LN(2)/25))/(LN(2)/25)*Calculateur!DW110*Calculateur!DY110*VLOOKUP('Données projet'!$B$14,Paramètres!$A$1:$I$89,3,0)*0.475*44/12</f>
        <v>1.9070177282801197</v>
      </c>
      <c r="EC110" s="21">
        <f>EXP(-LN(2)/2)*EC109+(1-EXP(-LN(2)/2))/(LN(2)/2)*DW110*DZ110*VLOOKUP('Données projet'!$B$14,Paramètres!$A$1:$I$89,3,0)*0.475*44/12</f>
        <v>1.4769362083635467E-11</v>
      </c>
      <c r="ED110" s="22">
        <f t="shared" si="72"/>
        <v>5.8363515398547765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-2.8421709430404007E-13</v>
      </c>
      <c r="EK110" s="17">
        <f>EJ110*VLOOKUP('Données projet'!$B$15,Paramètres!$A$1:$I$89,3,0)*VLOOKUP('Données projet'!$B$15,Paramètres!$A$1:$I$89,5,0)</f>
        <v>-2.0838797354372215E-13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296.91321813251051</v>
      </c>
      <c r="EP110" s="59">
        <f t="shared" si="100"/>
        <v>291.0718079639509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2.8174875284634209</v>
      </c>
      <c r="EW110" s="21">
        <f>EXP(-LN(2)/25)*EW109+(1-EXP(-LN(2)/25))/(LN(2)/25)*Calculateur!ER110*Calculateur!ET110*VLOOKUP('Données projet'!$B$15,Paramètres!$A$1:$I$89,3,0)*0.475*44/12</f>
        <v>1.8285039956432385</v>
      </c>
      <c r="EX110" s="21">
        <f>EXP(-LN(2)/2)*EX109+(1-EXP(-LN(2)/2))/(LN(2)/2)*ER110*EU110*VLOOKUP('Données projet'!$B$15,Paramètres!$A$1:$I$89,3,0)*0.475*44/12</f>
        <v>2.80444774390545E-11</v>
      </c>
      <c r="EY110" s="22">
        <f t="shared" si="75"/>
        <v>4.6459915241347032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>
        <f>FE110*VLOOKUP('Données projet'!$B$16,Paramètres!$A$1:$I$89,3,0)*VLOOKUP('Données projet'!$B$16,Paramètres!$A$1:$I$89,5,0)</f>
        <v>0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356.65981389369125</v>
      </c>
      <c r="FK110" s="59">
        <f t="shared" si="102"/>
        <v>231.92898690465887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1.7825607055775041</v>
      </c>
      <c r="FR110" s="21">
        <f>EXP(-LN(2)/25)*FR109+(1-EXP(-LN(2)/25))/(LN(2)/25)*Calculateur!FM110*Calculateur!FO110*VLOOKUP('Données projet'!$B$16,Paramètres!$A$1:$I$89,3,0)*0.475*44/12</f>
        <v>1.2411089640241442</v>
      </c>
      <c r="FS110" s="21">
        <f>EXP(-LN(2)/2)*FS109+(1-EXP(-LN(2)/2))/(LN(2)/2)*FM110*FP110*VLOOKUP('Données projet'!$B$16,Paramètres!$A$1:$I$89,3,0)*0.475*44/12</f>
        <v>2.4605122800169587E-11</v>
      </c>
      <c r="FT110" s="22">
        <f t="shared" si="78"/>
        <v>3.0236696696262535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>
        <f>FZ110*VLOOKUP('Données projet'!$B$17,Paramètres!$A$1:$I$89,3,0)*VLOOKUP('Données projet'!$B$17,Paramètres!$A$1:$I$89,5,0)</f>
        <v>0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337.76140497227715</v>
      </c>
      <c r="GF110" s="59">
        <f t="shared" si="104"/>
        <v>219.76562717496353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1.7002886730123878</v>
      </c>
      <c r="GM110" s="21">
        <f>EXP(-LN(2)/25)*GM109+(1-EXP(-LN(2)/25))/(LN(2)/25)*Calculateur!GH110*Calculateur!GJ110*VLOOKUP('Données projet'!$B$17,Paramètres!$A$1:$I$89,3,0)*0.475*44/12</f>
        <v>1.1838270118384142</v>
      </c>
      <c r="GN110" s="21">
        <f>EXP(-LN(2)/2)*GN109+(1-EXP(-LN(2)/2))/(LN(2)/2)*GH110*GK110*VLOOKUP('Données projet'!$B$17,Paramètres!$A$1:$I$89,3,0)*0.475*44/12</f>
        <v>2.3469501747854073E-11</v>
      </c>
      <c r="GO110" s="21">
        <f t="shared" si="81"/>
        <v>2.8841156848742719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312.53389584272878</v>
      </c>
      <c r="T111" s="59">
        <f t="shared" si="88"/>
        <v>203.5274665601915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1.5594020782916371</v>
      </c>
      <c r="AA111" s="21">
        <f>EXP(-LN(2)/25)*AA110+(1-EXP(-LN(2)/25))/(LN(2)/25)*Calculateur!V111*Calculateur!X111*VLOOKUP('Données projet'!$B$9,Paramètres!$A$1:$I$89,3,0)*0.475*44/12</f>
        <v>1.0771677676904228</v>
      </c>
      <c r="AB111" s="21">
        <f>EXP(-LN(2)/2)*AB110+(1-EXP(-LN(2)/2))/(LN(2)/2)*V111*Y111*VLOOKUP('Données projet'!$B$9,Paramètres!$A$1:$I$89,3,0)*0.475*44/12</f>
        <v>1.5524770041043131E-11</v>
      </c>
      <c r="AC111" s="22">
        <f t="shared" si="57"/>
        <v>2.636569845997585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5.6843418860808015E-14</v>
      </c>
      <c r="AJ111" s="13">
        <f>AI111*VLOOKUP('Données projet'!$B$10,Paramètres!$A$1:$I$89,3,0)*VLOOKUP('Données projet'!$B$10,Paramètres!$A$1:$I$89,5,0)</f>
        <v>4.9658410716801891E-14</v>
      </c>
      <c r="AK111" s="13">
        <f t="shared" si="89"/>
        <v>8.0934058173791862E-13</v>
      </c>
      <c r="AL111" s="20">
        <f t="shared" si="58"/>
        <v>1.4960899118586383E-12</v>
      </c>
      <c r="AM111" s="59">
        <f t="shared" si="59"/>
        <v>293.33333333333479</v>
      </c>
      <c r="AN111" s="59">
        <f ca="1">AVERAGE(OFFSET($AM$3,0,0,'Données projet'!$E$10+1,1))-AVERAGE(OFFSET($H$3,0,0,'Données projet'!$E$10+1,1))</f>
        <v>243.05628303465238</v>
      </c>
      <c r="AO111" s="59">
        <f t="shared" si="90"/>
        <v>352.47096767658394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1.6845207046585888</v>
      </c>
      <c r="AV111" s="21">
        <f>EXP(-LN(2)/25)*AV110+(1-EXP(-LN(2)/25))/(LN(2)/25)*Calculateur!AQ111*Calculateur!AS111*VLOOKUP('Données projet'!$B$10,Paramètres!$A$1:$I$89,3,0)*0.475*44/12</f>
        <v>2.0840038153997882</v>
      </c>
      <c r="AW111" s="21">
        <f>EXP(-LN(2)/2)*AW110+(1-EXP(-LN(2)/2))/(LN(2)/2)*AQ111*AT111*VLOOKUP('Données projet'!$B$10,Paramètres!$A$1:$I$89,3,0)*0.475*44/12</f>
        <v>2.0505773494857136E-11</v>
      </c>
      <c r="AX111" s="21">
        <f t="shared" si="60"/>
        <v>3.7685245200788828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-2.8421709430404007E-13</v>
      </c>
      <c r="BE111" s="13">
        <f>BD111*VLOOKUP('Données projet'!$B$11,Paramètres!$A$1:$I$89,3,0)*VLOOKUP('Données projet'!$B$11,Paramètres!$A$1:$I$89,5,0)</f>
        <v>-2.2612312022829427E-13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325.72928944930294</v>
      </c>
      <c r="BJ111" s="59">
        <f t="shared" si="92"/>
        <v>318.38876834819752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3.6943741561479788</v>
      </c>
      <c r="BQ111" s="21">
        <f>EXP(-LN(2)/25)*BQ110+(1-EXP(-LN(2)/25))/(LN(2)/25)*Calculateur!BL111*Calculateur!BN111*VLOOKUP('Données projet'!$B$11,Paramètres!$A$1:$I$89,3,0)*0.475*44/12</f>
        <v>2.3786713736922831</v>
      </c>
      <c r="BR111" s="21">
        <f>EXP(-LN(2)/2)*BR110+(1-EXP(-LN(2)/2))/(LN(2)/2)*BL111*BO111*VLOOKUP('Données projet'!$B$11,Paramètres!$A$1:$I$89,3,0)*0.475*44/12</f>
        <v>2.1518137207902448E-11</v>
      </c>
      <c r="BS111" s="22">
        <f t="shared" si="63"/>
        <v>6.0730455298617798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-3.4106051316484809E-13</v>
      </c>
      <c r="BZ111" s="13">
        <f>BY111*VLOOKUP('Données projet'!$B$12,Paramètres!$A$1:$I$89,3,0)*VLOOKUP('Données projet'!$B$12,Paramètres!$A$1:$I$89,5,0)</f>
        <v>-1.9065282685915009E-13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475.54809021014017</v>
      </c>
      <c r="CE111" s="59">
        <f t="shared" si="94"/>
        <v>593.51433014569966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1.5664210527929752</v>
      </c>
      <c r="CL111" s="21">
        <f>EXP(-LN(2)/25)*CL110+(1-EXP(-LN(2)/25))/(LN(2)/25)*Calculateur!CG111*Calculateur!CI111*VLOOKUP('Données projet'!$B$12,Paramètres!$A$1:$I$89,3,0)*0.475*44/12</f>
        <v>4.9014052385216687</v>
      </c>
      <c r="CM111" s="21">
        <f>EXP(-LN(2)/2)*CM110+(1-EXP(-LN(2)/2))/(LN(2)/2)*CG111*CJ111*VLOOKUP('Données projet'!$B$12,Paramètres!$A$1:$I$89,3,0)*0.475*44/12</f>
        <v>2.6226112394829473E-11</v>
      </c>
      <c r="CN111" s="22">
        <f t="shared" si="66"/>
        <v>6.4678262913408702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-1.1368683772161603E-13</v>
      </c>
      <c r="CU111" s="17">
        <f>CT111*VLOOKUP('Données projet'!$B$13,Paramètres!$A$1:$I$89,3,0)*VLOOKUP('Données projet'!$B$13,Paramètres!$A$1:$I$89,5,0)</f>
        <v>-5.3205440053716299E-14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226.0452828290525</v>
      </c>
      <c r="CZ111" s="59">
        <f t="shared" si="96"/>
        <v>179.89696397462069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1.9365808688346529</v>
      </c>
      <c r="DG111" s="21">
        <f>EXP(-LN(2)/25)*DG110+(1-EXP(-LN(2)/25))/(LN(2)/25)*Calculateur!DB111*Calculateur!DD111*VLOOKUP('Données projet'!$B$13,Paramètres!$A$1:$I$89,3,0)*0.475*44/12</f>
        <v>1.2826633939451983</v>
      </c>
      <c r="DH111" s="21">
        <f>EXP(-LN(2)/2)*DH110+(1-EXP(-LN(2)/2))/(LN(2)/2)*DB111*DE111*VLOOKUP('Données projet'!$B$13,Paramètres!$A$1:$I$89,3,0)*0.475*44/12</f>
        <v>2.008733398469925E-11</v>
      </c>
      <c r="DI111" s="22">
        <f t="shared" si="69"/>
        <v>3.2192442627999385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1.1368683772161603E-13</v>
      </c>
      <c r="DP111" s="17">
        <f>DO111*VLOOKUP('Données projet'!$B$14,Paramètres!$A$1:$I$89,3,0)*VLOOKUP('Données projet'!$B$14,Paramètres!$A$1:$I$89,5,0)</f>
        <v>6.7984728957526396E-14</v>
      </c>
      <c r="DQ111" s="13">
        <f t="shared" si="97"/>
        <v>1.0682447123141398E-12</v>
      </c>
      <c r="DR111" s="20">
        <f t="shared" si="70"/>
        <v>1.978932943548152E-12</v>
      </c>
      <c r="DS111" s="59">
        <f t="shared" si="71"/>
        <v>293.3333333333353</v>
      </c>
      <c r="DT111" s="59">
        <f ca="1">AVERAGE(OFFSET($DS$3,0,0,'Données projet'!$E$14+1,1))-AVERAGE(OFFSET($H$3,0,0,'Données projet'!$E$14+1,1))</f>
        <v>252.81045065813976</v>
      </c>
      <c r="DU111" s="59">
        <f t="shared" si="98"/>
        <v>254.36590349790589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3.8522819721721726</v>
      </c>
      <c r="EB111" s="21">
        <f>EXP(-LN(2)/25)*EB110+(1-EXP(-LN(2)/25))/(LN(2)/25)*Calculateur!DW111*Calculateur!DY111*VLOOKUP('Données projet'!$B$14,Paramètres!$A$1:$I$89,3,0)*0.475*44/12</f>
        <v>1.8548702282145961</v>
      </c>
      <c r="EC111" s="21">
        <f>EXP(-LN(2)/2)*EC110+(1-EXP(-LN(2)/2))/(LN(2)/2)*DW111*DZ111*VLOOKUP('Données projet'!$B$14,Paramètres!$A$1:$I$89,3,0)*0.475*44/12</f>
        <v>1.0443516083138116E-11</v>
      </c>
      <c r="ED111" s="22">
        <f t="shared" si="72"/>
        <v>5.7071522003972124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-2.8421709430404007E-13</v>
      </c>
      <c r="EK111" s="17">
        <f>EJ111*VLOOKUP('Données projet'!$B$15,Paramètres!$A$1:$I$89,3,0)*VLOOKUP('Données projet'!$B$15,Paramètres!$A$1:$I$89,5,0)</f>
        <v>-2.0838797354372215E-13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296.91321813251051</v>
      </c>
      <c r="EP111" s="59">
        <f t="shared" si="100"/>
        <v>291.0718079639509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2.762238316527958</v>
      </c>
      <c r="EW111" s="21">
        <f>EXP(-LN(2)/25)*EW110+(1-EXP(-LN(2)/25))/(LN(2)/25)*Calculateur!ER111*Calculateur!ET111*VLOOKUP('Données projet'!$B$15,Paramètres!$A$1:$I$89,3,0)*0.475*44/12</f>
        <v>1.7785034577255281</v>
      </c>
      <c r="EX111" s="21">
        <f>EXP(-LN(2)/2)*EX110+(1-EXP(-LN(2)/2))/(LN(2)/2)*ER111*EU111*VLOOKUP('Données projet'!$B$15,Paramètres!$A$1:$I$89,3,0)*0.475*44/12</f>
        <v>1.9830440171988578E-11</v>
      </c>
      <c r="EY111" s="22">
        <f t="shared" si="75"/>
        <v>4.5407417742733163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>
        <f>FE111*VLOOKUP('Données projet'!$B$16,Paramètres!$A$1:$I$89,3,0)*VLOOKUP('Données projet'!$B$16,Paramètres!$A$1:$I$89,5,0)</f>
        <v>0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356.65981389369125</v>
      </c>
      <c r="FK111" s="59">
        <f t="shared" si="102"/>
        <v>231.92898690465887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1.7476057773958023</v>
      </c>
      <c r="FR111" s="21">
        <f>EXP(-LN(2)/25)*FR110+(1-EXP(-LN(2)/25))/(LN(2)/25)*Calculateur!FM111*Calculateur!FO111*VLOOKUP('Données projet'!$B$16,Paramètres!$A$1:$I$89,3,0)*0.475*44/12</f>
        <v>1.2071707741358202</v>
      </c>
      <c r="FS111" s="21">
        <f>EXP(-LN(2)/2)*FS110+(1-EXP(-LN(2)/2))/(LN(2)/2)*FM111*FP111*VLOOKUP('Données projet'!$B$16,Paramètres!$A$1:$I$89,3,0)*0.475*44/12</f>
        <v>1.7398449183927647E-11</v>
      </c>
      <c r="FT111" s="22">
        <f t="shared" si="78"/>
        <v>2.954776551549021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>
        <f>FZ111*VLOOKUP('Données projet'!$B$17,Paramètres!$A$1:$I$89,3,0)*VLOOKUP('Données projet'!$B$17,Paramètres!$A$1:$I$89,5,0)</f>
        <v>0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337.76140497227715</v>
      </c>
      <c r="GF111" s="59">
        <f t="shared" si="104"/>
        <v>219.76562717496353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1.6669470492083029</v>
      </c>
      <c r="GM111" s="21">
        <f>EXP(-LN(2)/25)*GM110+(1-EXP(-LN(2)/25))/(LN(2)/25)*Calculateur!GH111*Calculateur!GJ111*VLOOKUP('Données projet'!$B$17,Paramètres!$A$1:$I$89,3,0)*0.475*44/12</f>
        <v>1.1514551999449358</v>
      </c>
      <c r="GN111" s="21">
        <f>EXP(-LN(2)/2)*GN110+(1-EXP(-LN(2)/2))/(LN(2)/2)*GH111*GK111*VLOOKUP('Données projet'!$B$17,Paramètres!$A$1:$I$89,3,0)*0.475*44/12</f>
        <v>1.6595443836977144E-11</v>
      </c>
      <c r="GO111" s="21">
        <f t="shared" si="81"/>
        <v>2.8184022491698344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312.53389584272878</v>
      </c>
      <c r="T112" s="59">
        <f t="shared" si="88"/>
        <v>203.5274665601915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1.5288231546776885</v>
      </c>
      <c r="AA112" s="21">
        <f>EXP(-LN(2)/25)*AA111+(1-EXP(-LN(2)/25))/(LN(2)/25)*Calculateur!V112*Calculateur!X112*VLOOKUP('Données projet'!$B$9,Paramètres!$A$1:$I$89,3,0)*0.475*44/12</f>
        <v>1.0477125584371372</v>
      </c>
      <c r="AB112" s="21">
        <f>EXP(-LN(2)/2)*AB111+(1-EXP(-LN(2)/2))/(LN(2)/2)*V112*Y112*VLOOKUP('Données projet'!$B$9,Paramètres!$A$1:$I$89,3,0)*0.475*44/12</f>
        <v>1.0977670172383354E-11</v>
      </c>
      <c r="AC112" s="22">
        <f t="shared" si="57"/>
        <v>2.5765357131258035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5.6843418860808015E-14</v>
      </c>
      <c r="AJ112" s="13">
        <f>AI112*VLOOKUP('Données projet'!$B$10,Paramètres!$A$1:$I$89,3,0)*VLOOKUP('Données projet'!$B$10,Paramètres!$A$1:$I$89,5,0)</f>
        <v>4.9658410716801891E-14</v>
      </c>
      <c r="AK112" s="13">
        <f t="shared" si="89"/>
        <v>8.0934058173791862E-13</v>
      </c>
      <c r="AL112" s="20">
        <f t="shared" si="58"/>
        <v>1.4960899118586383E-12</v>
      </c>
      <c r="AM112" s="59">
        <f t="shared" si="59"/>
        <v>293.33333333333479</v>
      </c>
      <c r="AN112" s="59">
        <f ca="1">AVERAGE(OFFSET($AM$3,0,0,'Données projet'!$E$10+1,1))-AVERAGE(OFFSET($H$3,0,0,'Données projet'!$E$10+1,1))</f>
        <v>243.05628303465238</v>
      </c>
      <c r="AO112" s="59">
        <f t="shared" si="90"/>
        <v>352.47096767658394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1.6514882810964109</v>
      </c>
      <c r="AV112" s="21">
        <f>EXP(-LN(2)/25)*AV111+(1-EXP(-LN(2)/25))/(LN(2)/25)*Calculateur!AQ112*Calculateur!AS112*VLOOKUP('Données projet'!$B$10,Paramètres!$A$1:$I$89,3,0)*0.475*44/12</f>
        <v>2.0270166214746834</v>
      </c>
      <c r="AW112" s="21">
        <f>EXP(-LN(2)/2)*AW111+(1-EXP(-LN(2)/2))/(LN(2)/2)*AQ112*AT112*VLOOKUP('Données projet'!$B$10,Paramètres!$A$1:$I$89,3,0)*0.475*44/12</f>
        <v>1.4499771491688852E-11</v>
      </c>
      <c r="AX112" s="21">
        <f t="shared" si="60"/>
        <v>3.6785049025855945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-2.8421709430404007E-13</v>
      </c>
      <c r="BE112" s="13">
        <f>BD112*VLOOKUP('Données projet'!$B$11,Paramètres!$A$1:$I$89,3,0)*VLOOKUP('Données projet'!$B$11,Paramètres!$A$1:$I$89,5,0)</f>
        <v>-2.2612312022829427E-13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325.72928944930294</v>
      </c>
      <c r="BJ112" s="59">
        <f t="shared" si="92"/>
        <v>318.38876834819752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3.6219297322916528</v>
      </c>
      <c r="BQ112" s="21">
        <f>EXP(-LN(2)/25)*BQ111+(1-EXP(-LN(2)/25))/(LN(2)/25)*Calculateur!BL112*Calculateur!BN112*VLOOKUP('Données projet'!$B$11,Paramètres!$A$1:$I$89,3,0)*0.475*44/12</f>
        <v>2.3136264798897765</v>
      </c>
      <c r="BR112" s="21">
        <f>EXP(-LN(2)/2)*BR111+(1-EXP(-LN(2)/2))/(LN(2)/2)*BL112*BO112*VLOOKUP('Données projet'!$B$11,Paramètres!$A$1:$I$89,3,0)*0.475*44/12</f>
        <v>1.5215620738210383E-11</v>
      </c>
      <c r="BS112" s="22">
        <f t="shared" si="63"/>
        <v>5.9355562121966452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-3.4106051316484809E-13</v>
      </c>
      <c r="BZ112" s="13">
        <f>BY112*VLOOKUP('Données projet'!$B$12,Paramètres!$A$1:$I$89,3,0)*VLOOKUP('Données projet'!$B$12,Paramètres!$A$1:$I$89,5,0)</f>
        <v>-1.9065282685915009E-13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475.54809021014017</v>
      </c>
      <c r="CE112" s="59">
        <f t="shared" si="94"/>
        <v>593.51433014569966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1.5357044913702069</v>
      </c>
      <c r="CL112" s="21">
        <f>EXP(-LN(2)/25)*CL111+(1-EXP(-LN(2)/25))/(LN(2)/25)*Calculateur!CG112*Calculateur!CI112*VLOOKUP('Données projet'!$B$12,Paramètres!$A$1:$I$89,3,0)*0.475*44/12</f>
        <v>4.7673760545205948</v>
      </c>
      <c r="CM112" s="21">
        <f>EXP(-LN(2)/2)*CM111+(1-EXP(-LN(2)/2))/(LN(2)/2)*CG112*CJ112*VLOOKUP('Données projet'!$B$12,Paramètres!$A$1:$I$89,3,0)*0.475*44/12</f>
        <v>1.8544661918544486E-11</v>
      </c>
      <c r="CN112" s="22">
        <f t="shared" si="66"/>
        <v>6.3030805459093457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-1.1368683772161603E-13</v>
      </c>
      <c r="CU112" s="17">
        <f>CT112*VLOOKUP('Données projet'!$B$13,Paramètres!$A$1:$I$89,3,0)*VLOOKUP('Données projet'!$B$13,Paramètres!$A$1:$I$89,5,0)</f>
        <v>-5.3205440053716299E-14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226.0452828290525</v>
      </c>
      <c r="CZ112" s="59">
        <f t="shared" si="96"/>
        <v>179.89696397462069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1.8986056991945017</v>
      </c>
      <c r="DG112" s="21">
        <f>EXP(-LN(2)/25)*DG111+(1-EXP(-LN(2)/25))/(LN(2)/25)*Calculateur!DB112*Calculateur!DD112*VLOOKUP('Données projet'!$B$13,Paramètres!$A$1:$I$89,3,0)*0.475*44/12</f>
        <v>1.2475888959854307</v>
      </c>
      <c r="DH112" s="21">
        <f>EXP(-LN(2)/2)*DH111+(1-EXP(-LN(2)/2))/(LN(2)/2)*DB112*DE112*VLOOKUP('Données projet'!$B$13,Paramètres!$A$1:$I$89,3,0)*0.475*44/12</f>
        <v>1.4203890076539833E-11</v>
      </c>
      <c r="DI112" s="22">
        <f t="shared" si="69"/>
        <v>3.1461945951941361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1.1368683772161603E-13</v>
      </c>
      <c r="DP112" s="17">
        <f>DO112*VLOOKUP('Données projet'!$B$14,Paramètres!$A$1:$I$89,3,0)*VLOOKUP('Données projet'!$B$14,Paramètres!$A$1:$I$89,5,0)</f>
        <v>6.7984728957526396E-14</v>
      </c>
      <c r="DQ112" s="13">
        <f t="shared" si="97"/>
        <v>1.0682447123141398E-12</v>
      </c>
      <c r="DR112" s="20">
        <f t="shared" si="70"/>
        <v>1.978932943548152E-12</v>
      </c>
      <c r="DS112" s="59">
        <f t="shared" si="71"/>
        <v>293.3333333333353</v>
      </c>
      <c r="DT112" s="59">
        <f ca="1">AVERAGE(OFFSET($DS$3,0,0,'Données projet'!$E$14+1,1))-AVERAGE(OFFSET($H$3,0,0,'Données projet'!$E$14+1,1))</f>
        <v>252.81045065813976</v>
      </c>
      <c r="DU112" s="59">
        <f t="shared" si="98"/>
        <v>254.36590349790589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3.7767410723578698</v>
      </c>
      <c r="EB112" s="21">
        <f>EXP(-LN(2)/25)*EB111+(1-EXP(-LN(2)/25))/(LN(2)/25)*Calculateur!DW112*Calculateur!DY112*VLOOKUP('Données projet'!$B$14,Paramètres!$A$1:$I$89,3,0)*0.475*44/12</f>
        <v>1.8041487042806821</v>
      </c>
      <c r="EC112" s="21">
        <f>EXP(-LN(2)/2)*EC111+(1-EXP(-LN(2)/2))/(LN(2)/2)*DW112*DZ112*VLOOKUP('Données projet'!$B$14,Paramètres!$A$1:$I$89,3,0)*0.475*44/12</f>
        <v>7.3846810418177335E-12</v>
      </c>
      <c r="ED112" s="22">
        <f t="shared" si="72"/>
        <v>5.580889776645936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-2.8421709430404007E-13</v>
      </c>
      <c r="EK112" s="17">
        <f>EJ112*VLOOKUP('Données projet'!$B$15,Paramètres!$A$1:$I$89,3,0)*VLOOKUP('Données projet'!$B$15,Paramètres!$A$1:$I$89,5,0)</f>
        <v>-2.0838797354372215E-13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296.91321813251051</v>
      </c>
      <c r="EP112" s="59">
        <f t="shared" si="100"/>
        <v>291.0718079639509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2.7080725079398578</v>
      </c>
      <c r="EW112" s="21">
        <f>EXP(-LN(2)/25)*EW111+(1-EXP(-LN(2)/25))/(LN(2)/25)*Calculateur!ER112*Calculateur!ET112*VLOOKUP('Données projet'!$B$15,Paramètres!$A$1:$I$89,3,0)*0.475*44/12</f>
        <v>1.7298701871465916</v>
      </c>
      <c r="EX112" s="21">
        <f>EXP(-LN(2)/2)*EX111+(1-EXP(-LN(2)/2))/(LN(2)/2)*ER112*EU112*VLOOKUP('Données projet'!$B$15,Paramètres!$A$1:$I$89,3,0)*0.475*44/12</f>
        <v>1.402223871952725E-11</v>
      </c>
      <c r="EY112" s="22">
        <f t="shared" si="75"/>
        <v>4.4379426951004719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>
        <f>FE112*VLOOKUP('Données projet'!$B$16,Paramètres!$A$1:$I$89,3,0)*VLOOKUP('Données projet'!$B$16,Paramètres!$A$1:$I$89,5,0)</f>
        <v>0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356.65981389369125</v>
      </c>
      <c r="FK112" s="59">
        <f t="shared" si="102"/>
        <v>231.92898690465887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1.7133362940353425</v>
      </c>
      <c r="FR112" s="21">
        <f>EXP(-LN(2)/25)*FR111+(1-EXP(-LN(2)/25))/(LN(2)/25)*Calculateur!FM112*Calculateur!FO112*VLOOKUP('Données projet'!$B$16,Paramètres!$A$1:$I$89,3,0)*0.475*44/12</f>
        <v>1.1741606258347241</v>
      </c>
      <c r="FS112" s="21">
        <f>EXP(-LN(2)/2)*FS111+(1-EXP(-LN(2)/2))/(LN(2)/2)*FM112*FP112*VLOOKUP('Données projet'!$B$16,Paramètres!$A$1:$I$89,3,0)*0.475*44/12</f>
        <v>1.2302561400084793E-11</v>
      </c>
      <c r="FT112" s="22">
        <f t="shared" si="78"/>
        <v>2.8874969198823695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>
        <f>FZ112*VLOOKUP('Données projet'!$B$17,Paramètres!$A$1:$I$89,3,0)*VLOOKUP('Données projet'!$B$17,Paramètres!$A$1:$I$89,5,0)</f>
        <v>0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337.76140497227715</v>
      </c>
      <c r="GF112" s="59">
        <f t="shared" si="104"/>
        <v>219.76562717496353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1.6342592343106337</v>
      </c>
      <c r="GM112" s="21">
        <f>EXP(-LN(2)/25)*GM111+(1-EXP(-LN(2)/25))/(LN(2)/25)*Calculateur!GH112*Calculateur!GJ112*VLOOKUP('Données projet'!$B$17,Paramètres!$A$1:$I$89,3,0)*0.475*44/12</f>
        <v>1.1199685969500444</v>
      </c>
      <c r="GN112" s="21">
        <f>EXP(-LN(2)/2)*GN111+(1-EXP(-LN(2)/2))/(LN(2)/2)*GH112*GK112*VLOOKUP('Données projet'!$B$17,Paramètres!$A$1:$I$89,3,0)*0.475*44/12</f>
        <v>1.1734750873927036E-11</v>
      </c>
      <c r="GO112" s="21">
        <f t="shared" si="81"/>
        <v>2.7542278312724129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312.53389584272878</v>
      </c>
      <c r="T113" s="59">
        <f t="shared" si="88"/>
        <v>203.5274665601915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1.4988438651045075</v>
      </c>
      <c r="AA113" s="21">
        <f>EXP(-LN(2)/25)*AA112+(1-EXP(-LN(2)/25))/(LN(2)/25)*Calculateur!V113*Calculateur!X113*VLOOKUP('Données projet'!$B$9,Paramètres!$A$1:$I$89,3,0)*0.475*44/12</f>
        <v>1.0190628034298648</v>
      </c>
      <c r="AB113" s="21">
        <f>EXP(-LN(2)/2)*AB112+(1-EXP(-LN(2)/2))/(LN(2)/2)*V113*Y113*VLOOKUP('Données projet'!$B$9,Paramètres!$A$1:$I$89,3,0)*0.475*44/12</f>
        <v>7.7623850205215654E-12</v>
      </c>
      <c r="AC113" s="22">
        <f t="shared" si="57"/>
        <v>2.5179066685421345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5.6843418860808015E-14</v>
      </c>
      <c r="AJ113" s="13">
        <f>AI113*VLOOKUP('Données projet'!$B$10,Paramètres!$A$1:$I$89,3,0)*VLOOKUP('Données projet'!$B$10,Paramètres!$A$1:$I$89,5,0)</f>
        <v>4.9658410716801891E-14</v>
      </c>
      <c r="AK113" s="13">
        <f t="shared" si="89"/>
        <v>8.0934058173791862E-13</v>
      </c>
      <c r="AL113" s="20">
        <f t="shared" si="58"/>
        <v>1.4960899118586383E-12</v>
      </c>
      <c r="AM113" s="59">
        <f t="shared" si="59"/>
        <v>293.33333333333479</v>
      </c>
      <c r="AN113" s="59">
        <f ca="1">AVERAGE(OFFSET($AM$3,0,0,'Données projet'!$E$10+1,1))-AVERAGE(OFFSET($H$3,0,0,'Données projet'!$E$10+1,1))</f>
        <v>243.05628303465238</v>
      </c>
      <c r="AO113" s="59">
        <f t="shared" si="90"/>
        <v>352.47096767658394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1.6191036032124984</v>
      </c>
      <c r="AV113" s="21">
        <f>EXP(-LN(2)/25)*AV112+(1-EXP(-LN(2)/25))/(LN(2)/25)*Calculateur!AQ113*Calculateur!AS113*VLOOKUP('Données projet'!$B$10,Paramètres!$A$1:$I$89,3,0)*0.475*44/12</f>
        <v>1.9715877453642869</v>
      </c>
      <c r="AW113" s="21">
        <f>EXP(-LN(2)/2)*AW112+(1-EXP(-LN(2)/2))/(LN(2)/2)*AQ113*AT113*VLOOKUP('Données projet'!$B$10,Paramètres!$A$1:$I$89,3,0)*0.475*44/12</f>
        <v>1.0252886747428569E-11</v>
      </c>
      <c r="AX113" s="21">
        <f t="shared" si="60"/>
        <v>3.590691348587038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-2.8421709430404007E-13</v>
      </c>
      <c r="BE113" s="13">
        <f>BD113*VLOOKUP('Données projet'!$B$11,Paramètres!$A$1:$I$89,3,0)*VLOOKUP('Données projet'!$B$11,Paramètres!$A$1:$I$89,5,0)</f>
        <v>-2.2612312022829427E-13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325.72928944930294</v>
      </c>
      <c r="BJ113" s="59">
        <f t="shared" si="92"/>
        <v>318.38876834819752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3.5509058994004139</v>
      </c>
      <c r="BQ113" s="21">
        <f>EXP(-LN(2)/25)*BQ112+(1-EXP(-LN(2)/25))/(LN(2)/25)*Calculateur!BL113*Calculateur!BN113*VLOOKUP('Données projet'!$B$11,Paramètres!$A$1:$I$89,3,0)*0.475*44/12</f>
        <v>2.250360242128862</v>
      </c>
      <c r="BR113" s="21">
        <f>EXP(-LN(2)/2)*BR112+(1-EXP(-LN(2)/2))/(LN(2)/2)*BL113*BO113*VLOOKUP('Données projet'!$B$11,Paramètres!$A$1:$I$89,3,0)*0.475*44/12</f>
        <v>1.0759068603951224E-11</v>
      </c>
      <c r="BS113" s="22">
        <f t="shared" si="63"/>
        <v>5.8012661415400348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-3.4106051316484809E-13</v>
      </c>
      <c r="BZ113" s="13">
        <f>BY113*VLOOKUP('Données projet'!$B$12,Paramètres!$A$1:$I$89,3,0)*VLOOKUP('Données projet'!$B$12,Paramètres!$A$1:$I$89,5,0)</f>
        <v>-1.9065282685915009E-13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475.54809021014017</v>
      </c>
      <c r="CE113" s="59">
        <f t="shared" si="94"/>
        <v>593.51433014569966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1.5055902629816866</v>
      </c>
      <c r="CL113" s="21">
        <f>EXP(-LN(2)/25)*CL112+(1-EXP(-LN(2)/25))/(LN(2)/25)*Calculateur!CG113*Calculateur!CI113*VLOOKUP('Données projet'!$B$12,Paramètres!$A$1:$I$89,3,0)*0.475*44/12</f>
        <v>4.637011905604318</v>
      </c>
      <c r="CM113" s="21">
        <f>EXP(-LN(2)/2)*CM112+(1-EXP(-LN(2)/2))/(LN(2)/2)*CG113*CJ113*VLOOKUP('Données projet'!$B$12,Paramètres!$A$1:$I$89,3,0)*0.475*44/12</f>
        <v>1.3113056197414736E-11</v>
      </c>
      <c r="CN113" s="22">
        <f t="shared" si="66"/>
        <v>6.1426021685991179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-1.1368683772161603E-13</v>
      </c>
      <c r="CU113" s="17">
        <f>CT113*VLOOKUP('Données projet'!$B$13,Paramètres!$A$1:$I$89,3,0)*VLOOKUP('Données projet'!$B$13,Paramètres!$A$1:$I$89,5,0)</f>
        <v>-5.3205440053716299E-14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226.0452828290525</v>
      </c>
      <c r="CZ113" s="59">
        <f t="shared" si="96"/>
        <v>179.89696397462069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1.8613751994684276</v>
      </c>
      <c r="DG113" s="21">
        <f>EXP(-LN(2)/25)*DG112+(1-EXP(-LN(2)/25))/(LN(2)/25)*Calculateur!DB113*Calculateur!DD113*VLOOKUP('Données projet'!$B$13,Paramètres!$A$1:$I$89,3,0)*0.475*44/12</f>
        <v>1.2134735120168605</v>
      </c>
      <c r="DH113" s="21">
        <f>EXP(-LN(2)/2)*DH112+(1-EXP(-LN(2)/2))/(LN(2)/2)*DB113*DE113*VLOOKUP('Données projet'!$B$13,Paramètres!$A$1:$I$89,3,0)*0.475*44/12</f>
        <v>1.0043666992349627E-11</v>
      </c>
      <c r="DI113" s="22">
        <f t="shared" si="69"/>
        <v>3.0748487114953313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1.1368683772161603E-13</v>
      </c>
      <c r="DP113" s="17">
        <f>DO113*VLOOKUP('Données projet'!$B$14,Paramètres!$A$1:$I$89,3,0)*VLOOKUP('Données projet'!$B$14,Paramètres!$A$1:$I$89,5,0)</f>
        <v>6.7984728957526396E-14</v>
      </c>
      <c r="DQ113" s="13">
        <f t="shared" si="97"/>
        <v>1.0682447123141398E-12</v>
      </c>
      <c r="DR113" s="20">
        <f t="shared" si="70"/>
        <v>1.978932943548152E-12</v>
      </c>
      <c r="DS113" s="59">
        <f t="shared" si="71"/>
        <v>293.3333333333353</v>
      </c>
      <c r="DT113" s="59">
        <f ca="1">AVERAGE(OFFSET($DS$3,0,0,'Données projet'!$E$14+1,1))-AVERAGE(OFFSET($H$3,0,0,'Données projet'!$E$14+1,1))</f>
        <v>252.81045065813976</v>
      </c>
      <c r="DU113" s="59">
        <f t="shared" si="98"/>
        <v>254.36590349790589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3.7026814835135262</v>
      </c>
      <c r="EB113" s="21">
        <f>EXP(-LN(2)/25)*EB112+(1-EXP(-LN(2)/25))/(LN(2)/25)*Calculateur!DW113*Calculateur!DY113*VLOOKUP('Données projet'!$B$14,Paramètres!$A$1:$I$89,3,0)*0.475*44/12</f>
        <v>1.7548141630860699</v>
      </c>
      <c r="EC113" s="21">
        <f>EXP(-LN(2)/2)*EC112+(1-EXP(-LN(2)/2))/(LN(2)/2)*DW113*DZ113*VLOOKUP('Données projet'!$B$14,Paramètres!$A$1:$I$89,3,0)*0.475*44/12</f>
        <v>5.221758041569058E-12</v>
      </c>
      <c r="ED113" s="22">
        <f t="shared" si="72"/>
        <v>5.4574956466048175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-2.8421709430404007E-13</v>
      </c>
      <c r="EK113" s="17">
        <f>EJ113*VLOOKUP('Données projet'!$B$15,Paramètres!$A$1:$I$89,3,0)*VLOOKUP('Données projet'!$B$15,Paramètres!$A$1:$I$89,5,0)</f>
        <v>-2.0838797354372215E-13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296.91321813251051</v>
      </c>
      <c r="EP113" s="59">
        <f t="shared" si="100"/>
        <v>291.0718079639509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2.6549688578202892</v>
      </c>
      <c r="EW113" s="21">
        <f>EXP(-LN(2)/25)*EW112+(1-EXP(-LN(2)/25))/(LN(2)/25)*Calculateur!ER113*Calculateur!ET113*VLOOKUP('Données projet'!$B$15,Paramètres!$A$1:$I$89,3,0)*0.475*44/12</f>
        <v>1.6825667959091486</v>
      </c>
      <c r="EX113" s="21">
        <f>EXP(-LN(2)/2)*EX112+(1-EXP(-LN(2)/2))/(LN(2)/2)*ER113*EU113*VLOOKUP('Données projet'!$B$15,Paramètres!$A$1:$I$89,3,0)*0.475*44/12</f>
        <v>9.9152200859942892E-12</v>
      </c>
      <c r="EY113" s="22">
        <f t="shared" si="75"/>
        <v>4.3375356537393532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>
        <f>FE113*VLOOKUP('Données projet'!$B$16,Paramètres!$A$1:$I$89,3,0)*VLOOKUP('Données projet'!$B$16,Paramètres!$A$1:$I$89,5,0)</f>
        <v>0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356.65981389369125</v>
      </c>
      <c r="FK113" s="59">
        <f t="shared" si="102"/>
        <v>231.92898690465887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1.6797388143412604</v>
      </c>
      <c r="FR113" s="21">
        <f>EXP(-LN(2)/25)*FR112+(1-EXP(-LN(2)/25))/(LN(2)/25)*Calculateur!FM113*Calculateur!FO113*VLOOKUP('Données projet'!$B$16,Paramètres!$A$1:$I$89,3,0)*0.475*44/12</f>
        <v>1.1420531417748498</v>
      </c>
      <c r="FS113" s="21">
        <f>EXP(-LN(2)/2)*FS112+(1-EXP(-LN(2)/2))/(LN(2)/2)*FM113*FP113*VLOOKUP('Données projet'!$B$16,Paramètres!$A$1:$I$89,3,0)*0.475*44/12</f>
        <v>8.6992245919638236E-12</v>
      </c>
      <c r="FT113" s="22">
        <f t="shared" si="78"/>
        <v>2.8217919561248093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>
        <f>FZ113*VLOOKUP('Données projet'!$B$17,Paramètres!$A$1:$I$89,3,0)*VLOOKUP('Données projet'!$B$17,Paramètres!$A$1:$I$89,5,0)</f>
        <v>0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337.76140497227715</v>
      </c>
      <c r="GF113" s="59">
        <f t="shared" si="104"/>
        <v>219.76562717496353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1.6022124075255093</v>
      </c>
      <c r="GM113" s="21">
        <f>EXP(-LN(2)/25)*GM112+(1-EXP(-LN(2)/25))/(LN(2)/25)*Calculateur!GH113*Calculateur!GJ113*VLOOKUP('Données projet'!$B$17,Paramètres!$A$1:$I$89,3,0)*0.475*44/12</f>
        <v>1.0893429967698567</v>
      </c>
      <c r="GN113" s="21">
        <f>EXP(-LN(2)/2)*GN112+(1-EXP(-LN(2)/2))/(LN(2)/2)*GH113*GK113*VLOOKUP('Données projet'!$B$17,Paramètres!$A$1:$I$89,3,0)*0.475*44/12</f>
        <v>8.2977219184885722E-12</v>
      </c>
      <c r="GO113" s="21">
        <f t="shared" si="81"/>
        <v>2.691555404303664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312.53389584272878</v>
      </c>
      <c r="T114" s="59">
        <f t="shared" si="88"/>
        <v>203.5274665601915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1.4694524511142957</v>
      </c>
      <c r="AA114" s="21">
        <f>EXP(-LN(2)/25)*AA113+(1-EXP(-LN(2)/25))/(LN(2)/25)*Calculateur!V114*Calculateur!X114*VLOOKUP('Données projet'!$B$9,Paramètres!$A$1:$I$89,3,0)*0.475*44/12</f>
        <v>0.99119647747989137</v>
      </c>
      <c r="AB114" s="21">
        <f>EXP(-LN(2)/2)*AB113+(1-EXP(-LN(2)/2))/(LN(2)/2)*V114*Y114*VLOOKUP('Données projet'!$B$9,Paramètres!$A$1:$I$89,3,0)*0.475*44/12</f>
        <v>5.4888350861916768E-12</v>
      </c>
      <c r="AC114" s="22">
        <f t="shared" si="57"/>
        <v>2.4606489285996762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5.6843418860808015E-14</v>
      </c>
      <c r="AJ114" s="13">
        <f>AI114*VLOOKUP('Données projet'!$B$10,Paramètres!$A$1:$I$89,3,0)*VLOOKUP('Données projet'!$B$10,Paramètres!$A$1:$I$89,5,0)</f>
        <v>4.9658410716801891E-14</v>
      </c>
      <c r="AK114" s="13">
        <f t="shared" si="89"/>
        <v>8.0934058173791862E-13</v>
      </c>
      <c r="AL114" s="20">
        <f t="shared" si="58"/>
        <v>1.4960899118586383E-12</v>
      </c>
      <c r="AM114" s="59">
        <f t="shared" si="59"/>
        <v>293.33333333333479</v>
      </c>
      <c r="AN114" s="59">
        <f ca="1">AVERAGE(OFFSET($AM$3,0,0,'Données projet'!$E$10+1,1))-AVERAGE(OFFSET($H$3,0,0,'Données projet'!$E$10+1,1))</f>
        <v>243.05628303465238</v>
      </c>
      <c r="AO114" s="59">
        <f t="shared" si="90"/>
        <v>352.47096767658394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1.5873539691091862</v>
      </c>
      <c r="AV114" s="21">
        <f>EXP(-LN(2)/25)*AV113+(1-EXP(-LN(2)/25))/(LN(2)/25)*Calculateur!AQ114*Calculateur!AS114*VLOOKUP('Données projet'!$B$10,Paramètres!$A$1:$I$89,3,0)*0.475*44/12</f>
        <v>1.9176745747860071</v>
      </c>
      <c r="AW114" s="21">
        <f>EXP(-LN(2)/2)*AW113+(1-EXP(-LN(2)/2))/(LN(2)/2)*AQ114*AT114*VLOOKUP('Données projet'!$B$10,Paramètres!$A$1:$I$89,3,0)*0.475*44/12</f>
        <v>7.2498857458444266E-12</v>
      </c>
      <c r="AX114" s="21">
        <f t="shared" si="60"/>
        <v>3.5050285439024429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-2.8421709430404007E-13</v>
      </c>
      <c r="BE114" s="13">
        <f>BD114*VLOOKUP('Données projet'!$B$11,Paramètres!$A$1:$I$89,3,0)*VLOOKUP('Données projet'!$B$11,Paramètres!$A$1:$I$89,5,0)</f>
        <v>-2.2612312022829427E-13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325.72928944930294</v>
      </c>
      <c r="BJ114" s="59">
        <f t="shared" si="92"/>
        <v>318.38876834819752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3.4812748005519114</v>
      </c>
      <c r="BQ114" s="21">
        <f>EXP(-LN(2)/25)*BQ113+(1-EXP(-LN(2)/25))/(LN(2)/25)*Calculateur!BL114*Calculateur!BN114*VLOOKUP('Données projet'!$B$11,Paramètres!$A$1:$I$89,3,0)*0.475*44/12</f>
        <v>2.1888240229665463</v>
      </c>
      <c r="BR114" s="21">
        <f>EXP(-LN(2)/2)*BR113+(1-EXP(-LN(2)/2))/(LN(2)/2)*BL114*BO114*VLOOKUP('Données projet'!$B$11,Paramètres!$A$1:$I$89,3,0)*0.475*44/12</f>
        <v>7.6078103691051914E-12</v>
      </c>
      <c r="BS114" s="22">
        <f t="shared" si="63"/>
        <v>5.6700988235260663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-3.4106051316484809E-13</v>
      </c>
      <c r="BZ114" s="13">
        <f>BY114*VLOOKUP('Données projet'!$B$12,Paramètres!$A$1:$I$89,3,0)*VLOOKUP('Données projet'!$B$12,Paramètres!$A$1:$I$89,5,0)</f>
        <v>-1.9065282685915009E-13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475.54809021014017</v>
      </c>
      <c r="CE114" s="59">
        <f t="shared" si="94"/>
        <v>593.51433014569966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1.4760665562439996</v>
      </c>
      <c r="CL114" s="21">
        <f>EXP(-LN(2)/25)*CL113+(1-EXP(-LN(2)/25))/(LN(2)/25)*Calculateur!CG114*Calculateur!CI114*VLOOKUP('Données projet'!$B$12,Paramètres!$A$1:$I$89,3,0)*0.475*44/12</f>
        <v>4.5102125711957095</v>
      </c>
      <c r="CM114" s="21">
        <f>EXP(-LN(2)/2)*CM113+(1-EXP(-LN(2)/2))/(LN(2)/2)*CG114*CJ114*VLOOKUP('Données projet'!$B$12,Paramètres!$A$1:$I$89,3,0)*0.475*44/12</f>
        <v>9.2723309592722428E-12</v>
      </c>
      <c r="CN114" s="22">
        <f t="shared" si="66"/>
        <v>5.9862791274489817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-1.1368683772161603E-13</v>
      </c>
      <c r="CU114" s="17">
        <f>CT114*VLOOKUP('Données projet'!$B$13,Paramètres!$A$1:$I$89,3,0)*VLOOKUP('Données projet'!$B$13,Paramètres!$A$1:$I$89,5,0)</f>
        <v>-5.3205440053716299E-14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226.0452828290525</v>
      </c>
      <c r="CZ114" s="59">
        <f t="shared" si="96"/>
        <v>179.89696397462069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1.8248747671336192</v>
      </c>
      <c r="DG114" s="21">
        <f>EXP(-LN(2)/25)*DG113+(1-EXP(-LN(2)/25))/(LN(2)/25)*Calculateur!DB114*Calculateur!DD114*VLOOKUP('Données projet'!$B$13,Paramètres!$A$1:$I$89,3,0)*0.475*44/12</f>
        <v>1.1802910150169608</v>
      </c>
      <c r="DH114" s="21">
        <f>EXP(-LN(2)/2)*DH113+(1-EXP(-LN(2)/2))/(LN(2)/2)*DB114*DE114*VLOOKUP('Données projet'!$B$13,Paramètres!$A$1:$I$89,3,0)*0.475*44/12</f>
        <v>7.1019450382699182E-12</v>
      </c>
      <c r="DI114" s="22">
        <f t="shared" si="69"/>
        <v>3.0051657821576816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1.1368683772161603E-13</v>
      </c>
      <c r="DP114" s="17">
        <f>DO114*VLOOKUP('Données projet'!$B$14,Paramètres!$A$1:$I$89,3,0)*VLOOKUP('Données projet'!$B$14,Paramètres!$A$1:$I$89,5,0)</f>
        <v>6.7984728957526396E-14</v>
      </c>
      <c r="DQ114" s="13">
        <f t="shared" si="97"/>
        <v>1.0682447123141398E-12</v>
      </c>
      <c r="DR114" s="20">
        <f t="shared" si="70"/>
        <v>1.978932943548152E-12</v>
      </c>
      <c r="DS114" s="59">
        <f t="shared" si="71"/>
        <v>293.3333333333353</v>
      </c>
      <c r="DT114" s="59">
        <f ca="1">AVERAGE(OFFSET($DS$3,0,0,'Données projet'!$E$14+1,1))-AVERAGE(OFFSET($H$3,0,0,'Données projet'!$E$14+1,1))</f>
        <v>252.81045065813976</v>
      </c>
      <c r="DU114" s="59">
        <f t="shared" si="98"/>
        <v>254.36590349790589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3.6300741580345313</v>
      </c>
      <c r="EB114" s="21">
        <f>EXP(-LN(2)/25)*EB113+(1-EXP(-LN(2)/25))/(LN(2)/25)*Calculateur!DW114*Calculateur!DY114*VLOOKUP('Données projet'!$B$14,Paramètres!$A$1:$I$89,3,0)*0.475*44/12</f>
        <v>1.7068286775148152</v>
      </c>
      <c r="EC114" s="21">
        <f>EXP(-LN(2)/2)*EC113+(1-EXP(-LN(2)/2))/(LN(2)/2)*DW114*DZ114*VLOOKUP('Données projet'!$B$14,Paramètres!$A$1:$I$89,3,0)*0.475*44/12</f>
        <v>3.6923405209088668E-12</v>
      </c>
      <c r="ED114" s="22">
        <f t="shared" si="72"/>
        <v>5.3369028355530386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-2.8421709430404007E-13</v>
      </c>
      <c r="EK114" s="17">
        <f>EJ114*VLOOKUP('Données projet'!$B$15,Paramètres!$A$1:$I$89,3,0)*VLOOKUP('Données projet'!$B$15,Paramètres!$A$1:$I$89,5,0)</f>
        <v>-2.0838797354372215E-13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296.91321813251051</v>
      </c>
      <c r="EP114" s="59">
        <f t="shared" si="100"/>
        <v>291.0718079639509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2.6029065378895369</v>
      </c>
      <c r="EW114" s="21">
        <f>EXP(-LN(2)/25)*EW113+(1-EXP(-LN(2)/25))/(LN(2)/25)*Calculateur!ER114*Calculateur!ET114*VLOOKUP('Données projet'!$B$15,Paramètres!$A$1:$I$89,3,0)*0.475*44/12</f>
        <v>1.6365569183926707</v>
      </c>
      <c r="EX114" s="21">
        <f>EXP(-LN(2)/2)*EX113+(1-EXP(-LN(2)/2))/(LN(2)/2)*ER114*EU114*VLOOKUP('Données projet'!$B$15,Paramètres!$A$1:$I$89,3,0)*0.475*44/12</f>
        <v>7.0111193597636249E-12</v>
      </c>
      <c r="EY114" s="22">
        <f t="shared" si="75"/>
        <v>4.2394634562892186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>
        <f>FE114*VLOOKUP('Données projet'!$B$16,Paramètres!$A$1:$I$89,3,0)*VLOOKUP('Données projet'!$B$16,Paramètres!$A$1:$I$89,5,0)</f>
        <v>0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356.65981389369125</v>
      </c>
      <c r="FK114" s="59">
        <f t="shared" si="102"/>
        <v>231.92898690465887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1.6468001607315401</v>
      </c>
      <c r="FR114" s="21">
        <f>EXP(-LN(2)/25)*FR113+(1-EXP(-LN(2)/25))/(LN(2)/25)*Calculateur!FM114*Calculateur!FO114*VLOOKUP('Données projet'!$B$16,Paramètres!$A$1:$I$89,3,0)*0.475*44/12</f>
        <v>1.1108236385550521</v>
      </c>
      <c r="FS114" s="21">
        <f>EXP(-LN(2)/2)*FS113+(1-EXP(-LN(2)/2))/(LN(2)/2)*FM114*FP114*VLOOKUP('Données projet'!$B$16,Paramètres!$A$1:$I$89,3,0)*0.475*44/12</f>
        <v>6.1512807000423967E-12</v>
      </c>
      <c r="FT114" s="22">
        <f t="shared" si="78"/>
        <v>2.7576237992927433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>
        <f>FZ114*VLOOKUP('Données projet'!$B$17,Paramètres!$A$1:$I$89,3,0)*VLOOKUP('Données projet'!$B$17,Paramètres!$A$1:$I$89,5,0)</f>
        <v>0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337.76140497227715</v>
      </c>
      <c r="GF114" s="59">
        <f t="shared" si="104"/>
        <v>219.76562717496353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1.570793999467007</v>
      </c>
      <c r="GM114" s="21">
        <f>EXP(-LN(2)/25)*GM113+(1-EXP(-LN(2)/25))/(LN(2)/25)*Calculateur!GH114*Calculateur!GJ114*VLOOKUP('Données projet'!$B$17,Paramètres!$A$1:$I$89,3,0)*0.475*44/12</f>
        <v>1.0595548552371266</v>
      </c>
      <c r="GN114" s="21">
        <f>EXP(-LN(2)/2)*GN113+(1-EXP(-LN(2)/2))/(LN(2)/2)*GH114*GK114*VLOOKUP('Données projet'!$B$17,Paramètres!$A$1:$I$89,3,0)*0.475*44/12</f>
        <v>5.8673754369635182E-12</v>
      </c>
      <c r="GO114" s="21">
        <f t="shared" si="81"/>
        <v>2.6303488547100011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312.53389584272878</v>
      </c>
      <c r="T115" s="59">
        <f t="shared" si="88"/>
        <v>203.5274665601915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1.4406373848254395</v>
      </c>
      <c r="AA115" s="21">
        <f>EXP(-LN(2)/25)*AA114+(1-EXP(-LN(2)/25))/(LN(2)/25)*Calculateur!V115*Calculateur!X115*VLOOKUP('Données projet'!$B$9,Paramètres!$A$1:$I$89,3,0)*0.475*44/12</f>
        <v>0.96409215767844636</v>
      </c>
      <c r="AB115" s="21">
        <f>EXP(-LN(2)/2)*AB114+(1-EXP(-LN(2)/2))/(LN(2)/2)*V115*Y115*VLOOKUP('Données projet'!$B$9,Paramètres!$A$1:$I$89,3,0)*0.475*44/12</f>
        <v>3.8811925102607827E-12</v>
      </c>
      <c r="AC115" s="22">
        <f t="shared" si="57"/>
        <v>2.4047295425077673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5.6843418860808015E-14</v>
      </c>
      <c r="AJ115" s="13">
        <f>AI115*VLOOKUP('Données projet'!$B$10,Paramètres!$A$1:$I$89,3,0)*VLOOKUP('Données projet'!$B$10,Paramètres!$A$1:$I$89,5,0)</f>
        <v>4.9658410716801891E-14</v>
      </c>
      <c r="AK115" s="13">
        <f t="shared" si="89"/>
        <v>8.0934058173791862E-13</v>
      </c>
      <c r="AL115" s="20">
        <f t="shared" si="58"/>
        <v>1.4960899118586383E-12</v>
      </c>
      <c r="AM115" s="59">
        <f t="shared" si="59"/>
        <v>293.33333333333479</v>
      </c>
      <c r="AN115" s="59">
        <f ca="1">AVERAGE(OFFSET($AM$3,0,0,'Données projet'!$E$10+1,1))-AVERAGE(OFFSET($H$3,0,0,'Données projet'!$E$10+1,1))</f>
        <v>243.05628303465238</v>
      </c>
      <c r="AO115" s="59">
        <f t="shared" si="90"/>
        <v>352.47096767658394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1.5562269259652755</v>
      </c>
      <c r="AV115" s="21">
        <f>EXP(-LN(2)/25)*AV114+(1-EXP(-LN(2)/25))/(LN(2)/25)*Calculateur!AQ115*Calculateur!AS115*VLOOKUP('Données projet'!$B$10,Paramètres!$A$1:$I$89,3,0)*0.475*44/12</f>
        <v>1.8652356626923607</v>
      </c>
      <c r="AW115" s="21">
        <f>EXP(-LN(2)/2)*AW114+(1-EXP(-LN(2)/2))/(LN(2)/2)*AQ115*AT115*VLOOKUP('Données projet'!$B$10,Paramètres!$A$1:$I$89,3,0)*0.475*44/12</f>
        <v>5.1264433737142855E-12</v>
      </c>
      <c r="AX115" s="21">
        <f t="shared" si="60"/>
        <v>3.421462588662763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-2.8421709430404007E-13</v>
      </c>
      <c r="BE115" s="13">
        <f>BD115*VLOOKUP('Données projet'!$B$11,Paramètres!$A$1:$I$89,3,0)*VLOOKUP('Données projet'!$B$11,Paramètres!$A$1:$I$89,5,0)</f>
        <v>-2.2612312022829427E-13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325.72928944930294</v>
      </c>
      <c r="BJ115" s="59">
        <f t="shared" si="92"/>
        <v>318.38876834819752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3.4130091250810515</v>
      </c>
      <c r="BQ115" s="21">
        <f>EXP(-LN(2)/25)*BQ114+(1-EXP(-LN(2)/25))/(LN(2)/25)*Calculateur!BL115*Calculateur!BN115*VLOOKUP('Données projet'!$B$11,Paramètres!$A$1:$I$89,3,0)*0.475*44/12</f>
        <v>2.1289705149532732</v>
      </c>
      <c r="BR115" s="21">
        <f>EXP(-LN(2)/2)*BR114+(1-EXP(-LN(2)/2))/(LN(2)/2)*BL115*BO115*VLOOKUP('Données projet'!$B$11,Paramètres!$A$1:$I$89,3,0)*0.475*44/12</f>
        <v>5.3795343019756121E-12</v>
      </c>
      <c r="BS115" s="22">
        <f t="shared" si="63"/>
        <v>5.5419796400397043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-3.4106051316484809E-13</v>
      </c>
      <c r="BZ115" s="13">
        <f>BY115*VLOOKUP('Données projet'!$B$12,Paramètres!$A$1:$I$89,3,0)*VLOOKUP('Données projet'!$B$12,Paramètres!$A$1:$I$89,5,0)</f>
        <v>-1.9065282685915009E-13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475.54809021014017</v>
      </c>
      <c r="CE115" s="59">
        <f t="shared" si="94"/>
        <v>593.51433014569966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1.4471217913877557</v>
      </c>
      <c r="CL115" s="21">
        <f>EXP(-LN(2)/25)*CL114+(1-EXP(-LN(2)/25))/(LN(2)/25)*Calculateur!CG115*Calculateur!CI115*VLOOKUP('Données projet'!$B$12,Paramètres!$A$1:$I$89,3,0)*0.475*44/12</f>
        <v>4.3868805712545917</v>
      </c>
      <c r="CM115" s="21">
        <f>EXP(-LN(2)/2)*CM114+(1-EXP(-LN(2)/2))/(LN(2)/2)*CG115*CJ115*VLOOKUP('Données projet'!$B$12,Paramètres!$A$1:$I$89,3,0)*0.475*44/12</f>
        <v>6.5565280987073682E-12</v>
      </c>
      <c r="CN115" s="22">
        <f t="shared" si="66"/>
        <v>5.8340023626489037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-1.1368683772161603E-13</v>
      </c>
      <c r="CU115" s="17">
        <f>CT115*VLOOKUP('Données projet'!$B$13,Paramètres!$A$1:$I$89,3,0)*VLOOKUP('Données projet'!$B$13,Paramètres!$A$1:$I$89,5,0)</f>
        <v>-5.3205440053716299E-14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226.0452828290525</v>
      </c>
      <c r="CZ115" s="59">
        <f t="shared" si="96"/>
        <v>179.89696397462069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1.789090086013831</v>
      </c>
      <c r="DG115" s="21">
        <f>EXP(-LN(2)/25)*DG114+(1-EXP(-LN(2)/25))/(LN(2)/25)*Calculateur!DB115*Calculateur!DD115*VLOOKUP('Données projet'!$B$13,Paramètres!$A$1:$I$89,3,0)*0.475*44/12</f>
        <v>1.148015895142515</v>
      </c>
      <c r="DH115" s="21">
        <f>EXP(-LN(2)/2)*DH114+(1-EXP(-LN(2)/2))/(LN(2)/2)*DB115*DE115*VLOOKUP('Données projet'!$B$13,Paramètres!$A$1:$I$89,3,0)*0.475*44/12</f>
        <v>5.0218334961748141E-12</v>
      </c>
      <c r="DI115" s="22">
        <f t="shared" si="69"/>
        <v>2.937105981161368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1.1368683772161603E-13</v>
      </c>
      <c r="DP115" s="17">
        <f>DO115*VLOOKUP('Données projet'!$B$14,Paramètres!$A$1:$I$89,3,0)*VLOOKUP('Données projet'!$B$14,Paramètres!$A$1:$I$89,5,0)</f>
        <v>6.7984728957526396E-14</v>
      </c>
      <c r="DQ115" s="13">
        <f t="shared" si="97"/>
        <v>1.0682447123141398E-12</v>
      </c>
      <c r="DR115" s="20">
        <f t="shared" si="70"/>
        <v>1.978932943548152E-12</v>
      </c>
      <c r="DS115" s="59">
        <f t="shared" si="71"/>
        <v>293.3333333333353</v>
      </c>
      <c r="DT115" s="59">
        <f ca="1">AVERAGE(OFFSET($DS$3,0,0,'Données projet'!$E$14+1,1))-AVERAGE(OFFSET($H$3,0,0,'Données projet'!$E$14+1,1))</f>
        <v>252.81045065813976</v>
      </c>
      <c r="DU115" s="59">
        <f t="shared" si="98"/>
        <v>254.36590349790589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3.5588906179220836</v>
      </c>
      <c r="EB115" s="21">
        <f>EXP(-LN(2)/25)*EB114+(1-EXP(-LN(2)/25))/(LN(2)/25)*Calculateur!DW115*Calculateur!DY115*VLOOKUP('Données projet'!$B$14,Paramètres!$A$1:$I$89,3,0)*0.475*44/12</f>
        <v>1.6601553575699535</v>
      </c>
      <c r="EC115" s="21">
        <f>EXP(-LN(2)/2)*EC114+(1-EXP(-LN(2)/2))/(LN(2)/2)*DW115*DZ115*VLOOKUP('Données projet'!$B$14,Paramètres!$A$1:$I$89,3,0)*0.475*44/12</f>
        <v>2.610879020784529E-12</v>
      </c>
      <c r="ED115" s="22">
        <f t="shared" si="72"/>
        <v>5.2190459754946481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-2.8421709430404007E-13</v>
      </c>
      <c r="EK115" s="17">
        <f>EJ115*VLOOKUP('Données projet'!$B$15,Paramètres!$A$1:$I$89,3,0)*VLOOKUP('Données projet'!$B$15,Paramètres!$A$1:$I$89,5,0)</f>
        <v>-2.0838797354372215E-13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296.91321813251051</v>
      </c>
      <c r="EP115" s="59">
        <f t="shared" si="100"/>
        <v>291.0718079639509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2.5518651282977469</v>
      </c>
      <c r="EW115" s="21">
        <f>EXP(-LN(2)/25)*EW114+(1-EXP(-LN(2)/25))/(LN(2)/25)*Calculateur!ER115*Calculateur!ET115*VLOOKUP('Données projet'!$B$15,Paramètres!$A$1:$I$89,3,0)*0.475*44/12</f>
        <v>1.5918051833964353</v>
      </c>
      <c r="EX115" s="21">
        <f>EXP(-LN(2)/2)*EX114+(1-EXP(-LN(2)/2))/(LN(2)/2)*ER115*EU115*VLOOKUP('Données projet'!$B$15,Paramètres!$A$1:$I$89,3,0)*0.475*44/12</f>
        <v>4.9576100429971446E-12</v>
      </c>
      <c r="EY115" s="22">
        <f t="shared" si="75"/>
        <v>4.1436703116991396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>
        <f>FE115*VLOOKUP('Données projet'!$B$16,Paramètres!$A$1:$I$89,3,0)*VLOOKUP('Données projet'!$B$16,Paramètres!$A$1:$I$89,5,0)</f>
        <v>0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356.65981389369125</v>
      </c>
      <c r="FK115" s="59">
        <f t="shared" si="102"/>
        <v>231.92898690465887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1.6145074140285116</v>
      </c>
      <c r="FR115" s="21">
        <f>EXP(-LN(2)/25)*FR114+(1-EXP(-LN(2)/25))/(LN(2)/25)*Calculateur!FM115*Calculateur!FO115*VLOOKUP('Données projet'!$B$16,Paramètres!$A$1:$I$89,3,0)*0.475*44/12</f>
        <v>1.0804481077430879</v>
      </c>
      <c r="FS115" s="21">
        <f>EXP(-LN(2)/2)*FS114+(1-EXP(-LN(2)/2))/(LN(2)/2)*FM115*FP115*VLOOKUP('Données projet'!$B$16,Paramètres!$A$1:$I$89,3,0)*0.475*44/12</f>
        <v>4.3496122959819118E-12</v>
      </c>
      <c r="FT115" s="22">
        <f t="shared" si="78"/>
        <v>2.6949555217759489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>
        <f>FZ115*VLOOKUP('Données projet'!$B$17,Paramètres!$A$1:$I$89,3,0)*VLOOKUP('Données projet'!$B$17,Paramètres!$A$1:$I$89,5,0)</f>
        <v>0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337.76140497227715</v>
      </c>
      <c r="GF115" s="59">
        <f t="shared" si="104"/>
        <v>219.76562717496353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1.5399916872271953</v>
      </c>
      <c r="GM115" s="21">
        <f>EXP(-LN(2)/25)*GM114+(1-EXP(-LN(2)/25))/(LN(2)/25)*Calculateur!GH115*Calculateur!GJ115*VLOOKUP('Données projet'!$B$17,Paramètres!$A$1:$I$89,3,0)*0.475*44/12</f>
        <v>1.0305812720010992</v>
      </c>
      <c r="GN115" s="21">
        <f>EXP(-LN(2)/2)*GN114+(1-EXP(-LN(2)/2))/(LN(2)/2)*GH115*GK115*VLOOKUP('Données projet'!$B$17,Paramètres!$A$1:$I$89,3,0)*0.475*44/12</f>
        <v>4.1488609592442861E-12</v>
      </c>
      <c r="GO115" s="21">
        <f t="shared" si="81"/>
        <v>2.5705729592324431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312.53389584272878</v>
      </c>
      <c r="T116" s="59">
        <f t="shared" si="88"/>
        <v>203.5274665601915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1.4123873644110527</v>
      </c>
      <c r="AA116" s="21">
        <f>EXP(-LN(2)/25)*AA115+(1-EXP(-LN(2)/25))/(LN(2)/25)*Calculateur!V116*Calculateur!X116*VLOOKUP('Données projet'!$B$9,Paramètres!$A$1:$I$89,3,0)*0.475*44/12</f>
        <v>0.93772900692732608</v>
      </c>
      <c r="AB116" s="21">
        <f>EXP(-LN(2)/2)*AB115+(1-EXP(-LN(2)/2))/(LN(2)/2)*V116*Y116*VLOOKUP('Données projet'!$B$9,Paramètres!$A$1:$I$89,3,0)*0.475*44/12</f>
        <v>2.7444175430958384E-12</v>
      </c>
      <c r="AC116" s="22">
        <f t="shared" si="57"/>
        <v>2.3501163713411231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5.6843418860808015E-14</v>
      </c>
      <c r="AJ116" s="13">
        <f>AI116*VLOOKUP('Données projet'!$B$10,Paramètres!$A$1:$I$89,3,0)*VLOOKUP('Données projet'!$B$10,Paramètres!$A$1:$I$89,5,0)</f>
        <v>4.9658410716801891E-14</v>
      </c>
      <c r="AK116" s="13">
        <f t="shared" si="89"/>
        <v>8.0934058173791862E-13</v>
      </c>
      <c r="AL116" s="20">
        <f t="shared" si="58"/>
        <v>1.4960899118586383E-12</v>
      </c>
      <c r="AM116" s="59">
        <f t="shared" si="59"/>
        <v>293.33333333333479</v>
      </c>
      <c r="AN116" s="59">
        <f ca="1">AVERAGE(OFFSET($AM$3,0,0,'Données projet'!$E$10+1,1))-AVERAGE(OFFSET($H$3,0,0,'Données projet'!$E$10+1,1))</f>
        <v>243.05628303465238</v>
      </c>
      <c r="AO116" s="59">
        <f t="shared" si="90"/>
        <v>352.47096767658394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1.5257102651517951</v>
      </c>
      <c r="AV116" s="21">
        <f>EXP(-LN(2)/25)*AV115+(1-EXP(-LN(2)/25))/(LN(2)/25)*Calculateur!AQ116*Calculateur!AS116*VLOOKUP('Données projet'!$B$10,Paramètres!$A$1:$I$89,3,0)*0.475*44/12</f>
        <v>1.8142306954075578</v>
      </c>
      <c r="AW116" s="21">
        <f>EXP(-LN(2)/2)*AW115+(1-EXP(-LN(2)/2))/(LN(2)/2)*AQ116*AT116*VLOOKUP('Données projet'!$B$10,Paramètres!$A$1:$I$89,3,0)*0.475*44/12</f>
        <v>3.6249428729222141E-12</v>
      </c>
      <c r="AX116" s="21">
        <f t="shared" si="60"/>
        <v>3.339940960562978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-2.8421709430404007E-13</v>
      </c>
      <c r="BE116" s="13">
        <f>BD116*VLOOKUP('Données projet'!$B$11,Paramètres!$A$1:$I$89,3,0)*VLOOKUP('Données projet'!$B$11,Paramètres!$A$1:$I$89,5,0)</f>
        <v>-2.2612312022829427E-13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325.72928944930294</v>
      </c>
      <c r="BJ116" s="59">
        <f t="shared" si="92"/>
        <v>318.38876834819752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3.3460820978682246</v>
      </c>
      <c r="BQ116" s="21">
        <f>EXP(-LN(2)/25)*BQ115+(1-EXP(-LN(2)/25))/(LN(2)/25)*Calculateur!BL116*Calculateur!BN116*VLOOKUP('Données projet'!$B$11,Paramètres!$A$1:$I$89,3,0)*0.475*44/12</f>
        <v>2.0707537042641824</v>
      </c>
      <c r="BR116" s="21">
        <f>EXP(-LN(2)/2)*BR115+(1-EXP(-LN(2)/2))/(LN(2)/2)*BL116*BO116*VLOOKUP('Données projet'!$B$11,Paramètres!$A$1:$I$89,3,0)*0.475*44/12</f>
        <v>3.8039051845525957E-12</v>
      </c>
      <c r="BS116" s="22">
        <f t="shared" si="63"/>
        <v>5.4168358021362115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-3.4106051316484809E-13</v>
      </c>
      <c r="BZ116" s="13">
        <f>BY116*VLOOKUP('Données projet'!$B$12,Paramètres!$A$1:$I$89,3,0)*VLOOKUP('Données projet'!$B$12,Paramètres!$A$1:$I$89,5,0)</f>
        <v>-1.9065282685915009E-13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475.54809021014017</v>
      </c>
      <c r="CE116" s="59">
        <f t="shared" si="94"/>
        <v>593.51433014569966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1.4187446157157793</v>
      </c>
      <c r="CL116" s="21">
        <f>EXP(-LN(2)/25)*CL115+(1-EXP(-LN(2)/25))/(LN(2)/25)*Calculateur!CG116*Calculateur!CI116*VLOOKUP('Données projet'!$B$12,Paramètres!$A$1:$I$89,3,0)*0.475*44/12</f>
        <v>4.2669210913376121</v>
      </c>
      <c r="CM116" s="21">
        <f>EXP(-LN(2)/2)*CM115+(1-EXP(-LN(2)/2))/(LN(2)/2)*CG116*CJ116*VLOOKUP('Données projet'!$B$12,Paramètres!$A$1:$I$89,3,0)*0.475*44/12</f>
        <v>4.6361654796361214E-12</v>
      </c>
      <c r="CN116" s="22">
        <f t="shared" si="66"/>
        <v>5.6856657070580274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-1.1368683772161603E-13</v>
      </c>
      <c r="CU116" s="17">
        <f>CT116*VLOOKUP('Données projet'!$B$13,Paramètres!$A$1:$I$89,3,0)*VLOOKUP('Données projet'!$B$13,Paramètres!$A$1:$I$89,5,0)</f>
        <v>-5.3205440053716299E-14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226.0452828290525</v>
      </c>
      <c r="CZ116" s="59">
        <f t="shared" si="96"/>
        <v>179.89696397462069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1.7540071206643015</v>
      </c>
      <c r="DG116" s="21">
        <f>EXP(-LN(2)/25)*DG115+(1-EXP(-LN(2)/25))/(LN(2)/25)*Calculateur!DB116*Calculateur!DD116*VLOOKUP('Données projet'!$B$13,Paramètres!$A$1:$I$89,3,0)*0.475*44/12</f>
        <v>1.1166233401183108</v>
      </c>
      <c r="DH116" s="21">
        <f>EXP(-LN(2)/2)*DH115+(1-EXP(-LN(2)/2))/(LN(2)/2)*DB116*DE116*VLOOKUP('Données projet'!$B$13,Paramètres!$A$1:$I$89,3,0)*0.475*44/12</f>
        <v>3.5509725191349595E-12</v>
      </c>
      <c r="DI116" s="22">
        <f t="shared" si="69"/>
        <v>2.8706304607861632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1.1368683772161603E-13</v>
      </c>
      <c r="DP116" s="17">
        <f>DO116*VLOOKUP('Données projet'!$B$14,Paramètres!$A$1:$I$89,3,0)*VLOOKUP('Données projet'!$B$14,Paramètres!$A$1:$I$89,5,0)</f>
        <v>6.7984728957526396E-14</v>
      </c>
      <c r="DQ116" s="13">
        <f t="shared" si="97"/>
        <v>1.0682447123141398E-12</v>
      </c>
      <c r="DR116" s="20">
        <f t="shared" si="70"/>
        <v>1.978932943548152E-12</v>
      </c>
      <c r="DS116" s="59">
        <f t="shared" si="71"/>
        <v>293.3333333333353</v>
      </c>
      <c r="DT116" s="59">
        <f ca="1">AVERAGE(OFFSET($DS$3,0,0,'Données projet'!$E$14+1,1))-AVERAGE(OFFSET($H$3,0,0,'Données projet'!$E$14+1,1))</f>
        <v>252.81045065813976</v>
      </c>
      <c r="DU116" s="59">
        <f t="shared" si="98"/>
        <v>254.36590349790589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3.489102943613569</v>
      </c>
      <c r="EB116" s="21">
        <f>EXP(-LN(2)/25)*EB115+(1-EXP(-LN(2)/25))/(LN(2)/25)*Calculateur!DW116*Calculateur!DY116*VLOOKUP('Données projet'!$B$14,Paramètres!$A$1:$I$89,3,0)*0.475*44/12</f>
        <v>1.6147583220134272</v>
      </c>
      <c r="EC116" s="21">
        <f>EXP(-LN(2)/2)*EC115+(1-EXP(-LN(2)/2))/(LN(2)/2)*DW116*DZ116*VLOOKUP('Données projet'!$B$14,Paramètres!$A$1:$I$89,3,0)*0.475*44/12</f>
        <v>1.8461702604544334E-12</v>
      </c>
      <c r="ED116" s="22">
        <f t="shared" si="72"/>
        <v>5.1038612656288427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-2.8421709430404007E-13</v>
      </c>
      <c r="EK116" s="17">
        <f>EJ116*VLOOKUP('Données projet'!$B$15,Paramètres!$A$1:$I$89,3,0)*VLOOKUP('Données projet'!$B$15,Paramètres!$A$1:$I$89,5,0)</f>
        <v>-2.0838797354372215E-13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296.91321813251051</v>
      </c>
      <c r="EP116" s="59">
        <f t="shared" si="100"/>
        <v>291.0718079639509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2.5018246096158663</v>
      </c>
      <c r="EW116" s="21">
        <f>EXP(-LN(2)/25)*EW115+(1-EXP(-LN(2)/25))/(LN(2)/25)*Calculateur!ER116*Calculateur!ET116*VLOOKUP('Données projet'!$B$15,Paramètres!$A$1:$I$89,3,0)*0.475*44/12</f>
        <v>1.5482771869470633</v>
      </c>
      <c r="EX116" s="21">
        <f>EXP(-LN(2)/2)*EX115+(1-EXP(-LN(2)/2))/(LN(2)/2)*ER116*EU116*VLOOKUP('Données projet'!$B$15,Paramètres!$A$1:$I$89,3,0)*0.475*44/12</f>
        <v>3.5055596798818124E-12</v>
      </c>
      <c r="EY116" s="22">
        <f t="shared" si="75"/>
        <v>4.0501017965664348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>
        <f>FE116*VLOOKUP('Données projet'!$B$16,Paramètres!$A$1:$I$89,3,0)*VLOOKUP('Données projet'!$B$16,Paramètres!$A$1:$I$89,5,0)</f>
        <v>0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356.65981389369125</v>
      </c>
      <c r="FK116" s="59">
        <f t="shared" si="102"/>
        <v>231.92898690465887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1.5828479083916989</v>
      </c>
      <c r="FR116" s="21">
        <f>EXP(-LN(2)/25)*FR115+(1-EXP(-LN(2)/25))/(LN(2)/25)*Calculateur!FM116*Calculateur!FO116*VLOOKUP('Données projet'!$B$16,Paramètres!$A$1:$I$89,3,0)*0.475*44/12</f>
        <v>1.0509031974185565</v>
      </c>
      <c r="FS116" s="21">
        <f>EXP(-LN(2)/2)*FS115+(1-EXP(-LN(2)/2))/(LN(2)/2)*FM116*FP116*VLOOKUP('Données projet'!$B$16,Paramètres!$A$1:$I$89,3,0)*0.475*44/12</f>
        <v>3.0756403500211983E-12</v>
      </c>
      <c r="FT116" s="22">
        <f t="shared" si="78"/>
        <v>2.6337511058133312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>
        <f>FZ116*VLOOKUP('Données projet'!$B$17,Paramètres!$A$1:$I$89,3,0)*VLOOKUP('Données projet'!$B$17,Paramètres!$A$1:$I$89,5,0)</f>
        <v>0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337.76140497227715</v>
      </c>
      <c r="GF116" s="59">
        <f t="shared" si="104"/>
        <v>219.76562717496353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1.5097933895428508</v>
      </c>
      <c r="GM116" s="21">
        <f>EXP(-LN(2)/25)*GM115+(1-EXP(-LN(2)/25))/(LN(2)/25)*Calculateur!GH116*Calculateur!GJ116*VLOOKUP('Données projet'!$B$17,Paramètres!$A$1:$I$89,3,0)*0.475*44/12</f>
        <v>1.0023999729223154</v>
      </c>
      <c r="GN116" s="21">
        <f>EXP(-LN(2)/2)*GN115+(1-EXP(-LN(2)/2))/(LN(2)/2)*GH116*GK116*VLOOKUP('Données projet'!$B$17,Paramètres!$A$1:$I$89,3,0)*0.475*44/12</f>
        <v>2.9336877184817591E-12</v>
      </c>
      <c r="GO116" s="21">
        <f t="shared" si="81"/>
        <v>2.5121933624680999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312.53389584272878</v>
      </c>
      <c r="T117" s="59">
        <f t="shared" si="88"/>
        <v>203.5274665601915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1.384691309666181</v>
      </c>
      <c r="AA117" s="21">
        <f>EXP(-LN(2)/25)*AA116+(1-EXP(-LN(2)/25))/(LN(2)/25)*Calculateur!V117*Calculateur!X117*VLOOKUP('Données projet'!$B$9,Paramètres!$A$1:$I$89,3,0)*0.475*44/12</f>
        <v>0.91208675791987304</v>
      </c>
      <c r="AB117" s="21">
        <f>EXP(-LN(2)/2)*AB116+(1-EXP(-LN(2)/2))/(LN(2)/2)*V117*Y117*VLOOKUP('Données projet'!$B$9,Paramètres!$A$1:$I$89,3,0)*0.475*44/12</f>
        <v>1.9405962551303913E-12</v>
      </c>
      <c r="AC117" s="22">
        <f t="shared" si="57"/>
        <v>2.2967780675879945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5.6843418860808015E-14</v>
      </c>
      <c r="AJ117" s="13">
        <f>AI117*VLOOKUP('Données projet'!$B$10,Paramètres!$A$1:$I$89,3,0)*VLOOKUP('Données projet'!$B$10,Paramètres!$A$1:$I$89,5,0)</f>
        <v>4.9658410716801891E-14</v>
      </c>
      <c r="AK117" s="13">
        <f t="shared" si="89"/>
        <v>8.0934058173791862E-13</v>
      </c>
      <c r="AL117" s="20">
        <f t="shared" si="58"/>
        <v>1.4960899118586383E-12</v>
      </c>
      <c r="AM117" s="59">
        <f t="shared" si="59"/>
        <v>293.33333333333479</v>
      </c>
      <c r="AN117" s="59">
        <f ca="1">AVERAGE(OFFSET($AM$3,0,0,'Données projet'!$E$10+1,1))-AVERAGE(OFFSET($H$3,0,0,'Données projet'!$E$10+1,1))</f>
        <v>243.05628303465238</v>
      </c>
      <c r="AO117" s="59">
        <f t="shared" si="90"/>
        <v>352.47096767658394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1.495792017443542</v>
      </c>
      <c r="AV117" s="21">
        <f>EXP(-LN(2)/25)*AV116+(1-EXP(-LN(2)/25))/(LN(2)/25)*Calculateur!AQ117*Calculateur!AS117*VLOOKUP('Données projet'!$B$10,Paramètres!$A$1:$I$89,3,0)*0.475*44/12</f>
        <v>1.7646204616353922</v>
      </c>
      <c r="AW117" s="21">
        <f>EXP(-LN(2)/2)*AW116+(1-EXP(-LN(2)/2))/(LN(2)/2)*AQ117*AT117*VLOOKUP('Données projet'!$B$10,Paramètres!$A$1:$I$89,3,0)*0.475*44/12</f>
        <v>2.5632216868571432E-12</v>
      </c>
      <c r="AX117" s="21">
        <f t="shared" si="60"/>
        <v>3.2604124790814977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-2.8421709430404007E-13</v>
      </c>
      <c r="BE117" s="13">
        <f>BD117*VLOOKUP('Données projet'!$B$11,Paramètres!$A$1:$I$89,3,0)*VLOOKUP('Données projet'!$B$11,Paramètres!$A$1:$I$89,5,0)</f>
        <v>-2.2612312022829427E-13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325.72928944930294</v>
      </c>
      <c r="BJ117" s="59">
        <f t="shared" si="92"/>
        <v>318.38876834819752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3.2804674688375854</v>
      </c>
      <c r="BQ117" s="21">
        <f>EXP(-LN(2)/25)*BQ116+(1-EXP(-LN(2)/25))/(LN(2)/25)*Calculateur!BL117*Calculateur!BN117*VLOOKUP('Données projet'!$B$11,Paramètres!$A$1:$I$89,3,0)*0.475*44/12</f>
        <v>2.0141288353248736</v>
      </c>
      <c r="BR117" s="21">
        <f>EXP(-LN(2)/2)*BR116+(1-EXP(-LN(2)/2))/(LN(2)/2)*BL117*BO117*VLOOKUP('Données projet'!$B$11,Paramètres!$A$1:$I$89,3,0)*0.475*44/12</f>
        <v>2.6897671509878061E-12</v>
      </c>
      <c r="BS117" s="22">
        <f t="shared" si="63"/>
        <v>5.2945963041651485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-3.4106051316484809E-13</v>
      </c>
      <c r="BZ117" s="13">
        <f>BY117*VLOOKUP('Données projet'!$B$12,Paramètres!$A$1:$I$89,3,0)*VLOOKUP('Données projet'!$B$12,Paramètres!$A$1:$I$89,5,0)</f>
        <v>-1.9065282685915009E-13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475.54809021014017</v>
      </c>
      <c r="CE117" s="59">
        <f t="shared" si="94"/>
        <v>593.51433014569966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1.3909238991503623</v>
      </c>
      <c r="CL117" s="21">
        <f>EXP(-LN(2)/25)*CL116+(1-EXP(-LN(2)/25))/(LN(2)/25)*Calculateur!CG117*Calculateur!CI117*VLOOKUP('Données projet'!$B$12,Paramètres!$A$1:$I$89,3,0)*0.475*44/12</f>
        <v>4.1502419097073568</v>
      </c>
      <c r="CM117" s="21">
        <f>EXP(-LN(2)/2)*CM116+(1-EXP(-LN(2)/2))/(LN(2)/2)*CG117*CJ117*VLOOKUP('Données projet'!$B$12,Paramètres!$A$1:$I$89,3,0)*0.475*44/12</f>
        <v>3.2782640493536841E-12</v>
      </c>
      <c r="CN117" s="22">
        <f t="shared" si="66"/>
        <v>5.5411658088609972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-1.1368683772161603E-13</v>
      </c>
      <c r="CU117" s="17">
        <f>CT117*VLOOKUP('Données projet'!$B$13,Paramètres!$A$1:$I$89,3,0)*VLOOKUP('Données projet'!$B$13,Paramètres!$A$1:$I$89,5,0)</f>
        <v>-5.3205440053716299E-14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226.0452828290525</v>
      </c>
      <c r="CZ117" s="59">
        <f t="shared" si="96"/>
        <v>179.89696397462069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1.7196121108667803</v>
      </c>
      <c r="DG117" s="21">
        <f>EXP(-LN(2)/25)*DG116+(1-EXP(-LN(2)/25))/(LN(2)/25)*Calculateur!DB117*Calculateur!DD117*VLOOKUP('Données projet'!$B$13,Paramètres!$A$1:$I$89,3,0)*0.475*44/12</f>
        <v>1.0860892161621061</v>
      </c>
      <c r="DH117" s="21">
        <f>EXP(-LN(2)/2)*DH116+(1-EXP(-LN(2)/2))/(LN(2)/2)*DB117*DE117*VLOOKUP('Données projet'!$B$13,Paramètres!$A$1:$I$89,3,0)*0.475*44/12</f>
        <v>2.5109167480874075E-12</v>
      </c>
      <c r="DI117" s="22">
        <f t="shared" si="69"/>
        <v>2.8057013270313975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1.1368683772161603E-13</v>
      </c>
      <c r="DP117" s="17">
        <f>DO117*VLOOKUP('Données projet'!$B$14,Paramètres!$A$1:$I$89,3,0)*VLOOKUP('Données projet'!$B$14,Paramètres!$A$1:$I$89,5,0)</f>
        <v>6.7984728957526396E-14</v>
      </c>
      <c r="DQ117" s="13">
        <f t="shared" si="97"/>
        <v>1.0682447123141398E-12</v>
      </c>
      <c r="DR117" s="20">
        <f t="shared" si="70"/>
        <v>1.978932943548152E-12</v>
      </c>
      <c r="DS117" s="59">
        <f t="shared" si="71"/>
        <v>293.3333333333353</v>
      </c>
      <c r="DT117" s="59">
        <f ca="1">AVERAGE(OFFSET($DS$3,0,0,'Données projet'!$E$14+1,1))-AVERAGE(OFFSET($H$3,0,0,'Données projet'!$E$14+1,1))</f>
        <v>252.81045065813976</v>
      </c>
      <c r="DU117" s="59">
        <f t="shared" si="98"/>
        <v>254.36590349790589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3.420683763031966</v>
      </c>
      <c r="EB117" s="21">
        <f>EXP(-LN(2)/25)*EB116+(1-EXP(-LN(2)/25))/(LN(2)/25)*Calculateur!DW117*Calculateur!DY117*VLOOKUP('Données projet'!$B$14,Paramètres!$A$1:$I$89,3,0)*0.475*44/12</f>
        <v>1.5706026707815204</v>
      </c>
      <c r="EC117" s="21">
        <f>EXP(-LN(2)/2)*EC116+(1-EXP(-LN(2)/2))/(LN(2)/2)*DW117*DZ117*VLOOKUP('Données projet'!$B$14,Paramètres!$A$1:$I$89,3,0)*0.475*44/12</f>
        <v>1.3054395103922645E-12</v>
      </c>
      <c r="ED117" s="22">
        <f t="shared" si="72"/>
        <v>4.9912864338147918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-2.8421709430404007E-13</v>
      </c>
      <c r="EK117" s="17">
        <f>EJ117*VLOOKUP('Données projet'!$B$15,Paramètres!$A$1:$I$89,3,0)*VLOOKUP('Données projet'!$B$15,Paramètres!$A$1:$I$89,5,0)</f>
        <v>-2.0838797354372215E-13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296.91321813251051</v>
      </c>
      <c r="EP117" s="59">
        <f t="shared" si="100"/>
        <v>291.0718079639509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2.4527653549836348</v>
      </c>
      <c r="EW117" s="21">
        <f>EXP(-LN(2)/25)*EW116+(1-EXP(-LN(2)/25))/(LN(2)/25)*Calculateur!ER117*Calculateur!ET117*VLOOKUP('Données projet'!$B$15,Paramètres!$A$1:$I$89,3,0)*0.475*44/12</f>
        <v>1.5059394658496372</v>
      </c>
      <c r="EX117" s="21">
        <f>EXP(-LN(2)/2)*EX116+(1-EXP(-LN(2)/2))/(LN(2)/2)*ER117*EU117*VLOOKUP('Données projet'!$B$15,Paramètres!$A$1:$I$89,3,0)*0.475*44/12</f>
        <v>2.4788050214985723E-12</v>
      </c>
      <c r="EY117" s="22">
        <f t="shared" si="75"/>
        <v>3.9587048208357509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>
        <f>FE117*VLOOKUP('Données projet'!$B$16,Paramètres!$A$1:$I$89,3,0)*VLOOKUP('Données projet'!$B$16,Paramètres!$A$1:$I$89,5,0)</f>
        <v>0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356.65981389369125</v>
      </c>
      <c r="FK117" s="59">
        <f t="shared" si="102"/>
        <v>231.92898690465887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1.5518092263500323</v>
      </c>
      <c r="FR117" s="21">
        <f>EXP(-LN(2)/25)*FR116+(1-EXP(-LN(2)/25))/(LN(2)/25)*Calculateur!FM117*Calculateur!FO117*VLOOKUP('Données projet'!$B$16,Paramètres!$A$1:$I$89,3,0)*0.475*44/12</f>
        <v>1.0221661942205489</v>
      </c>
      <c r="FS117" s="21">
        <f>EXP(-LN(2)/2)*FS116+(1-EXP(-LN(2)/2))/(LN(2)/2)*FM117*FP117*VLOOKUP('Données projet'!$B$16,Paramètres!$A$1:$I$89,3,0)*0.475*44/12</f>
        <v>2.1748061479909559E-12</v>
      </c>
      <c r="FT117" s="22">
        <f t="shared" si="78"/>
        <v>2.5739754205727556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>
        <f>FZ117*VLOOKUP('Données projet'!$B$17,Paramètres!$A$1:$I$89,3,0)*VLOOKUP('Données projet'!$B$17,Paramètres!$A$1:$I$89,5,0)</f>
        <v>0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337.76140497227715</v>
      </c>
      <c r="GF117" s="59">
        <f t="shared" si="104"/>
        <v>219.76562717496353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1.4801872620569534</v>
      </c>
      <c r="GM117" s="21">
        <f>EXP(-LN(2)/25)*GM116+(1-EXP(-LN(2)/25))/(LN(2)/25)*Calculateur!GH117*Calculateur!GJ117*VLOOKUP('Données projet'!$B$17,Paramètres!$A$1:$I$89,3,0)*0.475*44/12</f>
        <v>0.97498929294883119</v>
      </c>
      <c r="GN117" s="21">
        <f>EXP(-LN(2)/2)*GN116+(1-EXP(-LN(2)/2))/(LN(2)/2)*GH117*GK117*VLOOKUP('Données projet'!$B$17,Paramètres!$A$1:$I$89,3,0)*0.475*44/12</f>
        <v>2.074430479622143E-12</v>
      </c>
      <c r="GO117" s="21">
        <f t="shared" si="81"/>
        <v>2.455176555007859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312.53389584272878</v>
      </c>
      <c r="T118" s="59">
        <f t="shared" si="88"/>
        <v>203.5274665601915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1.3575383576619309</v>
      </c>
      <c r="AA118" s="21">
        <f>EXP(-LN(2)/25)*AA117+(1-EXP(-LN(2)/25))/(LN(2)/25)*Calculateur!V118*Calculateur!X118*VLOOKUP('Données projet'!$B$9,Paramètres!$A$1:$I$89,3,0)*0.475*44/12</f>
        <v>0.88714569755999606</v>
      </c>
      <c r="AB118" s="21">
        <f>EXP(-LN(2)/2)*AB117+(1-EXP(-LN(2)/2))/(LN(2)/2)*V118*Y118*VLOOKUP('Données projet'!$B$9,Paramètres!$A$1:$I$89,3,0)*0.475*44/12</f>
        <v>1.3722087715479192E-12</v>
      </c>
      <c r="AC118" s="22">
        <f t="shared" si="57"/>
        <v>2.2446840552232992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5.6843418860808015E-14</v>
      </c>
      <c r="AJ118" s="13">
        <f>AI118*VLOOKUP('Données projet'!$B$10,Paramètres!$A$1:$I$89,3,0)*VLOOKUP('Données projet'!$B$10,Paramètres!$A$1:$I$89,5,0)</f>
        <v>4.9658410716801891E-14</v>
      </c>
      <c r="AK118" s="13">
        <f t="shared" si="89"/>
        <v>8.0934058173791862E-13</v>
      </c>
      <c r="AL118" s="20">
        <f t="shared" si="58"/>
        <v>1.4960899118586383E-12</v>
      </c>
      <c r="AM118" s="59">
        <f t="shared" si="59"/>
        <v>293.33333333333479</v>
      </c>
      <c r="AN118" s="59">
        <f ca="1">AVERAGE(OFFSET($AM$3,0,0,'Données projet'!$E$10+1,1))-AVERAGE(OFFSET($H$3,0,0,'Données projet'!$E$10+1,1))</f>
        <v>243.05628303465238</v>
      </c>
      <c r="AO118" s="59">
        <f t="shared" si="90"/>
        <v>352.47096767658394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1.4664604483245183</v>
      </c>
      <c r="AV118" s="21">
        <f>EXP(-LN(2)/25)*AV117+(1-EXP(-LN(2)/25))/(LN(2)/25)*Calculateur!AQ118*Calculateur!AS118*VLOOKUP('Données projet'!$B$10,Paramètres!$A$1:$I$89,3,0)*0.475*44/12</f>
        <v>1.7163668223146153</v>
      </c>
      <c r="AW118" s="21">
        <f>EXP(-LN(2)/2)*AW117+(1-EXP(-LN(2)/2))/(LN(2)/2)*AQ118*AT118*VLOOKUP('Données projet'!$B$10,Paramètres!$A$1:$I$89,3,0)*0.475*44/12</f>
        <v>1.8124714364611073E-12</v>
      </c>
      <c r="AX118" s="21">
        <f t="shared" si="60"/>
        <v>3.1828272706409462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-2.8421709430404007E-13</v>
      </c>
      <c r="BE118" s="13">
        <f>BD118*VLOOKUP('Données projet'!$B$11,Paramètres!$A$1:$I$89,3,0)*VLOOKUP('Données projet'!$B$11,Paramètres!$A$1:$I$89,5,0)</f>
        <v>-2.2612312022829427E-13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325.72928944930294</v>
      </c>
      <c r="BJ118" s="59">
        <f t="shared" si="92"/>
        <v>318.38876834819752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3.2161395026612651</v>
      </c>
      <c r="BQ118" s="21">
        <f>EXP(-LN(2)/25)*BQ117+(1-EXP(-LN(2)/25))/(LN(2)/25)*Calculateur!BL118*Calculateur!BN118*VLOOKUP('Données projet'!$B$11,Paramètres!$A$1:$I$89,3,0)*0.475*44/12</f>
        <v>1.9590523764044829</v>
      </c>
      <c r="BR118" s="21">
        <f>EXP(-LN(2)/2)*BR117+(1-EXP(-LN(2)/2))/(LN(2)/2)*BL118*BO118*VLOOKUP('Données projet'!$B$11,Paramètres!$A$1:$I$89,3,0)*0.475*44/12</f>
        <v>1.9019525922762978E-12</v>
      </c>
      <c r="BS118" s="22">
        <f t="shared" si="63"/>
        <v>5.1751918790676497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-3.4106051316484809E-13</v>
      </c>
      <c r="BZ118" s="13">
        <f>BY118*VLOOKUP('Données projet'!$B$12,Paramètres!$A$1:$I$89,3,0)*VLOOKUP('Données projet'!$B$12,Paramètres!$A$1:$I$89,5,0)</f>
        <v>-1.9065282685915009E-13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475.54809021014017</v>
      </c>
      <c r="CE118" s="59">
        <f t="shared" si="94"/>
        <v>593.51433014569966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1.3636487298678317</v>
      </c>
      <c r="CL118" s="21">
        <f>EXP(-LN(2)/25)*CL117+(1-EXP(-LN(2)/25))/(LN(2)/25)*Calculateur!CG118*Calculateur!CI118*VLOOKUP('Données projet'!$B$12,Paramètres!$A$1:$I$89,3,0)*0.475*44/12</f>
        <v>4.0367533264346722</v>
      </c>
      <c r="CM118" s="21">
        <f>EXP(-LN(2)/2)*CM117+(1-EXP(-LN(2)/2))/(LN(2)/2)*CG118*CJ118*VLOOKUP('Données projet'!$B$12,Paramètres!$A$1:$I$89,3,0)*0.475*44/12</f>
        <v>2.3180827398180607E-12</v>
      </c>
      <c r="CN118" s="22">
        <f t="shared" si="66"/>
        <v>5.4004020563048218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-1.1368683772161603E-13</v>
      </c>
      <c r="CU118" s="17">
        <f>CT118*VLOOKUP('Données projet'!$B$13,Paramètres!$A$1:$I$89,3,0)*VLOOKUP('Données projet'!$B$13,Paramètres!$A$1:$I$89,5,0)</f>
        <v>-5.3205440053716299E-14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226.0452828290525</v>
      </c>
      <c r="CZ118" s="59">
        <f t="shared" si="96"/>
        <v>179.89696397462069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1.685891566232504</v>
      </c>
      <c r="DG118" s="21">
        <f>EXP(-LN(2)/25)*DG117+(1-EXP(-LN(2)/25))/(LN(2)/25)*Calculateur!DB118*Calculateur!DD118*VLOOKUP('Données projet'!$B$13,Paramètres!$A$1:$I$89,3,0)*0.475*44/12</f>
        <v>1.0563900494312037</v>
      </c>
      <c r="DH118" s="21">
        <f>EXP(-LN(2)/2)*DH117+(1-EXP(-LN(2)/2))/(LN(2)/2)*DB118*DE118*VLOOKUP('Données projet'!$B$13,Paramètres!$A$1:$I$89,3,0)*0.475*44/12</f>
        <v>1.7754862595674799E-12</v>
      </c>
      <c r="DI118" s="22">
        <f t="shared" si="69"/>
        <v>2.7422816156654832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1.1368683772161603E-13</v>
      </c>
      <c r="DP118" s="17">
        <f>DO118*VLOOKUP('Données projet'!$B$14,Paramètres!$A$1:$I$89,3,0)*VLOOKUP('Données projet'!$B$14,Paramètres!$A$1:$I$89,5,0)</f>
        <v>6.7984728957526396E-14</v>
      </c>
      <c r="DQ118" s="13">
        <f t="shared" si="97"/>
        <v>1.0682447123141398E-12</v>
      </c>
      <c r="DR118" s="20">
        <f t="shared" si="70"/>
        <v>1.978932943548152E-12</v>
      </c>
      <c r="DS118" s="59">
        <f t="shared" si="71"/>
        <v>293.3333333333353</v>
      </c>
      <c r="DT118" s="59">
        <f ca="1">AVERAGE(OFFSET($DS$3,0,0,'Données projet'!$E$14+1,1))-AVERAGE(OFFSET($H$3,0,0,'Données projet'!$E$14+1,1))</f>
        <v>252.81045065813976</v>
      </c>
      <c r="DU118" s="59">
        <f t="shared" si="98"/>
        <v>254.36590349790589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3.3536062408499885</v>
      </c>
      <c r="EB118" s="21">
        <f>EXP(-LN(2)/25)*EB117+(1-EXP(-LN(2)/25))/(LN(2)/25)*Calculateur!DW118*Calculateur!DY118*VLOOKUP('Données projet'!$B$14,Paramètres!$A$1:$I$89,3,0)*0.475*44/12</f>
        <v>1.527654458154595</v>
      </c>
      <c r="EC118" s="21">
        <f>EXP(-LN(2)/2)*EC117+(1-EXP(-LN(2)/2))/(LN(2)/2)*DW118*DZ118*VLOOKUP('Données projet'!$B$14,Paramètres!$A$1:$I$89,3,0)*0.475*44/12</f>
        <v>9.2308513022721669E-13</v>
      </c>
      <c r="ED118" s="22">
        <f t="shared" si="72"/>
        <v>4.8812606990055061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-2.8421709430404007E-13</v>
      </c>
      <c r="EK118" s="17">
        <f>EJ118*VLOOKUP('Données projet'!$B$15,Paramètres!$A$1:$I$89,3,0)*VLOOKUP('Données projet'!$B$15,Paramètres!$A$1:$I$89,5,0)</f>
        <v>-2.0838797354372215E-13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296.91321813251051</v>
      </c>
      <c r="EP118" s="59">
        <f t="shared" si="100"/>
        <v>291.0718079639509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2.4046681224115507</v>
      </c>
      <c r="EW118" s="21">
        <f>EXP(-LN(2)/25)*EW117+(1-EXP(-LN(2)/25))/(LN(2)/25)*Calculateur!ER118*Calculateur!ET118*VLOOKUP('Données projet'!$B$15,Paramètres!$A$1:$I$89,3,0)*0.475*44/12</f>
        <v>1.4647594719620642</v>
      </c>
      <c r="EX118" s="21">
        <f>EXP(-LN(2)/2)*EX117+(1-EXP(-LN(2)/2))/(LN(2)/2)*ER118*EU118*VLOOKUP('Données projet'!$B$15,Paramètres!$A$1:$I$89,3,0)*0.475*44/12</f>
        <v>1.7527798399409062E-12</v>
      </c>
      <c r="EY118" s="22">
        <f t="shared" si="75"/>
        <v>3.869427594375368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>
        <f>FE118*VLOOKUP('Données projet'!$B$16,Paramètres!$A$1:$I$89,3,0)*VLOOKUP('Données projet'!$B$16,Paramètres!$A$1:$I$89,5,0)</f>
        <v>0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356.65981389369125</v>
      </c>
      <c r="FK118" s="59">
        <f t="shared" si="102"/>
        <v>231.92898690465887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1.521379193931476</v>
      </c>
      <c r="FR118" s="21">
        <f>EXP(-LN(2)/25)*FR117+(1-EXP(-LN(2)/25))/(LN(2)/25)*Calculateur!FM118*Calculateur!FO118*VLOOKUP('Données projet'!$B$16,Paramètres!$A$1:$I$89,3,0)*0.475*44/12</f>
        <v>0.99421500588620404</v>
      </c>
      <c r="FS118" s="21">
        <f>EXP(-LN(2)/2)*FS117+(1-EXP(-LN(2)/2))/(LN(2)/2)*FM118*FP118*VLOOKUP('Données projet'!$B$16,Paramètres!$A$1:$I$89,3,0)*0.475*44/12</f>
        <v>1.5378201750105992E-12</v>
      </c>
      <c r="FT118" s="22">
        <f t="shared" si="78"/>
        <v>2.5155941998192177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>
        <f>FZ118*VLOOKUP('Données projet'!$B$17,Paramètres!$A$1:$I$89,3,0)*VLOOKUP('Données projet'!$B$17,Paramètres!$A$1:$I$89,5,0)</f>
        <v>0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337.76140497227715</v>
      </c>
      <c r="GF118" s="59">
        <f t="shared" si="104"/>
        <v>219.76562717496353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1.4511616926730999</v>
      </c>
      <c r="GM118" s="21">
        <f>EXP(-LN(2)/25)*GM117+(1-EXP(-LN(2)/25))/(LN(2)/25)*Calculateur!GH118*Calculateur!GJ118*VLOOKUP('Données projet'!$B$17,Paramètres!$A$1:$I$89,3,0)*0.475*44/12</f>
        <v>0.94832815946068683</v>
      </c>
      <c r="GN118" s="21">
        <f>EXP(-LN(2)/2)*GN117+(1-EXP(-LN(2)/2))/(LN(2)/2)*GH118*GK118*VLOOKUP('Données projet'!$B$17,Paramètres!$A$1:$I$89,3,0)*0.475*44/12</f>
        <v>1.4668438592408796E-12</v>
      </c>
      <c r="GO118" s="21">
        <f t="shared" si="81"/>
        <v>2.3994898521352535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312.53389584272878</v>
      </c>
      <c r="T119" s="59">
        <f t="shared" si="88"/>
        <v>203.5274665601915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1.3309178584848187</v>
      </c>
      <c r="AA119" s="21">
        <f>EXP(-LN(2)/25)*AA118+(1-EXP(-LN(2)/25))/(LN(2)/25)*Calculateur!V119*Calculateur!X119*VLOOKUP('Données projet'!$B$9,Paramètres!$A$1:$I$89,3,0)*0.475*44/12</f>
        <v>0.86288665180725332</v>
      </c>
      <c r="AB119" s="21">
        <f>EXP(-LN(2)/2)*AB118+(1-EXP(-LN(2)/2))/(LN(2)/2)*V119*Y119*VLOOKUP('Données projet'!$B$9,Paramètres!$A$1:$I$89,3,0)*0.475*44/12</f>
        <v>9.7029812756519567E-13</v>
      </c>
      <c r="AC119" s="22">
        <f t="shared" si="57"/>
        <v>2.1938045102930421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5.6843418860808015E-14</v>
      </c>
      <c r="AJ119" s="13">
        <f>AI119*VLOOKUP('Données projet'!$B$10,Paramètres!$A$1:$I$89,3,0)*VLOOKUP('Données projet'!$B$10,Paramètres!$A$1:$I$89,5,0)</f>
        <v>4.9658410716801891E-14</v>
      </c>
      <c r="AK119" s="13">
        <f t="shared" si="89"/>
        <v>8.0934058173791862E-13</v>
      </c>
      <c r="AL119" s="20">
        <f t="shared" si="58"/>
        <v>1.4960899118586383E-12</v>
      </c>
      <c r="AM119" s="59">
        <f t="shared" si="59"/>
        <v>293.33333333333479</v>
      </c>
      <c r="AN119" s="59">
        <f ca="1">AVERAGE(OFFSET($AM$3,0,0,'Données projet'!$E$10+1,1))-AVERAGE(OFFSET($H$3,0,0,'Données projet'!$E$10+1,1))</f>
        <v>243.05628303465238</v>
      </c>
      <c r="AO119" s="59">
        <f t="shared" si="90"/>
        <v>352.47096767658394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1.4377040533854282</v>
      </c>
      <c r="AV119" s="21">
        <f>EXP(-LN(2)/25)*AV118+(1-EXP(-LN(2)/25))/(LN(2)/25)*Calculateur!AQ119*Calculateur!AS119*VLOOKUP('Données projet'!$B$10,Paramètres!$A$1:$I$89,3,0)*0.475*44/12</f>
        <v>1.6694326812986138</v>
      </c>
      <c r="AW119" s="21">
        <f>EXP(-LN(2)/2)*AW118+(1-EXP(-LN(2)/2))/(LN(2)/2)*AQ119*AT119*VLOOKUP('Données projet'!$B$10,Paramètres!$A$1:$I$89,3,0)*0.475*44/12</f>
        <v>1.2816108434285718E-12</v>
      </c>
      <c r="AX119" s="21">
        <f t="shared" si="60"/>
        <v>3.1071367346853238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-2.8421709430404007E-13</v>
      </c>
      <c r="BE119" s="13">
        <f>BD119*VLOOKUP('Données projet'!$B$11,Paramètres!$A$1:$I$89,3,0)*VLOOKUP('Données projet'!$B$11,Paramètres!$A$1:$I$89,5,0)</f>
        <v>-2.2612312022829427E-13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325.72928944930294</v>
      </c>
      <c r="BJ119" s="59">
        <f t="shared" si="92"/>
        <v>318.38876834819752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3.1530729686654775</v>
      </c>
      <c r="BQ119" s="21">
        <f>EXP(-LN(2)/25)*BQ118+(1-EXP(-LN(2)/25))/(LN(2)/25)*Calculateur!BL119*Calculateur!BN119*VLOOKUP('Données projet'!$B$11,Paramètres!$A$1:$I$89,3,0)*0.475*44/12</f>
        <v>1.9054819861496153</v>
      </c>
      <c r="BR119" s="21">
        <f>EXP(-LN(2)/2)*BR118+(1-EXP(-LN(2)/2))/(LN(2)/2)*BL119*BO119*VLOOKUP('Données projet'!$B$11,Paramètres!$A$1:$I$89,3,0)*0.475*44/12</f>
        <v>1.344883575493903E-12</v>
      </c>
      <c r="BS119" s="22">
        <f t="shared" si="63"/>
        <v>5.0585549548164375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-3.4106051316484809E-13</v>
      </c>
      <c r="BZ119" s="13">
        <f>BY119*VLOOKUP('Données projet'!$B$12,Paramètres!$A$1:$I$89,3,0)*VLOOKUP('Données projet'!$B$12,Paramètres!$A$1:$I$89,5,0)</f>
        <v>-1.9065282685915009E-13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475.54809021014017</v>
      </c>
      <c r="CE119" s="59">
        <f t="shared" si="94"/>
        <v>593.51433014569966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1.336908410018721</v>
      </c>
      <c r="CL119" s="21">
        <f>EXP(-LN(2)/25)*CL118+(1-EXP(-LN(2)/25))/(LN(2)/25)*Calculateur!CG119*Calculateur!CI119*VLOOKUP('Données projet'!$B$12,Paramètres!$A$1:$I$89,3,0)*0.475*44/12</f>
        <v>3.9263680944396846</v>
      </c>
      <c r="CM119" s="21">
        <f>EXP(-LN(2)/2)*CM118+(1-EXP(-LN(2)/2))/(LN(2)/2)*CG119*CJ119*VLOOKUP('Données projet'!$B$12,Paramètres!$A$1:$I$89,3,0)*0.475*44/12</f>
        <v>1.639132024676842E-12</v>
      </c>
      <c r="CN119" s="22">
        <f t="shared" si="66"/>
        <v>5.2632765044600438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-1.1368683772161603E-13</v>
      </c>
      <c r="CU119" s="17">
        <f>CT119*VLOOKUP('Données projet'!$B$13,Paramètres!$A$1:$I$89,3,0)*VLOOKUP('Données projet'!$B$13,Paramètres!$A$1:$I$89,5,0)</f>
        <v>-5.3205440053716299E-14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226.0452828290525</v>
      </c>
      <c r="CZ119" s="59">
        <f t="shared" si="96"/>
        <v>179.89696397462069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1.6528322609110047</v>
      </c>
      <c r="DG119" s="21">
        <f>EXP(-LN(2)/25)*DG118+(1-EXP(-LN(2)/25))/(LN(2)/25)*Calculateur!DB119*Calculateur!DD119*VLOOKUP('Données projet'!$B$13,Paramètres!$A$1:$I$89,3,0)*0.475*44/12</f>
        <v>1.0275030079763692</v>
      </c>
      <c r="DH119" s="21">
        <f>EXP(-LN(2)/2)*DH118+(1-EXP(-LN(2)/2))/(LN(2)/2)*DB119*DE119*VLOOKUP('Données projet'!$B$13,Paramètres!$A$1:$I$89,3,0)*0.475*44/12</f>
        <v>1.2554583740437039E-12</v>
      </c>
      <c r="DI119" s="22">
        <f t="shared" si="69"/>
        <v>2.6803352688886295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1.1368683772161603E-13</v>
      </c>
      <c r="DP119" s="17">
        <f>DO119*VLOOKUP('Données projet'!$B$14,Paramètres!$A$1:$I$89,3,0)*VLOOKUP('Données projet'!$B$14,Paramètres!$A$1:$I$89,5,0)</f>
        <v>6.7984728957526396E-14</v>
      </c>
      <c r="DQ119" s="13">
        <f t="shared" si="97"/>
        <v>1.0682447123141398E-12</v>
      </c>
      <c r="DR119" s="20">
        <f t="shared" si="70"/>
        <v>1.978932943548152E-12</v>
      </c>
      <c r="DS119" s="59">
        <f t="shared" si="71"/>
        <v>293.3333333333353</v>
      </c>
      <c r="DT119" s="59">
        <f ca="1">AVERAGE(OFFSET($DS$3,0,0,'Données projet'!$E$14+1,1))-AVERAGE(OFFSET($H$3,0,0,'Données projet'!$E$14+1,1))</f>
        <v>252.81045065813976</v>
      </c>
      <c r="DU119" s="59">
        <f t="shared" si="98"/>
        <v>254.36590349790589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3.2878440679647509</v>
      </c>
      <c r="EB119" s="21">
        <f>EXP(-LN(2)/25)*EB118+(1-EXP(-LN(2)/25))/(LN(2)/25)*Calculateur!DW119*Calculateur!DY119*VLOOKUP('Données projet'!$B$14,Paramètres!$A$1:$I$89,3,0)*0.475*44/12</f>
        <v>1.4858806666605011</v>
      </c>
      <c r="EC119" s="21">
        <f>EXP(-LN(2)/2)*EC118+(1-EXP(-LN(2)/2))/(LN(2)/2)*DW119*DZ119*VLOOKUP('Données projet'!$B$14,Paramètres!$A$1:$I$89,3,0)*0.475*44/12</f>
        <v>6.5271975519613225E-13</v>
      </c>
      <c r="ED119" s="22">
        <f t="shared" si="72"/>
        <v>4.7737247346259046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-2.8421709430404007E-13</v>
      </c>
      <c r="EK119" s="17">
        <f>EJ119*VLOOKUP('Données projet'!$B$15,Paramètres!$A$1:$I$89,3,0)*VLOOKUP('Données projet'!$B$15,Paramètres!$A$1:$I$89,5,0)</f>
        <v>-2.0838797354372215E-13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296.91321813251051</v>
      </c>
      <c r="EP119" s="59">
        <f t="shared" si="100"/>
        <v>291.0718079639509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2.3575140472337899</v>
      </c>
      <c r="EW119" s="21">
        <f>EXP(-LN(2)/25)*EW118+(1-EXP(-LN(2)/25))/(LN(2)/25)*Calculateur!ER119*Calculateur!ET119*VLOOKUP('Données projet'!$B$15,Paramètres!$A$1:$I$89,3,0)*0.475*44/12</f>
        <v>1.4247055471729086</v>
      </c>
      <c r="EX119" s="21">
        <f>EXP(-LN(2)/2)*EX118+(1-EXP(-LN(2)/2))/(LN(2)/2)*ER119*EU119*VLOOKUP('Données projet'!$B$15,Paramètres!$A$1:$I$89,3,0)*0.475*44/12</f>
        <v>1.2394025107492862E-12</v>
      </c>
      <c r="EY119" s="22">
        <f t="shared" si="75"/>
        <v>3.782219594407938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>
        <f>FE119*VLOOKUP('Données projet'!$B$16,Paramètres!$A$1:$I$89,3,0)*VLOOKUP('Données projet'!$B$16,Paramètres!$A$1:$I$89,5,0)</f>
        <v>0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356.65981389369125</v>
      </c>
      <c r="FK119" s="59">
        <f t="shared" si="102"/>
        <v>231.92898690465887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1.4915458758881606</v>
      </c>
      <c r="FR119" s="21">
        <f>EXP(-LN(2)/25)*FR118+(1-EXP(-LN(2)/25))/(LN(2)/25)*Calculateur!FM119*Calculateur!FO119*VLOOKUP('Données projet'!$B$16,Paramètres!$A$1:$I$89,3,0)*0.475*44/12</f>
        <v>0.96702814426675099</v>
      </c>
      <c r="FS119" s="21">
        <f>EXP(-LN(2)/2)*FS118+(1-EXP(-LN(2)/2))/(LN(2)/2)*FM119*FP119*VLOOKUP('Données projet'!$B$16,Paramètres!$A$1:$I$89,3,0)*0.475*44/12</f>
        <v>1.087403073995478E-12</v>
      </c>
      <c r="FT119" s="22">
        <f t="shared" si="78"/>
        <v>2.4585740201559991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>
        <f>FZ119*VLOOKUP('Données projet'!$B$17,Paramètres!$A$1:$I$89,3,0)*VLOOKUP('Données projet'!$B$17,Paramètres!$A$1:$I$89,5,0)</f>
        <v>0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337.76140497227715</v>
      </c>
      <c r="GF119" s="59">
        <f t="shared" si="104"/>
        <v>219.76562717496353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1.4227052970010146</v>
      </c>
      <c r="GM119" s="21">
        <f>EXP(-LN(2)/25)*GM118+(1-EXP(-LN(2)/25))/(LN(2)/25)*Calculateur!GH119*Calculateur!GJ119*VLOOKUP('Données projet'!$B$17,Paramètres!$A$1:$I$89,3,0)*0.475*44/12</f>
        <v>0.92239607606982388</v>
      </c>
      <c r="GN119" s="21">
        <f>EXP(-LN(2)/2)*GN118+(1-EXP(-LN(2)/2))/(LN(2)/2)*GH119*GK119*VLOOKUP('Données projet'!$B$17,Paramètres!$A$1:$I$89,3,0)*0.475*44/12</f>
        <v>1.0372152398110715E-12</v>
      </c>
      <c r="GO119" s="21">
        <f t="shared" si="81"/>
        <v>2.3451013730718757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312.53389584272878</v>
      </c>
      <c r="T120" s="59">
        <f t="shared" si="88"/>
        <v>203.5274665601915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1.3048193710596685</v>
      </c>
      <c r="AA120" s="21">
        <f>EXP(-LN(2)/25)*AA119+(1-EXP(-LN(2)/25))/(LN(2)/25)*Calculateur!V120*Calculateur!X120*VLOOKUP('Données projet'!$B$9,Paramètres!$A$1:$I$89,3,0)*0.475*44/12</f>
        <v>0.83929097093634708</v>
      </c>
      <c r="AB120" s="21">
        <f>EXP(-LN(2)/2)*AB119+(1-EXP(-LN(2)/2))/(LN(2)/2)*V120*Y120*VLOOKUP('Données projet'!$B$9,Paramètres!$A$1:$I$89,3,0)*0.475*44/12</f>
        <v>6.861043857739596E-13</v>
      </c>
      <c r="AC120" s="22">
        <f t="shared" si="57"/>
        <v>2.1441103419967016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5.6843418860808015E-14</v>
      </c>
      <c r="AJ120" s="13">
        <f>AI120*VLOOKUP('Données projet'!$B$10,Paramètres!$A$1:$I$89,3,0)*VLOOKUP('Données projet'!$B$10,Paramètres!$A$1:$I$89,5,0)</f>
        <v>4.9658410716801891E-14</v>
      </c>
      <c r="AK120" s="13">
        <f t="shared" si="89"/>
        <v>8.0934058173791862E-13</v>
      </c>
      <c r="AL120" s="20">
        <f t="shared" si="58"/>
        <v>1.4960899118586383E-12</v>
      </c>
      <c r="AM120" s="59">
        <f t="shared" si="59"/>
        <v>293.33333333333479</v>
      </c>
      <c r="AN120" s="59">
        <f ca="1">AVERAGE(OFFSET($AM$3,0,0,'Données projet'!$E$10+1,1))-AVERAGE(OFFSET($H$3,0,0,'Données projet'!$E$10+1,1))</f>
        <v>243.05628303465238</v>
      </c>
      <c r="AO120" s="59">
        <f t="shared" si="90"/>
        <v>352.47096767658394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1.4095115538114245</v>
      </c>
      <c r="AV120" s="21">
        <f>EXP(-LN(2)/25)*AV119+(1-EXP(-LN(2)/25))/(LN(2)/25)*Calculateur!AQ120*Calculateur!AS120*VLOOKUP('Données projet'!$B$10,Paramètres!$A$1:$I$89,3,0)*0.475*44/12</f>
        <v>1.6237819568368541</v>
      </c>
      <c r="AW120" s="21">
        <f>EXP(-LN(2)/2)*AW119+(1-EXP(-LN(2)/2))/(LN(2)/2)*AQ120*AT120*VLOOKUP('Données projet'!$B$10,Paramètres!$A$1:$I$89,3,0)*0.475*44/12</f>
        <v>9.0623571823055384E-13</v>
      </c>
      <c r="AX120" s="21">
        <f t="shared" si="60"/>
        <v>3.0332935106491852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-2.8421709430404007E-13</v>
      </c>
      <c r="BE120" s="13">
        <f>BD120*VLOOKUP('Données projet'!$B$11,Paramètres!$A$1:$I$89,3,0)*VLOOKUP('Données projet'!$B$11,Paramètres!$A$1:$I$89,5,0)</f>
        <v>-2.2612312022829427E-13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325.72928944930294</v>
      </c>
      <c r="BJ120" s="59">
        <f t="shared" si="92"/>
        <v>318.38876834819752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3.0912431309345596</v>
      </c>
      <c r="BQ120" s="21">
        <f>EXP(-LN(2)/25)*BQ119+(1-EXP(-LN(2)/25))/(LN(2)/25)*Calculateur!BL120*Calculateur!BN120*VLOOKUP('Données projet'!$B$11,Paramètres!$A$1:$I$89,3,0)*0.475*44/12</f>
        <v>1.8533764810334115</v>
      </c>
      <c r="BR120" s="21">
        <f>EXP(-LN(2)/2)*BR119+(1-EXP(-LN(2)/2))/(LN(2)/2)*BL120*BO120*VLOOKUP('Données projet'!$B$11,Paramètres!$A$1:$I$89,3,0)*0.475*44/12</f>
        <v>9.5097629613814892E-13</v>
      </c>
      <c r="BS120" s="22">
        <f t="shared" si="63"/>
        <v>4.9446196119689221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-3.4106051316484809E-13</v>
      </c>
      <c r="BZ120" s="13">
        <f>BY120*VLOOKUP('Données projet'!$B$12,Paramètres!$A$1:$I$89,3,0)*VLOOKUP('Données projet'!$B$12,Paramètres!$A$1:$I$89,5,0)</f>
        <v>-1.9065282685915009E-13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475.54809021014017</v>
      </c>
      <c r="CE120" s="59">
        <f t="shared" si="94"/>
        <v>593.51433014569966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1.3106924515318665</v>
      </c>
      <c r="CL120" s="21">
        <f>EXP(-LN(2)/25)*CL119+(1-EXP(-LN(2)/25))/(LN(2)/25)*Calculateur!CG120*Calculateur!CI120*VLOOKUP('Données projet'!$B$12,Paramètres!$A$1:$I$89,3,0)*0.475*44/12</f>
        <v>3.8190013524185074</v>
      </c>
      <c r="CM120" s="21">
        <f>EXP(-LN(2)/2)*CM119+(1-EXP(-LN(2)/2))/(LN(2)/2)*CG120*CJ120*VLOOKUP('Données projet'!$B$12,Paramètres!$A$1:$I$89,3,0)*0.475*44/12</f>
        <v>1.1590413699090303E-12</v>
      </c>
      <c r="CN120" s="22">
        <f t="shared" si="66"/>
        <v>5.1296938039515334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-1.1368683772161603E-13</v>
      </c>
      <c r="CU120" s="17">
        <f>CT120*VLOOKUP('Données projet'!$B$13,Paramètres!$A$1:$I$89,3,0)*VLOOKUP('Données projet'!$B$13,Paramètres!$A$1:$I$89,5,0)</f>
        <v>-5.3205440053716299E-14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226.0452828290525</v>
      </c>
      <c r="CZ120" s="59">
        <f t="shared" si="96"/>
        <v>179.89696397462069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1.6204212284026747</v>
      </c>
      <c r="DG120" s="21">
        <f>EXP(-LN(2)/25)*DG119+(1-EXP(-LN(2)/25))/(LN(2)/25)*Calculateur!DB120*Calculateur!DD120*VLOOKUP('Données projet'!$B$13,Paramètres!$A$1:$I$89,3,0)*0.475*44/12</f>
        <v>0.99940588418922061</v>
      </c>
      <c r="DH120" s="21">
        <f>EXP(-LN(2)/2)*DH119+(1-EXP(-LN(2)/2))/(LN(2)/2)*DB120*DE120*VLOOKUP('Données projet'!$B$13,Paramètres!$A$1:$I$89,3,0)*0.475*44/12</f>
        <v>8.8774312978374017E-13</v>
      </c>
      <c r="DI120" s="22">
        <f t="shared" si="69"/>
        <v>2.619827112592783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1.1368683772161603E-13</v>
      </c>
      <c r="DP120" s="17">
        <f>DO120*VLOOKUP('Données projet'!$B$14,Paramètres!$A$1:$I$89,3,0)*VLOOKUP('Données projet'!$B$14,Paramètres!$A$1:$I$89,5,0)</f>
        <v>6.7984728957526396E-14</v>
      </c>
      <c r="DQ120" s="13">
        <f t="shared" si="97"/>
        <v>1.0682447123141398E-12</v>
      </c>
      <c r="DR120" s="20">
        <f t="shared" si="70"/>
        <v>1.978932943548152E-12</v>
      </c>
      <c r="DS120" s="59">
        <f t="shared" si="71"/>
        <v>293.3333333333353</v>
      </c>
      <c r="DT120" s="59">
        <f ca="1">AVERAGE(OFFSET($DS$3,0,0,'Données projet'!$E$14+1,1))-AVERAGE(OFFSET($H$3,0,0,'Données projet'!$E$14+1,1))</f>
        <v>252.81045065813976</v>
      </c>
      <c r="DU120" s="59">
        <f t="shared" si="98"/>
        <v>254.36590349790589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3.2233714511788283</v>
      </c>
      <c r="EB120" s="21">
        <f>EXP(-LN(2)/25)*EB119+(1-EXP(-LN(2)/25))/(LN(2)/25)*Calculateur!DW120*Calculateur!DY120*VLOOKUP('Données projet'!$B$14,Paramètres!$A$1:$I$89,3,0)*0.475*44/12</f>
        <v>1.4452491816916015</v>
      </c>
      <c r="EC120" s="21">
        <f>EXP(-LN(2)/2)*EC119+(1-EXP(-LN(2)/2))/(LN(2)/2)*DW120*DZ120*VLOOKUP('Données projet'!$B$14,Paramètres!$A$1:$I$89,3,0)*0.475*44/12</f>
        <v>4.6154256511360835E-13</v>
      </c>
      <c r="ED120" s="22">
        <f t="shared" si="72"/>
        <v>4.6686206328708915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-2.8421709430404007E-13</v>
      </c>
      <c r="EK120" s="17">
        <f>EJ120*VLOOKUP('Données projet'!$B$15,Paramètres!$A$1:$I$89,3,0)*VLOOKUP('Données projet'!$B$15,Paramètres!$A$1:$I$89,5,0)</f>
        <v>-2.0838797354372215E-13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296.91321813251051</v>
      </c>
      <c r="EP120" s="59">
        <f t="shared" si="100"/>
        <v>291.0718079639509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2.3112846347091192</v>
      </c>
      <c r="EW120" s="21">
        <f>EXP(-LN(2)/25)*EW119+(1-EXP(-LN(2)/25))/(LN(2)/25)*Calculateur!ER120*Calculateur!ET120*VLOOKUP('Données projet'!$B$15,Paramètres!$A$1:$I$89,3,0)*0.475*44/12</f>
        <v>1.3857468990634569</v>
      </c>
      <c r="EX120" s="21">
        <f>EXP(-LN(2)/2)*EX119+(1-EXP(-LN(2)/2))/(LN(2)/2)*ER120*EU120*VLOOKUP('Données projet'!$B$15,Paramètres!$A$1:$I$89,3,0)*0.475*44/12</f>
        <v>8.7638991997045311E-13</v>
      </c>
      <c r="EY120" s="22">
        <f t="shared" si="75"/>
        <v>3.6970315337734525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>
        <f>FE120*VLOOKUP('Données projet'!$B$16,Paramètres!$A$1:$I$89,3,0)*VLOOKUP('Données projet'!$B$16,Paramètres!$A$1:$I$89,5,0)</f>
        <v>0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356.65981389369125</v>
      </c>
      <c r="FK120" s="59">
        <f t="shared" si="102"/>
        <v>231.92898690465887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1.4622975710151473</v>
      </c>
      <c r="FR120" s="21">
        <f>EXP(-LN(2)/25)*FR119+(1-EXP(-LN(2)/25))/(LN(2)/25)*Calculateur!FM120*Calculateur!FO120*VLOOKUP('Données projet'!$B$16,Paramètres!$A$1:$I$89,3,0)*0.475*44/12</f>
        <v>0.94058470880797673</v>
      </c>
      <c r="FS120" s="21">
        <f>EXP(-LN(2)/2)*FS119+(1-EXP(-LN(2)/2))/(LN(2)/2)*FM120*FP120*VLOOKUP('Données projet'!$B$16,Paramètres!$A$1:$I$89,3,0)*0.475*44/12</f>
        <v>7.6891008750529958E-13</v>
      </c>
      <c r="FT120" s="22">
        <f t="shared" si="78"/>
        <v>2.4028822798238929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>
        <f>FZ120*VLOOKUP('Données projet'!$B$17,Paramètres!$A$1:$I$89,3,0)*VLOOKUP('Données projet'!$B$17,Paramètres!$A$1:$I$89,5,0)</f>
        <v>0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337.76140497227715</v>
      </c>
      <c r="GF120" s="59">
        <f t="shared" si="104"/>
        <v>219.76562717496353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1.3948069138913712</v>
      </c>
      <c r="GM120" s="21">
        <f>EXP(-LN(2)/25)*GM119+(1-EXP(-LN(2)/25))/(LN(2)/25)*Calculateur!GH120*Calculateur!GJ120*VLOOKUP('Données projet'!$B$17,Paramètres!$A$1:$I$89,3,0)*0.475*44/12</f>
        <v>0.89717310686299312</v>
      </c>
      <c r="GN120" s="21">
        <f>EXP(-LN(2)/2)*GN119+(1-EXP(-LN(2)/2))/(LN(2)/2)*GH120*GK120*VLOOKUP('Données projet'!$B$17,Paramètres!$A$1:$I$89,3,0)*0.475*44/12</f>
        <v>7.3342192962043978E-13</v>
      </c>
      <c r="GO120" s="21">
        <f t="shared" si="81"/>
        <v>2.2919800207550978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312.53389584272878</v>
      </c>
      <c r="T121" s="59">
        <f t="shared" si="88"/>
        <v>203.5274665601915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1.2792326590544201</v>
      </c>
      <c r="AA121" s="21">
        <f>EXP(-LN(2)/25)*AA120+(1-EXP(-LN(2)/25))/(LN(2)/25)*Calculateur!V121*Calculateur!X121*VLOOKUP('Données projet'!$B$9,Paramètres!$A$1:$I$89,3,0)*0.475*44/12</f>
        <v>0.81634051519969875</v>
      </c>
      <c r="AB121" s="21">
        <f>EXP(-LN(2)/2)*AB120+(1-EXP(-LN(2)/2))/(LN(2)/2)*V121*Y121*VLOOKUP('Données projet'!$B$9,Paramètres!$A$1:$I$89,3,0)*0.475*44/12</f>
        <v>4.8514906378259784E-13</v>
      </c>
      <c r="AC121" s="22">
        <f t="shared" si="57"/>
        <v>2.0955731742546035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5.6843418860808015E-14</v>
      </c>
      <c r="AJ121" s="13">
        <f>AI121*VLOOKUP('Données projet'!$B$10,Paramètres!$A$1:$I$89,3,0)*VLOOKUP('Données projet'!$B$10,Paramètres!$A$1:$I$89,5,0)</f>
        <v>4.9658410716801891E-14</v>
      </c>
      <c r="AK121" s="13">
        <f t="shared" si="89"/>
        <v>8.0934058173791862E-13</v>
      </c>
      <c r="AL121" s="20">
        <f t="shared" si="58"/>
        <v>1.4960899118586383E-12</v>
      </c>
      <c r="AM121" s="59">
        <f t="shared" si="59"/>
        <v>293.33333333333479</v>
      </c>
      <c r="AN121" s="59">
        <f ca="1">AVERAGE(OFFSET($AM$3,0,0,'Données projet'!$E$10+1,1))-AVERAGE(OFFSET($H$3,0,0,'Données projet'!$E$10+1,1))</f>
        <v>243.05628303465238</v>
      </c>
      <c r="AO121" s="59">
        <f t="shared" si="90"/>
        <v>352.47096767658394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1.3818718919583401</v>
      </c>
      <c r="AV121" s="21">
        <f>EXP(-LN(2)/25)*AV120+(1-EXP(-LN(2)/25))/(LN(2)/25)*Calculateur!AQ121*Calculateur!AS121*VLOOKUP('Données projet'!$B$10,Paramètres!$A$1:$I$89,3,0)*0.475*44/12</f>
        <v>1.5793795538361683</v>
      </c>
      <c r="AW121" s="21">
        <f>EXP(-LN(2)/2)*AW120+(1-EXP(-LN(2)/2))/(LN(2)/2)*AQ121*AT121*VLOOKUP('Données projet'!$B$10,Paramètres!$A$1:$I$89,3,0)*0.475*44/12</f>
        <v>6.4080542171428599E-13</v>
      </c>
      <c r="AX121" s="21">
        <f t="shared" si="60"/>
        <v>2.9612514457951495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-2.8421709430404007E-13</v>
      </c>
      <c r="BE121" s="13">
        <f>BD121*VLOOKUP('Données projet'!$B$11,Paramètres!$A$1:$I$89,3,0)*VLOOKUP('Données projet'!$B$11,Paramètres!$A$1:$I$89,5,0)</f>
        <v>-2.2612312022829427E-13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325.72928944930294</v>
      </c>
      <c r="BJ121" s="59">
        <f t="shared" si="92"/>
        <v>318.38876834819752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3.0306257386090678</v>
      </c>
      <c r="BQ121" s="21">
        <f>EXP(-LN(2)/25)*BQ120+(1-EXP(-LN(2)/25))/(LN(2)/25)*Calculateur!BL121*Calculateur!BN121*VLOOKUP('Données projet'!$B$11,Paramètres!$A$1:$I$89,3,0)*0.475*44/12</f>
        <v>1.8026958036947196</v>
      </c>
      <c r="BR121" s="21">
        <f>EXP(-LN(2)/2)*BR120+(1-EXP(-LN(2)/2))/(LN(2)/2)*BL121*BO121*VLOOKUP('Données projet'!$B$11,Paramètres!$A$1:$I$89,3,0)*0.475*44/12</f>
        <v>6.7244178774695151E-13</v>
      </c>
      <c r="BS121" s="22">
        <f t="shared" si="63"/>
        <v>4.8333215423044598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-3.4106051316484809E-13</v>
      </c>
      <c r="BZ121" s="13">
        <f>BY121*VLOOKUP('Données projet'!$B$12,Paramètres!$A$1:$I$89,3,0)*VLOOKUP('Données projet'!$B$12,Paramètres!$A$1:$I$89,5,0)</f>
        <v>-1.9065282685915009E-13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475.54809021014017</v>
      </c>
      <c r="CE121" s="59">
        <f t="shared" si="94"/>
        <v>593.51433014569966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1.2849905720007835</v>
      </c>
      <c r="CL121" s="21">
        <f>EXP(-LN(2)/25)*CL120+(1-EXP(-LN(2)/25))/(LN(2)/25)*Calculateur!CG121*Calculateur!CI121*VLOOKUP('Données projet'!$B$12,Paramètres!$A$1:$I$89,3,0)*0.475*44/12</f>
        <v>3.7145705596040708</v>
      </c>
      <c r="CM121" s="21">
        <f>EXP(-LN(2)/2)*CM120+(1-EXP(-LN(2)/2))/(LN(2)/2)*CG121*CJ121*VLOOKUP('Données projet'!$B$12,Paramètres!$A$1:$I$89,3,0)*0.475*44/12</f>
        <v>8.1956601233842102E-13</v>
      </c>
      <c r="CN121" s="22">
        <f t="shared" si="66"/>
        <v>4.9995611316056738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-1.1368683772161603E-13</v>
      </c>
      <c r="CU121" s="17">
        <f>CT121*VLOOKUP('Données projet'!$B$13,Paramètres!$A$1:$I$89,3,0)*VLOOKUP('Données projet'!$B$13,Paramètres!$A$1:$I$89,5,0)</f>
        <v>-5.3205440053716299E-14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226.0452828290525</v>
      </c>
      <c r="CZ121" s="59">
        <f t="shared" si="96"/>
        <v>179.89696397462069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1.5886457564730552</v>
      </c>
      <c r="DG121" s="21">
        <f>EXP(-LN(2)/25)*DG120+(1-EXP(-LN(2)/25))/(LN(2)/25)*Calculateur!DB121*Calculateur!DD121*VLOOKUP('Données projet'!$B$13,Paramètres!$A$1:$I$89,3,0)*0.475*44/12</f>
        <v>0.97207707772959506</v>
      </c>
      <c r="DH121" s="21">
        <f>EXP(-LN(2)/2)*DH120+(1-EXP(-LN(2)/2))/(LN(2)/2)*DB121*DE121*VLOOKUP('Données projet'!$B$13,Paramètres!$A$1:$I$89,3,0)*0.475*44/12</f>
        <v>6.2772918702185207E-13</v>
      </c>
      <c r="DI121" s="22">
        <f t="shared" si="69"/>
        <v>2.5607228342032782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1.1368683772161603E-13</v>
      </c>
      <c r="DP121" s="17">
        <f>DO121*VLOOKUP('Données projet'!$B$14,Paramètres!$A$1:$I$89,3,0)*VLOOKUP('Données projet'!$B$14,Paramètres!$A$1:$I$89,5,0)</f>
        <v>6.7984728957526396E-14</v>
      </c>
      <c r="DQ121" s="13">
        <f t="shared" si="97"/>
        <v>1.0682447123141398E-12</v>
      </c>
      <c r="DR121" s="20">
        <f t="shared" si="70"/>
        <v>1.978932943548152E-12</v>
      </c>
      <c r="DS121" s="59">
        <f t="shared" si="71"/>
        <v>293.3333333333353</v>
      </c>
      <c r="DT121" s="59">
        <f ca="1">AVERAGE(OFFSET($DS$3,0,0,'Données projet'!$E$14+1,1))-AVERAGE(OFFSET($H$3,0,0,'Données projet'!$E$14+1,1))</f>
        <v>252.81045065813976</v>
      </c>
      <c r="DU121" s="59">
        <f t="shared" si="98"/>
        <v>254.36590349790589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3.1601631030836641</v>
      </c>
      <c r="EB121" s="21">
        <f>EXP(-LN(2)/25)*EB120+(1-EXP(-LN(2)/25))/(LN(2)/25)*Calculateur!DW121*Calculateur!DY121*VLOOKUP('Données projet'!$B$14,Paramètres!$A$1:$I$89,3,0)*0.475*44/12</f>
        <v>1.4057287668158933</v>
      </c>
      <c r="EC121" s="21">
        <f>EXP(-LN(2)/2)*EC120+(1-EXP(-LN(2)/2))/(LN(2)/2)*DW121*DZ121*VLOOKUP('Données projet'!$B$14,Paramètres!$A$1:$I$89,3,0)*0.475*44/12</f>
        <v>3.2635987759806612E-13</v>
      </c>
      <c r="ED121" s="22">
        <f t="shared" si="72"/>
        <v>4.5658918698998834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-2.8421709430404007E-13</v>
      </c>
      <c r="EK121" s="17">
        <f>EJ121*VLOOKUP('Données projet'!$B$15,Paramètres!$A$1:$I$89,3,0)*VLOOKUP('Données projet'!$B$15,Paramètres!$A$1:$I$89,5,0)</f>
        <v>-2.0838797354372215E-13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296.91321813251051</v>
      </c>
      <c r="EP121" s="59">
        <f t="shared" si="100"/>
        <v>291.0718079639509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2.2659617527668998</v>
      </c>
      <c r="EW121" s="21">
        <f>EXP(-LN(2)/25)*EW120+(1-EXP(-LN(2)/25))/(LN(2)/25)*Calculateur!ER121*Calculateur!ET121*VLOOKUP('Données projet'!$B$15,Paramètres!$A$1:$I$89,3,0)*0.475*44/12</f>
        <v>1.3478535772353044</v>
      </c>
      <c r="EX121" s="21">
        <f>EXP(-LN(2)/2)*EX120+(1-EXP(-LN(2)/2))/(LN(2)/2)*ER121*EU121*VLOOKUP('Données projet'!$B$15,Paramètres!$A$1:$I$89,3,0)*0.475*44/12</f>
        <v>6.1970125537464308E-13</v>
      </c>
      <c r="EY121" s="22">
        <f t="shared" si="75"/>
        <v>3.6138153300028235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>
        <f>FE121*VLOOKUP('Données projet'!$B$16,Paramètres!$A$1:$I$89,3,0)*VLOOKUP('Données projet'!$B$16,Paramètres!$A$1:$I$89,5,0)</f>
        <v>0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356.65981389369125</v>
      </c>
      <c r="FK121" s="59">
        <f t="shared" si="102"/>
        <v>231.92898690465887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1.4336228075609896</v>
      </c>
      <c r="FR121" s="21">
        <f>EXP(-LN(2)/25)*FR120+(1-EXP(-LN(2)/25))/(LN(2)/25)*Calculateur!FM121*Calculateur!FO121*VLOOKUP('Données projet'!$B$16,Paramètres!$A$1:$I$89,3,0)*0.475*44/12</f>
        <v>0.91486437048242253</v>
      </c>
      <c r="FS121" s="21">
        <f>EXP(-LN(2)/2)*FS120+(1-EXP(-LN(2)/2))/(LN(2)/2)*FM121*FP121*VLOOKUP('Données projet'!$B$16,Paramètres!$A$1:$I$89,3,0)*0.475*44/12</f>
        <v>5.4370153699773898E-13</v>
      </c>
      <c r="FT121" s="22">
        <f t="shared" si="78"/>
        <v>2.3484871780439556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>
        <f>FZ121*VLOOKUP('Données projet'!$B$17,Paramètres!$A$1:$I$89,3,0)*VLOOKUP('Données projet'!$B$17,Paramètres!$A$1:$I$89,5,0)</f>
        <v>0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337.76140497227715</v>
      </c>
      <c r="GF121" s="59">
        <f t="shared" si="104"/>
        <v>219.76562717496353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1.3674556010581744</v>
      </c>
      <c r="GM121" s="21">
        <f>EXP(-LN(2)/25)*GM120+(1-EXP(-LN(2)/25))/(LN(2)/25)*Calculateur!GH121*Calculateur!GJ121*VLOOKUP('Données projet'!$B$17,Paramètres!$A$1:$I$89,3,0)*0.475*44/12</f>
        <v>0.87263986107554137</v>
      </c>
      <c r="GN121" s="21">
        <f>EXP(-LN(2)/2)*GN120+(1-EXP(-LN(2)/2))/(LN(2)/2)*GH121*GK121*VLOOKUP('Données projet'!$B$17,Paramètres!$A$1:$I$89,3,0)*0.475*44/12</f>
        <v>5.1860761990553576E-13</v>
      </c>
      <c r="GO121" s="21">
        <f t="shared" si="81"/>
        <v>2.2400954621342346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312.53389584272878</v>
      </c>
      <c r="T122" s="59">
        <f t="shared" si="88"/>
        <v>203.5274665601915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1.2541476868652413</v>
      </c>
      <c r="AA122" s="21">
        <f>EXP(-LN(2)/25)*AA121+(1-EXP(-LN(2)/25))/(LN(2)/25)*Calculateur!V122*Calculateur!X122*VLOOKUP('Données projet'!$B$9,Paramètres!$A$1:$I$89,3,0)*0.475*44/12</f>
        <v>0.79401764088208104</v>
      </c>
      <c r="AB122" s="21">
        <f>EXP(-LN(2)/2)*AB121+(1-EXP(-LN(2)/2))/(LN(2)/2)*V122*Y122*VLOOKUP('Données projet'!$B$9,Paramètres!$A$1:$I$89,3,0)*0.475*44/12</f>
        <v>3.430521928869798E-13</v>
      </c>
      <c r="AC122" s="22">
        <f t="shared" si="57"/>
        <v>2.048165327747665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5.6843418860808015E-14</v>
      </c>
      <c r="AJ122" s="13">
        <f>AI122*VLOOKUP('Données projet'!$B$10,Paramètres!$A$1:$I$89,3,0)*VLOOKUP('Données projet'!$B$10,Paramètres!$A$1:$I$89,5,0)</f>
        <v>4.9658410716801891E-14</v>
      </c>
      <c r="AK122" s="13">
        <f t="shared" si="89"/>
        <v>8.0934058173791862E-13</v>
      </c>
      <c r="AL122" s="20">
        <f t="shared" si="58"/>
        <v>1.4960899118586383E-12</v>
      </c>
      <c r="AM122" s="59">
        <f t="shared" si="59"/>
        <v>293.33333333333479</v>
      </c>
      <c r="AN122" s="59">
        <f ca="1">AVERAGE(OFFSET($AM$3,0,0,'Données projet'!$E$10+1,1))-AVERAGE(OFFSET($H$3,0,0,'Données projet'!$E$10+1,1))</f>
        <v>243.05628303465238</v>
      </c>
      <c r="AO122" s="59">
        <f t="shared" si="90"/>
        <v>352.47096767658394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1.3547742270156657</v>
      </c>
      <c r="AV122" s="21">
        <f>EXP(-LN(2)/25)*AV121+(1-EXP(-LN(2)/25))/(LN(2)/25)*Calculateur!AQ122*Calculateur!AS122*VLOOKUP('Données projet'!$B$10,Paramètres!$A$1:$I$89,3,0)*0.475*44/12</f>
        <v>1.5361913368805573</v>
      </c>
      <c r="AW122" s="21">
        <f>EXP(-LN(2)/2)*AW121+(1-EXP(-LN(2)/2))/(LN(2)/2)*AQ122*AT122*VLOOKUP('Données projet'!$B$10,Paramètres!$A$1:$I$89,3,0)*0.475*44/12</f>
        <v>4.5311785911527697E-13</v>
      </c>
      <c r="AX122" s="21">
        <f t="shared" si="60"/>
        <v>2.890965563896676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-2.8421709430404007E-13</v>
      </c>
      <c r="BE122" s="13">
        <f>BD122*VLOOKUP('Données projet'!$B$11,Paramètres!$A$1:$I$89,3,0)*VLOOKUP('Données projet'!$B$11,Paramètres!$A$1:$I$89,5,0)</f>
        <v>-2.2612312022829427E-13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325.72928944930294</v>
      </c>
      <c r="BJ122" s="59">
        <f t="shared" si="92"/>
        <v>318.38876834819752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2.9711970163741204</v>
      </c>
      <c r="BQ122" s="21">
        <f>EXP(-LN(2)/25)*BQ121+(1-EXP(-LN(2)/25))/(LN(2)/25)*Calculateur!BL122*Calculateur!BN122*VLOOKUP('Données projet'!$B$11,Paramètres!$A$1:$I$89,3,0)*0.475*44/12</f>
        <v>1.7534009921430354</v>
      </c>
      <c r="BR122" s="21">
        <f>EXP(-LN(2)/2)*BR121+(1-EXP(-LN(2)/2))/(LN(2)/2)*BL122*BO122*VLOOKUP('Données projet'!$B$11,Paramètres!$A$1:$I$89,3,0)*0.475*44/12</f>
        <v>4.7548814806907446E-13</v>
      </c>
      <c r="BS122" s="22">
        <f t="shared" si="63"/>
        <v>4.7245980085176305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-3.4106051316484809E-13</v>
      </c>
      <c r="BZ122" s="13">
        <f>BY122*VLOOKUP('Données projet'!$B$12,Paramètres!$A$1:$I$89,3,0)*VLOOKUP('Données projet'!$B$12,Paramètres!$A$1:$I$89,5,0)</f>
        <v>-1.9065282685915009E-13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475.54809021014017</v>
      </c>
      <c r="CE122" s="59">
        <f t="shared" si="94"/>
        <v>593.51433014569966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1.2597926906507064</v>
      </c>
      <c r="CL122" s="21">
        <f>EXP(-LN(2)/25)*CL121+(1-EXP(-LN(2)/25))/(LN(2)/25)*Calculateur!CG122*Calculateur!CI122*VLOOKUP('Données projet'!$B$12,Paramètres!$A$1:$I$89,3,0)*0.475*44/12</f>
        <v>3.6129954323109215</v>
      </c>
      <c r="CM122" s="21">
        <f>EXP(-LN(2)/2)*CM121+(1-EXP(-LN(2)/2))/(LN(2)/2)*CG122*CJ122*VLOOKUP('Données projet'!$B$12,Paramètres!$A$1:$I$89,3,0)*0.475*44/12</f>
        <v>5.7952068495451517E-13</v>
      </c>
      <c r="CN122" s="22">
        <f t="shared" si="66"/>
        <v>4.8727881229622074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-1.1368683772161603E-13</v>
      </c>
      <c r="CU122" s="17">
        <f>CT122*VLOOKUP('Données projet'!$B$13,Paramètres!$A$1:$I$89,3,0)*VLOOKUP('Données projet'!$B$13,Paramètres!$A$1:$I$89,5,0)</f>
        <v>-5.3205440053716299E-14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226.0452828290525</v>
      </c>
      <c r="CZ122" s="59">
        <f t="shared" si="96"/>
        <v>179.89696397462069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1.5574933821668513</v>
      </c>
      <c r="DG122" s="21">
        <f>EXP(-LN(2)/25)*DG121+(1-EXP(-LN(2)/25))/(LN(2)/25)*Calculateur!DB122*Calculateur!DD122*VLOOKUP('Données projet'!$B$13,Paramètres!$A$1:$I$89,3,0)*0.475*44/12</f>
        <v>0.94549557891976743</v>
      </c>
      <c r="DH122" s="21">
        <f>EXP(-LN(2)/2)*DH121+(1-EXP(-LN(2)/2))/(LN(2)/2)*DB122*DE122*VLOOKUP('Données projet'!$B$13,Paramètres!$A$1:$I$89,3,0)*0.475*44/12</f>
        <v>4.4387156489187014E-13</v>
      </c>
      <c r="DI122" s="22">
        <f t="shared" si="69"/>
        <v>2.5029889610870626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1.1368683772161603E-13</v>
      </c>
      <c r="DP122" s="17">
        <f>DO122*VLOOKUP('Données projet'!$B$14,Paramètres!$A$1:$I$89,3,0)*VLOOKUP('Données projet'!$B$14,Paramètres!$A$1:$I$89,5,0)</f>
        <v>6.7984728957526396E-14</v>
      </c>
      <c r="DQ122" s="13">
        <f t="shared" si="97"/>
        <v>1.0682447123141398E-12</v>
      </c>
      <c r="DR122" s="20">
        <f t="shared" si="70"/>
        <v>1.978932943548152E-12</v>
      </c>
      <c r="DS122" s="59">
        <f t="shared" si="71"/>
        <v>293.3333333333353</v>
      </c>
      <c r="DT122" s="59">
        <f ca="1">AVERAGE(OFFSET($DS$3,0,0,'Données projet'!$E$14+1,1))-AVERAGE(OFFSET($H$3,0,0,'Données projet'!$E$14+1,1))</f>
        <v>252.81045065813976</v>
      </c>
      <c r="DU122" s="59">
        <f t="shared" si="98"/>
        <v>254.36590349790589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3.0981942321413607</v>
      </c>
      <c r="EB122" s="21">
        <f>EXP(-LN(2)/25)*EB121+(1-EXP(-LN(2)/25))/(LN(2)/25)*Calculateur!DW122*Calculateur!DY122*VLOOKUP('Données projet'!$B$14,Paramètres!$A$1:$I$89,3,0)*0.475*44/12</f>
        <v>1.3672890397632498</v>
      </c>
      <c r="EC122" s="21">
        <f>EXP(-LN(2)/2)*EC121+(1-EXP(-LN(2)/2))/(LN(2)/2)*DW122*DZ122*VLOOKUP('Données projet'!$B$14,Paramètres!$A$1:$I$89,3,0)*0.475*44/12</f>
        <v>2.3077128255680417E-13</v>
      </c>
      <c r="ED122" s="22">
        <f t="shared" si="72"/>
        <v>4.4654832719048416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-2.8421709430404007E-13</v>
      </c>
      <c r="EK122" s="17">
        <f>EJ122*VLOOKUP('Données projet'!$B$15,Paramètres!$A$1:$I$89,3,0)*VLOOKUP('Données projet'!$B$15,Paramètres!$A$1:$I$89,5,0)</f>
        <v>-2.0838797354372215E-13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296.91321813251051</v>
      </c>
      <c r="EP122" s="59">
        <f t="shared" si="100"/>
        <v>291.0718079639509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2.2215276248953391</v>
      </c>
      <c r="EW122" s="21">
        <f>EXP(-LN(2)/25)*EW121+(1-EXP(-LN(2)/25))/(LN(2)/25)*Calculateur!ER122*Calculateur!ET122*VLOOKUP('Données projet'!$B$15,Paramètres!$A$1:$I$89,3,0)*0.475*44/12</f>
        <v>1.310996450285266</v>
      </c>
      <c r="EX122" s="21">
        <f>EXP(-LN(2)/2)*EX121+(1-EXP(-LN(2)/2))/(LN(2)/2)*ER122*EU122*VLOOKUP('Données projet'!$B$15,Paramètres!$A$1:$I$89,3,0)*0.475*44/12</f>
        <v>4.3819495998522656E-13</v>
      </c>
      <c r="EY122" s="22">
        <f t="shared" si="75"/>
        <v>3.5325240751810436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>
        <f>FE122*VLOOKUP('Données projet'!$B$16,Paramètres!$A$1:$I$89,3,0)*VLOOKUP('Données projet'!$B$16,Paramètres!$A$1:$I$89,5,0)</f>
        <v>0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356.65981389369125</v>
      </c>
      <c r="FK122" s="59">
        <f t="shared" si="102"/>
        <v>231.92898690465887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1.405510338728289</v>
      </c>
      <c r="FR122" s="21">
        <f>EXP(-LN(2)/25)*FR121+(1-EXP(-LN(2)/25))/(LN(2)/25)*Calculateur!FM122*Calculateur!FO122*VLOOKUP('Données projet'!$B$16,Paramètres!$A$1:$I$89,3,0)*0.475*44/12</f>
        <v>0.88984735616095434</v>
      </c>
      <c r="FS122" s="21">
        <f>EXP(-LN(2)/2)*FS121+(1-EXP(-LN(2)/2))/(LN(2)/2)*FM122*FP122*VLOOKUP('Données projet'!$B$16,Paramètres!$A$1:$I$89,3,0)*0.475*44/12</f>
        <v>3.8445504375264979E-13</v>
      </c>
      <c r="FT122" s="22">
        <f t="shared" si="78"/>
        <v>2.2953576948896277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>
        <f>FZ122*VLOOKUP('Données projet'!$B$17,Paramètres!$A$1:$I$89,3,0)*VLOOKUP('Données projet'!$B$17,Paramètres!$A$1:$I$89,5,0)</f>
        <v>0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337.76140497227715</v>
      </c>
      <c r="GF122" s="59">
        <f t="shared" si="104"/>
        <v>219.76562717496353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1.3406406307869831</v>
      </c>
      <c r="GM122" s="21">
        <f>EXP(-LN(2)/25)*GM121+(1-EXP(-LN(2)/25))/(LN(2)/25)*Calculateur!GH122*Calculateur!GJ122*VLOOKUP('Données projet'!$B$17,Paramètres!$A$1:$I$89,3,0)*0.475*44/12</f>
        <v>0.84877747818429483</v>
      </c>
      <c r="GN122" s="21">
        <f>EXP(-LN(2)/2)*GN121+(1-EXP(-LN(2)/2))/(LN(2)/2)*GH122*GK122*VLOOKUP('Données projet'!$B$17,Paramètres!$A$1:$I$89,3,0)*0.475*44/12</f>
        <v>3.6671096481021989E-13</v>
      </c>
      <c r="GO122" s="21">
        <f t="shared" si="81"/>
        <v>2.1894181089716449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312.53389584272878</v>
      </c>
      <c r="T123" s="59">
        <f t="shared" si="88"/>
        <v>203.5274665601915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1.2295546156803698</v>
      </c>
      <c r="AA123" s="21">
        <f>EXP(-LN(2)/25)*AA122+(1-EXP(-LN(2)/25))/(LN(2)/25)*Calculateur!V123*Calculateur!X123*VLOOKUP('Données projet'!$B$9,Paramètres!$A$1:$I$89,3,0)*0.475*44/12</f>
        <v>0.77230518673658755</v>
      </c>
      <c r="AB123" s="21">
        <f>EXP(-LN(2)/2)*AB122+(1-EXP(-LN(2)/2))/(LN(2)/2)*V123*Y123*VLOOKUP('Données projet'!$B$9,Paramètres!$A$1:$I$89,3,0)*0.475*44/12</f>
        <v>2.4257453189129892E-13</v>
      </c>
      <c r="AC123" s="22">
        <f t="shared" si="57"/>
        <v>2.0018598024171999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5.6843418860808015E-14</v>
      </c>
      <c r="AJ123" s="13">
        <f>AI123*VLOOKUP('Données projet'!$B$10,Paramètres!$A$1:$I$89,3,0)*VLOOKUP('Données projet'!$B$10,Paramètres!$A$1:$I$89,5,0)</f>
        <v>4.9658410716801891E-14</v>
      </c>
      <c r="AK123" s="13">
        <f t="shared" si="89"/>
        <v>8.0934058173791862E-13</v>
      </c>
      <c r="AL123" s="20">
        <f t="shared" si="58"/>
        <v>1.4960899118586383E-12</v>
      </c>
      <c r="AM123" s="59">
        <f t="shared" si="59"/>
        <v>293.33333333333479</v>
      </c>
      <c r="AN123" s="59">
        <f ca="1">AVERAGE(OFFSET($AM$3,0,0,'Données projet'!$E$10+1,1))-AVERAGE(OFFSET($H$3,0,0,'Données projet'!$E$10+1,1))</f>
        <v>243.05628303465238</v>
      </c>
      <c r="AO123" s="59">
        <f t="shared" si="90"/>
        <v>352.47096767658394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1.3282079307545736</v>
      </c>
      <c r="AV123" s="21">
        <f>EXP(-LN(2)/25)*AV122+(1-EXP(-LN(2)/25))/(LN(2)/25)*Calculateur!AQ123*Calculateur!AS123*VLOOKUP('Données projet'!$B$10,Paramètres!$A$1:$I$89,3,0)*0.475*44/12</f>
        <v>1.4941841039887671</v>
      </c>
      <c r="AW123" s="21">
        <f>EXP(-LN(2)/2)*AW122+(1-EXP(-LN(2)/2))/(LN(2)/2)*AQ123*AT123*VLOOKUP('Données projet'!$B$10,Paramètres!$A$1:$I$89,3,0)*0.475*44/12</f>
        <v>3.2040271085714305E-13</v>
      </c>
      <c r="AX123" s="21">
        <f t="shared" si="60"/>
        <v>2.8223920347436606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-2.8421709430404007E-13</v>
      </c>
      <c r="BE123" s="13">
        <f>BD123*VLOOKUP('Données projet'!$B$11,Paramètres!$A$1:$I$89,3,0)*VLOOKUP('Données projet'!$B$11,Paramètres!$A$1:$I$89,5,0)</f>
        <v>-2.2612312022829427E-13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325.72928944930294</v>
      </c>
      <c r="BJ123" s="59">
        <f t="shared" si="92"/>
        <v>318.38876834819752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2.9129336551342591</v>
      </c>
      <c r="BQ123" s="21">
        <f>EXP(-LN(2)/25)*BQ122+(1-EXP(-LN(2)/25))/(LN(2)/25)*Calculateur!BL123*Calculateur!BN123*VLOOKUP('Données projet'!$B$11,Paramètres!$A$1:$I$89,3,0)*0.475*44/12</f>
        <v>1.7054541498055333</v>
      </c>
      <c r="BR123" s="21">
        <f>EXP(-LN(2)/2)*BR122+(1-EXP(-LN(2)/2))/(LN(2)/2)*BL123*BO123*VLOOKUP('Données projet'!$B$11,Paramètres!$A$1:$I$89,3,0)*0.475*44/12</f>
        <v>3.3622089387347576E-13</v>
      </c>
      <c r="BS123" s="22">
        <f t="shared" si="63"/>
        <v>4.618387804940129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-3.4106051316484809E-13</v>
      </c>
      <c r="BZ123" s="13">
        <f>BY123*VLOOKUP('Données projet'!$B$12,Paramètres!$A$1:$I$89,3,0)*VLOOKUP('Données projet'!$B$12,Paramètres!$A$1:$I$89,5,0)</f>
        <v>-1.9065282685915009E-13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475.54809021014017</v>
      </c>
      <c r="CE123" s="59">
        <f t="shared" si="94"/>
        <v>593.51433014569966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1.2350889243847143</v>
      </c>
      <c r="CL123" s="21">
        <f>EXP(-LN(2)/25)*CL122+(1-EXP(-LN(2)/25))/(LN(2)/25)*Calculateur!CG123*Calculateur!CI123*VLOOKUP('Données projet'!$B$12,Paramètres!$A$1:$I$89,3,0)*0.475*44/12</f>
        <v>3.5141978822152073</v>
      </c>
      <c r="CM123" s="21">
        <f>EXP(-LN(2)/2)*CM122+(1-EXP(-LN(2)/2))/(LN(2)/2)*CG123*CJ123*VLOOKUP('Données projet'!$B$12,Paramètres!$A$1:$I$89,3,0)*0.475*44/12</f>
        <v>4.0978300616921051E-13</v>
      </c>
      <c r="CN123" s="22">
        <f t="shared" si="66"/>
        <v>4.7492868066003311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-1.1368683772161603E-13</v>
      </c>
      <c r="CU123" s="17">
        <f>CT123*VLOOKUP('Données projet'!$B$13,Paramètres!$A$1:$I$89,3,0)*VLOOKUP('Données projet'!$B$13,Paramètres!$A$1:$I$89,5,0)</f>
        <v>-5.3205440053716299E-14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226.0452828290525</v>
      </c>
      <c r="CZ123" s="59">
        <f t="shared" si="96"/>
        <v>179.89696397462069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1.5269518869197201</v>
      </c>
      <c r="DG123" s="21">
        <f>EXP(-LN(2)/25)*DG122+(1-EXP(-LN(2)/25))/(LN(2)/25)*Calculateur!DB123*Calculateur!DD123*VLOOKUP('Données projet'!$B$13,Paramètres!$A$1:$I$89,3,0)*0.475*44/12</f>
        <v>0.9196409525927548</v>
      </c>
      <c r="DH123" s="21">
        <f>EXP(-LN(2)/2)*DH122+(1-EXP(-LN(2)/2))/(LN(2)/2)*DB123*DE123*VLOOKUP('Données projet'!$B$13,Paramètres!$A$1:$I$89,3,0)*0.475*44/12</f>
        <v>3.1386459351092609E-13</v>
      </c>
      <c r="DI123" s="22">
        <f t="shared" si="69"/>
        <v>2.4465928395127889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1.1368683772161603E-13</v>
      </c>
      <c r="DP123" s="17">
        <f>DO123*VLOOKUP('Données projet'!$B$14,Paramètres!$A$1:$I$89,3,0)*VLOOKUP('Données projet'!$B$14,Paramètres!$A$1:$I$89,5,0)</f>
        <v>6.7984728957526396E-14</v>
      </c>
      <c r="DQ123" s="13">
        <f t="shared" si="97"/>
        <v>1.0682447123141398E-12</v>
      </c>
      <c r="DR123" s="20">
        <f t="shared" si="70"/>
        <v>1.978932943548152E-12</v>
      </c>
      <c r="DS123" s="59">
        <f t="shared" si="71"/>
        <v>293.3333333333353</v>
      </c>
      <c r="DT123" s="59">
        <f ca="1">AVERAGE(OFFSET($DS$3,0,0,'Données projet'!$E$14+1,1))-AVERAGE(OFFSET($H$3,0,0,'Données projet'!$E$14+1,1))</f>
        <v>252.81045065813976</v>
      </c>
      <c r="DU123" s="59">
        <f t="shared" si="98"/>
        <v>254.36590349790589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3.0374405329609568</v>
      </c>
      <c r="EB123" s="21">
        <f>EXP(-LN(2)/25)*EB122+(1-EXP(-LN(2)/25))/(LN(2)/25)*Calculateur!DW123*Calculateur!DY123*VLOOKUP('Données projet'!$B$14,Paramètres!$A$1:$I$89,3,0)*0.475*44/12</f>
        <v>1.3299004490683182</v>
      </c>
      <c r="EC123" s="21">
        <f>EXP(-LN(2)/2)*EC122+(1-EXP(-LN(2)/2))/(LN(2)/2)*DW123*DZ123*VLOOKUP('Données projet'!$B$14,Paramètres!$A$1:$I$89,3,0)*0.475*44/12</f>
        <v>1.6317993879903306E-13</v>
      </c>
      <c r="ED123" s="22">
        <f t="shared" si="72"/>
        <v>4.3673409820294387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-2.8421709430404007E-13</v>
      </c>
      <c r="EK123" s="17">
        <f>EJ123*VLOOKUP('Données projet'!$B$15,Paramètres!$A$1:$I$89,3,0)*VLOOKUP('Données projet'!$B$15,Paramètres!$A$1:$I$89,5,0)</f>
        <v>-2.0838797354372215E-13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296.91321813251051</v>
      </c>
      <c r="EP123" s="59">
        <f t="shared" si="100"/>
        <v>291.0718079639509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2.1779648231691975</v>
      </c>
      <c r="EW123" s="21">
        <f>EXP(-LN(2)/25)*EW122+(1-EXP(-LN(2)/25))/(LN(2)/25)*Calculateur!ER123*Calculateur!ET123*VLOOKUP('Données projet'!$B$15,Paramètres!$A$1:$I$89,3,0)*0.475*44/12</f>
        <v>1.2751471834099084</v>
      </c>
      <c r="EX123" s="21">
        <f>EXP(-LN(2)/2)*EX122+(1-EXP(-LN(2)/2))/(LN(2)/2)*ER123*EU123*VLOOKUP('Données projet'!$B$15,Paramètres!$A$1:$I$89,3,0)*0.475*44/12</f>
        <v>3.0985062768732154E-13</v>
      </c>
      <c r="EY123" s="22">
        <f t="shared" si="75"/>
        <v>3.4531120065794161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>
        <f>FE123*VLOOKUP('Données projet'!$B$16,Paramètres!$A$1:$I$89,3,0)*VLOOKUP('Données projet'!$B$16,Paramètres!$A$1:$I$89,5,0)</f>
        <v>0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356.65981389369125</v>
      </c>
      <c r="FK123" s="59">
        <f t="shared" si="102"/>
        <v>231.92898690465887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1.3779491382624849</v>
      </c>
      <c r="FR123" s="21">
        <f>EXP(-LN(2)/25)*FR122+(1-EXP(-LN(2)/25))/(LN(2)/25)*Calculateur!FM123*Calculateur!FO123*VLOOKUP('Données projet'!$B$16,Paramètres!$A$1:$I$89,3,0)*0.475*44/12</f>
        <v>0.86551443341169432</v>
      </c>
      <c r="FS123" s="21">
        <f>EXP(-LN(2)/2)*FS122+(1-EXP(-LN(2)/2))/(LN(2)/2)*FM123*FP123*VLOOKUP('Données projet'!$B$16,Paramètres!$A$1:$I$89,3,0)*0.475*44/12</f>
        <v>2.7185076849886949E-13</v>
      </c>
      <c r="FT123" s="22">
        <f t="shared" si="78"/>
        <v>2.2434635716744511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>
        <f>FZ123*VLOOKUP('Données projet'!$B$17,Paramètres!$A$1:$I$89,3,0)*VLOOKUP('Données projet'!$B$17,Paramètres!$A$1:$I$89,5,0)</f>
        <v>0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337.76140497227715</v>
      </c>
      <c r="GF123" s="59">
        <f t="shared" si="104"/>
        <v>219.76562717496353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1.3143514857272931</v>
      </c>
      <c r="GM123" s="21">
        <f>EXP(-LN(2)/25)*GM122+(1-EXP(-LN(2)/25))/(LN(2)/25)*Calculateur!GH123*Calculateur!GJ123*VLOOKUP('Données projet'!$B$17,Paramètres!$A$1:$I$89,3,0)*0.475*44/12</f>
        <v>0.82556761340807761</v>
      </c>
      <c r="GN123" s="21">
        <f>EXP(-LN(2)/2)*GN122+(1-EXP(-LN(2)/2))/(LN(2)/2)*GH123*GK123*VLOOKUP('Données projet'!$B$17,Paramètres!$A$1:$I$89,3,0)*0.475*44/12</f>
        <v>2.5930380995276788E-13</v>
      </c>
      <c r="GO123" s="21">
        <f t="shared" si="81"/>
        <v>2.1399190991356303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312.53389584272878</v>
      </c>
      <c r="T124" s="59">
        <f t="shared" si="88"/>
        <v>203.5274665601915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1.2054437996211416</v>
      </c>
      <c r="AA124" s="21">
        <f>EXP(-LN(2)/25)*AA123+(1-EXP(-LN(2)/25))/(LN(2)/25)*Calculateur!V124*Calculateur!X124*VLOOKUP('Données projet'!$B$9,Paramètres!$A$1:$I$89,3,0)*0.475*44/12</f>
        <v>0.75118646079151097</v>
      </c>
      <c r="AB124" s="21">
        <f>EXP(-LN(2)/2)*AB123+(1-EXP(-LN(2)/2))/(LN(2)/2)*V124*Y124*VLOOKUP('Données projet'!$B$9,Paramètres!$A$1:$I$89,3,0)*0.475*44/12</f>
        <v>1.715260964434899E-13</v>
      </c>
      <c r="AC124" s="22">
        <f t="shared" si="57"/>
        <v>1.9566302604128238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5.6843418860808015E-14</v>
      </c>
      <c r="AJ124" s="13">
        <f>AI124*VLOOKUP('Données projet'!$B$10,Paramètres!$A$1:$I$89,3,0)*VLOOKUP('Données projet'!$B$10,Paramètres!$A$1:$I$89,5,0)</f>
        <v>4.9658410716801891E-14</v>
      </c>
      <c r="AK124" s="13">
        <f t="shared" si="89"/>
        <v>8.0934058173791862E-13</v>
      </c>
      <c r="AL124" s="20">
        <f t="shared" si="58"/>
        <v>1.4960899118586383E-12</v>
      </c>
      <c r="AM124" s="59">
        <f t="shared" si="59"/>
        <v>293.33333333333479</v>
      </c>
      <c r="AN124" s="59">
        <f ca="1">AVERAGE(OFFSET($AM$3,0,0,'Données projet'!$E$10+1,1))-AVERAGE(OFFSET($H$3,0,0,'Données projet'!$E$10+1,1))</f>
        <v>243.05628303465238</v>
      </c>
      <c r="AO124" s="59">
        <f t="shared" si="90"/>
        <v>352.47096767658394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1.3021625833593207</v>
      </c>
      <c r="AV124" s="21">
        <f>EXP(-LN(2)/25)*AV123+(1-EXP(-LN(2)/25))/(LN(2)/25)*Calculateur!AQ124*Calculateur!AS124*VLOOKUP('Données projet'!$B$10,Paramètres!$A$1:$I$89,3,0)*0.475*44/12</f>
        <v>1.4533255610894673</v>
      </c>
      <c r="AW124" s="21">
        <f>EXP(-LN(2)/2)*AW123+(1-EXP(-LN(2)/2))/(LN(2)/2)*AQ124*AT124*VLOOKUP('Données projet'!$B$10,Paramètres!$A$1:$I$89,3,0)*0.475*44/12</f>
        <v>2.2655892955763851E-13</v>
      </c>
      <c r="AX124" s="21">
        <f t="shared" si="60"/>
        <v>2.7554881444490142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-2.8421709430404007E-13</v>
      </c>
      <c r="BE124" s="13">
        <f>BD124*VLOOKUP('Données projet'!$B$11,Paramètres!$A$1:$I$89,3,0)*VLOOKUP('Données projet'!$B$11,Paramètres!$A$1:$I$89,5,0)</f>
        <v>-2.2612312022829427E-13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325.72928944930294</v>
      </c>
      <c r="BJ124" s="59">
        <f t="shared" si="92"/>
        <v>318.38876834819752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2.8558128028711698</v>
      </c>
      <c r="BQ124" s="21">
        <f>EXP(-LN(2)/25)*BQ123+(1-EXP(-LN(2)/25))/(LN(2)/25)*Calculateur!BL124*Calculateur!BN124*VLOOKUP('Données projet'!$B$11,Paramètres!$A$1:$I$89,3,0)*0.475*44/12</f>
        <v>1.6588184163931652</v>
      </c>
      <c r="BR124" s="21">
        <f>EXP(-LN(2)/2)*BR123+(1-EXP(-LN(2)/2))/(LN(2)/2)*BL124*BO124*VLOOKUP('Données projet'!$B$11,Paramètres!$A$1:$I$89,3,0)*0.475*44/12</f>
        <v>2.3774407403453723E-13</v>
      </c>
      <c r="BS124" s="22">
        <f t="shared" si="63"/>
        <v>4.5146312192645732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-3.4106051316484809E-13</v>
      </c>
      <c r="BZ124" s="13">
        <f>BY124*VLOOKUP('Données projet'!$B$12,Paramètres!$A$1:$I$89,3,0)*VLOOKUP('Données projet'!$B$12,Paramètres!$A$1:$I$89,5,0)</f>
        <v>-1.9065282685915009E-13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475.54809021014017</v>
      </c>
      <c r="CE124" s="59">
        <f t="shared" si="94"/>
        <v>593.51433014569966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1.2108695839073889</v>
      </c>
      <c r="CL124" s="21">
        <f>EXP(-LN(2)/25)*CL123+(1-EXP(-LN(2)/25))/(LN(2)/25)*Calculateur!CG124*Calculateur!CI124*VLOOKUP('Données projet'!$B$12,Paramètres!$A$1:$I$89,3,0)*0.475*44/12</f>
        <v>3.4181019563223978</v>
      </c>
      <c r="CM124" s="21">
        <f>EXP(-LN(2)/2)*CM123+(1-EXP(-LN(2)/2))/(LN(2)/2)*CG124*CJ124*VLOOKUP('Données projet'!$B$12,Paramètres!$A$1:$I$89,3,0)*0.475*44/12</f>
        <v>2.8976034247725759E-13</v>
      </c>
      <c r="CN124" s="22">
        <f t="shared" si="66"/>
        <v>4.6289715402300757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-1.1368683772161603E-13</v>
      </c>
      <c r="CU124" s="17">
        <f>CT124*VLOOKUP('Données projet'!$B$13,Paramètres!$A$1:$I$89,3,0)*VLOOKUP('Données projet'!$B$13,Paramètres!$A$1:$I$89,5,0)</f>
        <v>-5.3205440053716299E-14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226.0452828290525</v>
      </c>
      <c r="CZ124" s="59">
        <f t="shared" si="96"/>
        <v>179.89696397462069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1.4970092917659124</v>
      </c>
      <c r="DG124" s="21">
        <f>EXP(-LN(2)/25)*DG123+(1-EXP(-LN(2)/25))/(LN(2)/25)*Calculateur!DB124*Calculateur!DD124*VLOOKUP('Données projet'!$B$13,Paramètres!$A$1:$I$89,3,0)*0.475*44/12</f>
        <v>0.89449332238229007</v>
      </c>
      <c r="DH124" s="21">
        <f>EXP(-LN(2)/2)*DH123+(1-EXP(-LN(2)/2))/(LN(2)/2)*DB124*DE124*VLOOKUP('Données projet'!$B$13,Paramètres!$A$1:$I$89,3,0)*0.475*44/12</f>
        <v>2.2193578244593512E-13</v>
      </c>
      <c r="DI124" s="22">
        <f t="shared" si="69"/>
        <v>2.3915026141484246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1.1368683772161603E-13</v>
      </c>
      <c r="DP124" s="17">
        <f>DO124*VLOOKUP('Données projet'!$B$14,Paramètres!$A$1:$I$89,3,0)*VLOOKUP('Données projet'!$B$14,Paramètres!$A$1:$I$89,5,0)</f>
        <v>6.7984728957526396E-14</v>
      </c>
      <c r="DQ124" s="13">
        <f t="shared" si="97"/>
        <v>1.0682447123141398E-12</v>
      </c>
      <c r="DR124" s="20">
        <f t="shared" si="70"/>
        <v>1.978932943548152E-12</v>
      </c>
      <c r="DS124" s="59">
        <f t="shared" si="71"/>
        <v>293.3333333333353</v>
      </c>
      <c r="DT124" s="59">
        <f ca="1">AVERAGE(OFFSET($DS$3,0,0,'Données projet'!$E$14+1,1))-AVERAGE(OFFSET($H$3,0,0,'Données projet'!$E$14+1,1))</f>
        <v>252.81045065813976</v>
      </c>
      <c r="DU124" s="59">
        <f t="shared" si="98"/>
        <v>254.36590349790589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2.9778781767653828</v>
      </c>
      <c r="EB124" s="21">
        <f>EXP(-LN(2)/25)*EB123+(1-EXP(-LN(2)/25))/(LN(2)/25)*Calculateur!DW124*Calculateur!DY124*VLOOKUP('Données projet'!$B$14,Paramètres!$A$1:$I$89,3,0)*0.475*44/12</f>
        <v>1.29353425135212</v>
      </c>
      <c r="EC124" s="21">
        <f>EXP(-LN(2)/2)*EC123+(1-EXP(-LN(2)/2))/(LN(2)/2)*DW124*DZ124*VLOOKUP('Données projet'!$B$14,Paramètres!$A$1:$I$89,3,0)*0.475*44/12</f>
        <v>1.1538564127840209E-13</v>
      </c>
      <c r="ED124" s="22">
        <f t="shared" si="72"/>
        <v>4.2714124281176185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-2.8421709430404007E-13</v>
      </c>
      <c r="EK124" s="17">
        <f>EJ124*VLOOKUP('Données projet'!$B$15,Paramètres!$A$1:$I$89,3,0)*VLOOKUP('Données projet'!$B$15,Paramètres!$A$1:$I$89,5,0)</f>
        <v>-2.0838797354372215E-13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296.91321813251051</v>
      </c>
      <c r="EP124" s="59">
        <f t="shared" si="100"/>
        <v>291.0718079639509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2.1352562614142205</v>
      </c>
      <c r="EW124" s="21">
        <f>EXP(-LN(2)/25)*EW123+(1-EXP(-LN(2)/25))/(LN(2)/25)*Calculateur!ER124*Calculateur!ET124*VLOOKUP('Données projet'!$B$15,Paramètres!$A$1:$I$89,3,0)*0.475*44/12</f>
        <v>1.2402782166224884</v>
      </c>
      <c r="EX124" s="21">
        <f>EXP(-LN(2)/2)*EX123+(1-EXP(-LN(2)/2))/(LN(2)/2)*ER124*EU124*VLOOKUP('Données projet'!$B$15,Paramètres!$A$1:$I$89,3,0)*0.475*44/12</f>
        <v>2.1909747999261328E-13</v>
      </c>
      <c r="EY124" s="22">
        <f t="shared" si="75"/>
        <v>3.3755344780369279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>
        <f>FE124*VLOOKUP('Données projet'!$B$16,Paramètres!$A$1:$I$89,3,0)*VLOOKUP('Données projet'!$B$16,Paramètres!$A$1:$I$89,5,0)</f>
        <v>0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356.65981389369125</v>
      </c>
      <c r="FK124" s="59">
        <f t="shared" si="102"/>
        <v>231.92898690465887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1.3509283961271428</v>
      </c>
      <c r="FR124" s="21">
        <f>EXP(-LN(2)/25)*FR123+(1-EXP(-LN(2)/25))/(LN(2)/25)*Calculateur!FM124*Calculateur!FO124*VLOOKUP('Données projet'!$B$16,Paramètres!$A$1:$I$89,3,0)*0.475*44/12</f>
        <v>0.84184689571462568</v>
      </c>
      <c r="FS124" s="21">
        <f>EXP(-LN(2)/2)*FS123+(1-EXP(-LN(2)/2))/(LN(2)/2)*FM124*FP124*VLOOKUP('Données projet'!$B$16,Paramètres!$A$1:$I$89,3,0)*0.475*44/12</f>
        <v>1.922275218763249E-13</v>
      </c>
      <c r="FT124" s="22">
        <f t="shared" si="78"/>
        <v>2.192775291841961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>
        <f>FZ124*VLOOKUP('Données projet'!$B$17,Paramètres!$A$1:$I$89,3,0)*VLOOKUP('Données projet'!$B$17,Paramètres!$A$1:$I$89,5,0)</f>
        <v>0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337.76140497227715</v>
      </c>
      <c r="GF124" s="59">
        <f t="shared" si="104"/>
        <v>219.76562717496353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1.2885778547674283</v>
      </c>
      <c r="GM124" s="21">
        <f>EXP(-LN(2)/25)*GM123+(1-EXP(-LN(2)/25))/(LN(2)/25)*Calculateur!GH124*Calculateur!GJ124*VLOOKUP('Données projet'!$B$17,Paramètres!$A$1:$I$89,3,0)*0.475*44/12</f>
        <v>0.80299242360471978</v>
      </c>
      <c r="GN124" s="21">
        <f>EXP(-LN(2)/2)*GN123+(1-EXP(-LN(2)/2))/(LN(2)/2)*GH124*GK124*VLOOKUP('Données projet'!$B$17,Paramètres!$A$1:$I$89,3,0)*0.475*44/12</f>
        <v>1.8335548240510994E-13</v>
      </c>
      <c r="GO124" s="21">
        <f t="shared" si="81"/>
        <v>2.0915702783723313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312.53389584272878</v>
      </c>
      <c r="T125" s="59">
        <f t="shared" si="88"/>
        <v>203.5274665601915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1.1818057819586891</v>
      </c>
      <c r="AA125" s="21">
        <f>EXP(-LN(2)/25)*AA124+(1-EXP(-LN(2)/25))/(LN(2)/25)*Calculateur!V125*Calculateur!X125*VLOOKUP('Données projet'!$B$9,Paramètres!$A$1:$I$89,3,0)*0.475*44/12</f>
        <v>0.73064522751798799</v>
      </c>
      <c r="AB125" s="21">
        <f>EXP(-LN(2)/2)*AB124+(1-EXP(-LN(2)/2))/(LN(2)/2)*V125*Y125*VLOOKUP('Données projet'!$B$9,Paramètres!$A$1:$I$89,3,0)*0.475*44/12</f>
        <v>1.2128726594564946E-13</v>
      </c>
      <c r="AC125" s="22">
        <f t="shared" si="57"/>
        <v>1.9124510094767984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5.6843418860808015E-14</v>
      </c>
      <c r="AJ125" s="13">
        <f>AI125*VLOOKUP('Données projet'!$B$10,Paramètres!$A$1:$I$89,3,0)*VLOOKUP('Données projet'!$B$10,Paramètres!$A$1:$I$89,5,0)</f>
        <v>4.9658410716801891E-14</v>
      </c>
      <c r="AK125" s="13">
        <f t="shared" si="89"/>
        <v>8.0934058173791862E-13</v>
      </c>
      <c r="AL125" s="20">
        <f t="shared" si="58"/>
        <v>1.4960899118586383E-12</v>
      </c>
      <c r="AM125" s="59">
        <f t="shared" si="59"/>
        <v>293.33333333333479</v>
      </c>
      <c r="AN125" s="59">
        <f ca="1">AVERAGE(OFFSET($AM$3,0,0,'Données projet'!$E$10+1,1))-AVERAGE(OFFSET($H$3,0,0,'Données projet'!$E$10+1,1))</f>
        <v>243.05628303465238</v>
      </c>
      <c r="AO125" s="59">
        <f t="shared" si="90"/>
        <v>352.47096767658394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1.2766279693403955</v>
      </c>
      <c r="AV125" s="21">
        <f>EXP(-LN(2)/25)*AV124+(1-EXP(-LN(2)/25))/(LN(2)/25)*Calculateur!AQ125*Calculateur!AS125*VLOOKUP('Données projet'!$B$10,Paramètres!$A$1:$I$89,3,0)*0.475*44/12</f>
        <v>1.4135842971944061</v>
      </c>
      <c r="AW125" s="21">
        <f>EXP(-LN(2)/2)*AW124+(1-EXP(-LN(2)/2))/(LN(2)/2)*AQ125*AT125*VLOOKUP('Données projet'!$B$10,Paramètres!$A$1:$I$89,3,0)*0.475*44/12</f>
        <v>1.6020135542857155E-13</v>
      </c>
      <c r="AX125" s="21">
        <f t="shared" si="60"/>
        <v>2.6902122665349619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-2.8421709430404007E-13</v>
      </c>
      <c r="BE125" s="13">
        <f>BD125*VLOOKUP('Données projet'!$B$11,Paramètres!$A$1:$I$89,3,0)*VLOOKUP('Données projet'!$B$11,Paramètres!$A$1:$I$89,5,0)</f>
        <v>-2.2612312022829427E-13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325.72928944930294</v>
      </c>
      <c r="BJ125" s="59">
        <f t="shared" si="92"/>
        <v>318.38876834819752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2.7998120556806803</v>
      </c>
      <c r="BQ125" s="21">
        <f>EXP(-LN(2)/25)*BQ124+(1-EXP(-LN(2)/25))/(LN(2)/25)*Calculateur!BL125*Calculateur!BN125*VLOOKUP('Données projet'!$B$11,Paramètres!$A$1:$I$89,3,0)*0.475*44/12</f>
        <v>1.6134579395634248</v>
      </c>
      <c r="BR125" s="21">
        <f>EXP(-LN(2)/2)*BR124+(1-EXP(-LN(2)/2))/(LN(2)/2)*BL125*BO125*VLOOKUP('Données projet'!$B$11,Paramètres!$A$1:$I$89,3,0)*0.475*44/12</f>
        <v>1.6811044693673788E-13</v>
      </c>
      <c r="BS125" s="22">
        <f t="shared" si="63"/>
        <v>4.4132699952442733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-3.4106051316484809E-13</v>
      </c>
      <c r="BZ125" s="13">
        <f>BY125*VLOOKUP('Données projet'!$B$12,Paramètres!$A$1:$I$89,3,0)*VLOOKUP('Données projet'!$B$12,Paramètres!$A$1:$I$89,5,0)</f>
        <v>-1.9065282685915009E-13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475.54809021014017</v>
      </c>
      <c r="CE125" s="59">
        <f t="shared" si="94"/>
        <v>593.51433014569966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1.1871251699244847</v>
      </c>
      <c r="CL125" s="21">
        <f>EXP(-LN(2)/25)*CL124+(1-EXP(-LN(2)/25))/(LN(2)/25)*Calculateur!CG125*Calculateur!CI125*VLOOKUP('Données projet'!$B$12,Paramètres!$A$1:$I$89,3,0)*0.475*44/12</f>
        <v>3.324633778576592</v>
      </c>
      <c r="CM125" s="21">
        <f>EXP(-LN(2)/2)*CM124+(1-EXP(-LN(2)/2))/(LN(2)/2)*CG125*CJ125*VLOOKUP('Données projet'!$B$12,Paramètres!$A$1:$I$89,3,0)*0.475*44/12</f>
        <v>2.0489150308460526E-13</v>
      </c>
      <c r="CN125" s="22">
        <f t="shared" si="66"/>
        <v>4.5117589485012823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-1.1368683772161603E-13</v>
      </c>
      <c r="CU125" s="17">
        <f>CT125*VLOOKUP('Données projet'!$B$13,Paramètres!$A$1:$I$89,3,0)*VLOOKUP('Données projet'!$B$13,Paramètres!$A$1:$I$89,5,0)</f>
        <v>-5.3205440053716299E-14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226.0452828290525</v>
      </c>
      <c r="CZ125" s="59">
        <f t="shared" si="96"/>
        <v>179.89696397462069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1.467653852639891</v>
      </c>
      <c r="DG125" s="21">
        <f>EXP(-LN(2)/25)*DG124+(1-EXP(-LN(2)/25))/(LN(2)/25)*Calculateur!DB125*Calculateur!DD125*VLOOKUP('Données projet'!$B$13,Paramètres!$A$1:$I$89,3,0)*0.475*44/12</f>
        <v>0.87003335544238691</v>
      </c>
      <c r="DH125" s="21">
        <f>EXP(-LN(2)/2)*DH124+(1-EXP(-LN(2)/2))/(LN(2)/2)*DB125*DE125*VLOOKUP('Données projet'!$B$13,Paramètres!$A$1:$I$89,3,0)*0.475*44/12</f>
        <v>1.5693229675546307E-13</v>
      </c>
      <c r="DI125" s="22">
        <f t="shared" si="69"/>
        <v>2.3376872080824347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1.1368683772161603E-13</v>
      </c>
      <c r="DP125" s="17">
        <f>DO125*VLOOKUP('Données projet'!$B$14,Paramètres!$A$1:$I$89,3,0)*VLOOKUP('Données projet'!$B$14,Paramètres!$A$1:$I$89,5,0)</f>
        <v>6.7984728957526396E-14</v>
      </c>
      <c r="DQ125" s="13">
        <f t="shared" si="97"/>
        <v>1.0682447123141398E-12</v>
      </c>
      <c r="DR125" s="20">
        <f t="shared" si="70"/>
        <v>1.978932943548152E-12</v>
      </c>
      <c r="DS125" s="59">
        <f t="shared" si="71"/>
        <v>293.3333333333353</v>
      </c>
      <c r="DT125" s="59">
        <f ca="1">AVERAGE(OFFSET($DS$3,0,0,'Données projet'!$E$14+1,1))-AVERAGE(OFFSET($H$3,0,0,'Données projet'!$E$14+1,1))</f>
        <v>252.81045065813976</v>
      </c>
      <c r="DU125" s="59">
        <f t="shared" si="98"/>
        <v>254.36590349790589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2.9194838020453542</v>
      </c>
      <c r="EB125" s="21">
        <f>EXP(-LN(2)/25)*EB124+(1-EXP(-LN(2)/25))/(LN(2)/25)*Calculateur!DW125*Calculateur!DY125*VLOOKUP('Données projet'!$B$14,Paramètres!$A$1:$I$89,3,0)*0.475*44/12</f>
        <v>1.2581624892248864</v>
      </c>
      <c r="EC125" s="21">
        <f>EXP(-LN(2)/2)*EC124+(1-EXP(-LN(2)/2))/(LN(2)/2)*DW125*DZ125*VLOOKUP('Données projet'!$B$14,Paramètres!$A$1:$I$89,3,0)*0.475*44/12</f>
        <v>8.1589969399516531E-14</v>
      </c>
      <c r="ED125" s="22">
        <f t="shared" si="72"/>
        <v>4.1776462912703227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-2.8421709430404007E-13</v>
      </c>
      <c r="EK125" s="17">
        <f>EJ125*VLOOKUP('Données projet'!$B$15,Paramètres!$A$1:$I$89,3,0)*VLOOKUP('Données projet'!$B$15,Paramètres!$A$1:$I$89,5,0)</f>
        <v>-2.0838797354372215E-13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296.91321813251051</v>
      </c>
      <c r="EP125" s="59">
        <f t="shared" si="100"/>
        <v>291.0718079639509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2.0933851885056081</v>
      </c>
      <c r="EW125" s="21">
        <f>EXP(-LN(2)/25)*EW124+(1-EXP(-LN(2)/25))/(LN(2)/25)*Calculateur!ER125*Calculateur!ET125*VLOOKUP('Données projet'!$B$15,Paramètres!$A$1:$I$89,3,0)*0.475*44/12</f>
        <v>1.2063627435655497</v>
      </c>
      <c r="EX125" s="21">
        <f>EXP(-LN(2)/2)*EX124+(1-EXP(-LN(2)/2))/(LN(2)/2)*ER125*EU125*VLOOKUP('Données projet'!$B$15,Paramètres!$A$1:$I$89,3,0)*0.475*44/12</f>
        <v>1.5492531384366077E-13</v>
      </c>
      <c r="EY125" s="22">
        <f t="shared" si="75"/>
        <v>3.299747932071313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>
        <f>FE125*VLOOKUP('Données projet'!$B$16,Paramètres!$A$1:$I$89,3,0)*VLOOKUP('Données projet'!$B$16,Paramètres!$A$1:$I$89,5,0)</f>
        <v>0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356.65981389369125</v>
      </c>
      <c r="FK125" s="59">
        <f t="shared" si="102"/>
        <v>231.92898690465887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1.3244375142640494</v>
      </c>
      <c r="FR125" s="21">
        <f>EXP(-LN(2)/25)*FR124+(1-EXP(-LN(2)/25))/(LN(2)/25)*Calculateur!FM125*Calculateur!FO125*VLOOKUP('Données projet'!$B$16,Paramètres!$A$1:$I$89,3,0)*0.475*44/12</f>
        <v>0.81882654808050503</v>
      </c>
      <c r="FS125" s="21">
        <f>EXP(-LN(2)/2)*FS124+(1-EXP(-LN(2)/2))/(LN(2)/2)*FM125*FP125*VLOOKUP('Données projet'!$B$16,Paramètres!$A$1:$I$89,3,0)*0.475*44/12</f>
        <v>1.3592538424943474E-13</v>
      </c>
      <c r="FT125" s="22">
        <f t="shared" si="78"/>
        <v>2.1432640623446906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>
        <f>FZ125*VLOOKUP('Données projet'!$B$17,Paramètres!$A$1:$I$89,3,0)*VLOOKUP('Données projet'!$B$17,Paramètres!$A$1:$I$89,5,0)</f>
        <v>0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337.76140497227715</v>
      </c>
      <c r="GF125" s="59">
        <f t="shared" si="104"/>
        <v>219.76562717496353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1.2633096289903238</v>
      </c>
      <c r="GM125" s="21">
        <f>EXP(-LN(2)/25)*GM124+(1-EXP(-LN(2)/25))/(LN(2)/25)*Calculateur!GH125*Calculateur!GJ125*VLOOKUP('Données projet'!$B$17,Paramètres!$A$1:$I$89,3,0)*0.475*44/12</f>
        <v>0.78103455355371243</v>
      </c>
      <c r="GN125" s="21">
        <f>EXP(-LN(2)/2)*GN124+(1-EXP(-LN(2)/2))/(LN(2)/2)*GH125*GK125*VLOOKUP('Données projet'!$B$17,Paramètres!$A$1:$I$89,3,0)*0.475*44/12</f>
        <v>1.2965190497638394E-13</v>
      </c>
      <c r="GO125" s="21">
        <f t="shared" si="81"/>
        <v>2.0443441825441662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312.53389584272878</v>
      </c>
      <c r="T126" s="59">
        <f t="shared" si="88"/>
        <v>203.5274665601915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1.1586312914048302</v>
      </c>
      <c r="AA126" s="21">
        <f>EXP(-LN(2)/25)*AA125+(1-EXP(-LN(2)/25))/(LN(2)/25)*Calculateur!V126*Calculateur!X126*VLOOKUP('Données projet'!$B$9,Paramètres!$A$1:$I$89,3,0)*0.475*44/12</f>
        <v>0.71066569534854596</v>
      </c>
      <c r="AB126" s="21">
        <f>EXP(-LN(2)/2)*AB125+(1-EXP(-LN(2)/2))/(LN(2)/2)*V126*Y126*VLOOKUP('Données projet'!$B$9,Paramètres!$A$1:$I$89,3,0)*0.475*44/12</f>
        <v>8.576304822174495E-14</v>
      </c>
      <c r="AC126" s="22">
        <f t="shared" si="57"/>
        <v>1.8692969867534619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5.6843418860808015E-14</v>
      </c>
      <c r="AJ126" s="13">
        <f>AI126*VLOOKUP('Données projet'!$B$10,Paramètres!$A$1:$I$89,3,0)*VLOOKUP('Données projet'!$B$10,Paramètres!$A$1:$I$89,5,0)</f>
        <v>4.9658410716801891E-14</v>
      </c>
      <c r="AK126" s="13">
        <f t="shared" si="89"/>
        <v>8.0934058173791862E-13</v>
      </c>
      <c r="AL126" s="20">
        <f t="shared" si="58"/>
        <v>1.4960899118586383E-12</v>
      </c>
      <c r="AM126" s="59">
        <f t="shared" si="59"/>
        <v>293.33333333333479</v>
      </c>
      <c r="AN126" s="59">
        <f ca="1">AVERAGE(OFFSET($AM$3,0,0,'Données projet'!$E$10+1,1))-AVERAGE(OFFSET($H$3,0,0,'Données projet'!$E$10+1,1))</f>
        <v>243.05628303465238</v>
      </c>
      <c r="AO126" s="59">
        <f t="shared" si="90"/>
        <v>352.47096767658394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1.2515940735278046</v>
      </c>
      <c r="AV126" s="21">
        <f>EXP(-LN(2)/25)*AV125+(1-EXP(-LN(2)/25))/(LN(2)/25)*Calculateur!AQ126*Calculateur!AS126*VLOOKUP('Données projet'!$B$10,Paramètres!$A$1:$I$89,3,0)*0.475*44/12</f>
        <v>1.3749297602504578</v>
      </c>
      <c r="AW126" s="21">
        <f>EXP(-LN(2)/2)*AW125+(1-EXP(-LN(2)/2))/(LN(2)/2)*AQ126*AT126*VLOOKUP('Données projet'!$B$10,Paramètres!$A$1:$I$89,3,0)*0.475*44/12</f>
        <v>1.1327946477881928E-13</v>
      </c>
      <c r="AX126" s="21">
        <f t="shared" si="60"/>
        <v>2.6265238337783754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-2.8421709430404007E-13</v>
      </c>
      <c r="BE126" s="13">
        <f>BD126*VLOOKUP('Données projet'!$B$11,Paramètres!$A$1:$I$89,3,0)*VLOOKUP('Données projet'!$B$11,Paramètres!$A$1:$I$89,5,0)</f>
        <v>-2.2612312022829427E-13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325.72928944930294</v>
      </c>
      <c r="BJ126" s="59">
        <f t="shared" si="92"/>
        <v>318.38876834819752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2.744909448985513</v>
      </c>
      <c r="BQ126" s="21">
        <f>EXP(-LN(2)/25)*BQ125+(1-EXP(-LN(2)/25))/(LN(2)/25)*Calculateur!BL126*Calculateur!BN126*VLOOKUP('Données projet'!$B$11,Paramètres!$A$1:$I$89,3,0)*0.475*44/12</f>
        <v>1.5693378473579975</v>
      </c>
      <c r="BR126" s="21">
        <f>EXP(-LN(2)/2)*BR125+(1-EXP(-LN(2)/2))/(LN(2)/2)*BL126*BO126*VLOOKUP('Données projet'!$B$11,Paramètres!$A$1:$I$89,3,0)*0.475*44/12</f>
        <v>1.1887203701726861E-13</v>
      </c>
      <c r="BS126" s="22">
        <f t="shared" si="63"/>
        <v>4.3142472963436296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-3.4106051316484809E-13</v>
      </c>
      <c r="BZ126" s="13">
        <f>BY126*VLOOKUP('Données projet'!$B$12,Paramètres!$A$1:$I$89,3,0)*VLOOKUP('Données projet'!$B$12,Paramètres!$A$1:$I$89,5,0)</f>
        <v>-1.9065282685915009E-13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475.54809021014017</v>
      </c>
      <c r="CE126" s="59">
        <f t="shared" si="94"/>
        <v>593.51433014569966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1.1638463694171228</v>
      </c>
      <c r="CL126" s="21">
        <f>EXP(-LN(2)/25)*CL125+(1-EXP(-LN(2)/25))/(LN(2)/25)*Calculateur!CG126*Calculateur!CI126*VLOOKUP('Données projet'!$B$12,Paramètres!$A$1:$I$89,3,0)*0.475*44/12</f>
        <v>3.2337214930665232</v>
      </c>
      <c r="CM126" s="21">
        <f>EXP(-LN(2)/2)*CM125+(1-EXP(-LN(2)/2))/(LN(2)/2)*CG126*CJ126*VLOOKUP('Données projet'!$B$12,Paramètres!$A$1:$I$89,3,0)*0.475*44/12</f>
        <v>1.4488017123862879E-13</v>
      </c>
      <c r="CN126" s="22">
        <f t="shared" si="66"/>
        <v>4.3975678624837906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-1.1368683772161603E-13</v>
      </c>
      <c r="CU126" s="17">
        <f>CT126*VLOOKUP('Données projet'!$B$13,Paramètres!$A$1:$I$89,3,0)*VLOOKUP('Données projet'!$B$13,Paramètres!$A$1:$I$89,5,0)</f>
        <v>-5.3205440053716299E-14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226.0452828290525</v>
      </c>
      <c r="CZ126" s="59">
        <f t="shared" si="96"/>
        <v>179.89696397462069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1.4388740557700812</v>
      </c>
      <c r="DG126" s="21">
        <f>EXP(-LN(2)/25)*DG125+(1-EXP(-LN(2)/25))/(LN(2)/25)*Calculateur!DB126*Calculateur!DD126*VLOOKUP('Données projet'!$B$13,Paramètres!$A$1:$I$89,3,0)*0.475*44/12</f>
        <v>0.8462422475847492</v>
      </c>
      <c r="DH126" s="21">
        <f>EXP(-LN(2)/2)*DH125+(1-EXP(-LN(2)/2))/(LN(2)/2)*DB126*DE126*VLOOKUP('Données projet'!$B$13,Paramètres!$A$1:$I$89,3,0)*0.475*44/12</f>
        <v>1.1096789122296757E-13</v>
      </c>
      <c r="DI126" s="22">
        <f t="shared" si="69"/>
        <v>2.2851163033549415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1.1368683772161603E-13</v>
      </c>
      <c r="DP126" s="17">
        <f>DO126*VLOOKUP('Données projet'!$B$14,Paramètres!$A$1:$I$89,3,0)*VLOOKUP('Données projet'!$B$14,Paramètres!$A$1:$I$89,5,0)</f>
        <v>6.7984728957526396E-14</v>
      </c>
      <c r="DQ126" s="13">
        <f t="shared" si="97"/>
        <v>1.0682447123141398E-12</v>
      </c>
      <c r="DR126" s="20">
        <f t="shared" si="70"/>
        <v>1.978932943548152E-12</v>
      </c>
      <c r="DS126" s="59">
        <f t="shared" si="71"/>
        <v>293.3333333333353</v>
      </c>
      <c r="DT126" s="59">
        <f ca="1">AVERAGE(OFFSET($DS$3,0,0,'Données projet'!$E$14+1,1))-AVERAGE(OFFSET($H$3,0,0,'Données projet'!$E$14+1,1))</f>
        <v>252.81045065813976</v>
      </c>
      <c r="DU126" s="59">
        <f t="shared" si="98"/>
        <v>254.36590349790589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2.8622345053965335</v>
      </c>
      <c r="EB126" s="21">
        <f>EXP(-LN(2)/25)*EB125+(1-EXP(-LN(2)/25))/(LN(2)/25)*Calculateur!DW126*Calculateur!DY126*VLOOKUP('Données projet'!$B$14,Paramètres!$A$1:$I$89,3,0)*0.475*44/12</f>
        <v>1.2237579697931422</v>
      </c>
      <c r="EC126" s="21">
        <f>EXP(-LN(2)/2)*EC125+(1-EXP(-LN(2)/2))/(LN(2)/2)*DW126*DZ126*VLOOKUP('Données projet'!$B$14,Paramètres!$A$1:$I$89,3,0)*0.475*44/12</f>
        <v>5.7692820639201043E-14</v>
      </c>
      <c r="ED126" s="22">
        <f t="shared" si="72"/>
        <v>4.085992475189733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-2.8421709430404007E-13</v>
      </c>
      <c r="EK126" s="17">
        <f>EJ126*VLOOKUP('Données projet'!$B$15,Paramètres!$A$1:$I$89,3,0)*VLOOKUP('Données projet'!$B$15,Paramètres!$A$1:$I$89,5,0)</f>
        <v>-2.0838797354372215E-13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296.91321813251051</v>
      </c>
      <c r="EP126" s="59">
        <f t="shared" si="100"/>
        <v>291.0718079639509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2.0523351817979005</v>
      </c>
      <c r="EW126" s="21">
        <f>EXP(-LN(2)/25)*EW125+(1-EXP(-LN(2)/25))/(LN(2)/25)*Calculateur!ER126*Calculateur!ET126*VLOOKUP('Données projet'!$B$15,Paramètres!$A$1:$I$89,3,0)*0.475*44/12</f>
        <v>1.1733746909028904</v>
      </c>
      <c r="EX126" s="21">
        <f>EXP(-LN(2)/2)*EX125+(1-EXP(-LN(2)/2))/(LN(2)/2)*ER126*EU126*VLOOKUP('Données projet'!$B$15,Paramètres!$A$1:$I$89,3,0)*0.475*44/12</f>
        <v>1.0954873999630664E-13</v>
      </c>
      <c r="EY126" s="22">
        <f t="shared" si="75"/>
        <v>3.2257098727009006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>
        <f>FE126*VLOOKUP('Données projet'!$B$16,Paramètres!$A$1:$I$89,3,0)*VLOOKUP('Données projet'!$B$16,Paramètres!$A$1:$I$89,5,0)</f>
        <v>0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356.65981389369125</v>
      </c>
      <c r="FK126" s="59">
        <f t="shared" si="102"/>
        <v>231.92898690465887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1.2984661024364488</v>
      </c>
      <c r="FR126" s="21">
        <f>EXP(-LN(2)/25)*FR125+(1-EXP(-LN(2)/25))/(LN(2)/25)*Calculateur!FM126*Calculateur!FO126*VLOOKUP('Données projet'!$B$16,Paramètres!$A$1:$I$89,3,0)*0.475*44/12</f>
        <v>0.79643569306302686</v>
      </c>
      <c r="FS126" s="21">
        <f>EXP(-LN(2)/2)*FS125+(1-EXP(-LN(2)/2))/(LN(2)/2)*FM126*FP126*VLOOKUP('Données projet'!$B$16,Paramètres!$A$1:$I$89,3,0)*0.475*44/12</f>
        <v>9.6113760938162448E-14</v>
      </c>
      <c r="FT126" s="22">
        <f t="shared" si="78"/>
        <v>2.0949017954995717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>
        <f>FZ126*VLOOKUP('Données projet'!$B$17,Paramètres!$A$1:$I$89,3,0)*VLOOKUP('Données projet'!$B$17,Paramètres!$A$1:$I$89,5,0)</f>
        <v>0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337.76140497227715</v>
      </c>
      <c r="GF126" s="59">
        <f t="shared" si="104"/>
        <v>219.76562717496353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1.2385368977086124</v>
      </c>
      <c r="GM126" s="21">
        <f>EXP(-LN(2)/25)*GM125+(1-EXP(-LN(2)/25))/(LN(2)/25)*Calculateur!GH126*Calculateur!GJ126*VLOOKUP('Données projet'!$B$17,Paramètres!$A$1:$I$89,3,0)*0.475*44/12</f>
        <v>0.75967712261396403</v>
      </c>
      <c r="GN126" s="21">
        <f>EXP(-LN(2)/2)*GN125+(1-EXP(-LN(2)/2))/(LN(2)/2)*GH126*GK126*VLOOKUP('Données projet'!$B$17,Paramètres!$A$1:$I$89,3,0)*0.475*44/12</f>
        <v>9.1677741202554972E-14</v>
      </c>
      <c r="GO126" s="21">
        <f t="shared" si="81"/>
        <v>1.9982140203226681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312.53389584272878</v>
      </c>
      <c r="T127" s="59">
        <f t="shared" si="88"/>
        <v>203.5274665601915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1.1359112384756889</v>
      </c>
      <c r="AA127" s="21">
        <f>EXP(-LN(2)/25)*AA126+(1-EXP(-LN(2)/25))/(LN(2)/25)*Calculateur!V127*Calculateur!X127*VLOOKUP('Données projet'!$B$9,Paramètres!$A$1:$I$89,3,0)*0.475*44/12</f>
        <v>0.69123250453695528</v>
      </c>
      <c r="AB127" s="21">
        <f>EXP(-LN(2)/2)*AB126+(1-EXP(-LN(2)/2))/(LN(2)/2)*V127*Y127*VLOOKUP('Données projet'!$B$9,Paramètres!$A$1:$I$89,3,0)*0.475*44/12</f>
        <v>6.0643632972824729E-14</v>
      </c>
      <c r="AC127" s="22">
        <f t="shared" si="57"/>
        <v>1.8271437430127049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5.6843418860808015E-14</v>
      </c>
      <c r="AJ127" s="13">
        <f>AI127*VLOOKUP('Données projet'!$B$10,Paramètres!$A$1:$I$89,3,0)*VLOOKUP('Données projet'!$B$10,Paramètres!$A$1:$I$89,5,0)</f>
        <v>4.9658410716801891E-14</v>
      </c>
      <c r="AK127" s="13">
        <f t="shared" si="89"/>
        <v>8.0934058173791862E-13</v>
      </c>
      <c r="AL127" s="20">
        <f t="shared" si="58"/>
        <v>1.4960899118586383E-12</v>
      </c>
      <c r="AM127" s="59">
        <f t="shared" si="59"/>
        <v>293.33333333333479</v>
      </c>
      <c r="AN127" s="59">
        <f ca="1">AVERAGE(OFFSET($AM$3,0,0,'Données projet'!$E$10+1,1))-AVERAGE(OFFSET($H$3,0,0,'Données projet'!$E$10+1,1))</f>
        <v>243.05628303465238</v>
      </c>
      <c r="AO127" s="59">
        <f t="shared" si="90"/>
        <v>352.47096767658394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1.2270510771429299</v>
      </c>
      <c r="AV127" s="21">
        <f>EXP(-LN(2)/25)*AV126+(1-EXP(-LN(2)/25))/(LN(2)/25)*Calculateur!AQ127*Calculateur!AS127*VLOOKUP('Données projet'!$B$10,Paramètres!$A$1:$I$89,3,0)*0.475*44/12</f>
        <v>1.3373322336519953</v>
      </c>
      <c r="AW127" s="21">
        <f>EXP(-LN(2)/2)*AW126+(1-EXP(-LN(2)/2))/(LN(2)/2)*AQ127*AT127*VLOOKUP('Données projet'!$B$10,Paramètres!$A$1:$I$89,3,0)*0.475*44/12</f>
        <v>8.0100677714285787E-14</v>
      </c>
      <c r="AX127" s="21">
        <f t="shared" si="60"/>
        <v>2.5643833107950051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-2.8421709430404007E-13</v>
      </c>
      <c r="BE127" s="13">
        <f>BD127*VLOOKUP('Données projet'!$B$11,Paramètres!$A$1:$I$89,3,0)*VLOOKUP('Données projet'!$B$11,Paramètres!$A$1:$I$89,5,0)</f>
        <v>-2.2612312022829427E-13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325.72928944930294</v>
      </c>
      <c r="BJ127" s="59">
        <f t="shared" si="92"/>
        <v>318.38876834819752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2.6910834489203546</v>
      </c>
      <c r="BQ127" s="21">
        <f>EXP(-LN(2)/25)*BQ126+(1-EXP(-LN(2)/25))/(LN(2)/25)*Calculateur!BL127*Calculateur!BN127*VLOOKUP('Données projet'!$B$11,Paramètres!$A$1:$I$89,3,0)*0.475*44/12</f>
        <v>1.5264242213941024</v>
      </c>
      <c r="BR127" s="21">
        <f>EXP(-LN(2)/2)*BR126+(1-EXP(-LN(2)/2))/(LN(2)/2)*BL127*BO127*VLOOKUP('Données projet'!$B$11,Paramètres!$A$1:$I$89,3,0)*0.475*44/12</f>
        <v>8.4055223468368939E-14</v>
      </c>
      <c r="BS127" s="22">
        <f t="shared" si="63"/>
        <v>4.2175076703145411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-3.4106051316484809E-13</v>
      </c>
      <c r="BZ127" s="13">
        <f>BY127*VLOOKUP('Données projet'!$B$12,Paramètres!$A$1:$I$89,3,0)*VLOOKUP('Données projet'!$B$12,Paramètres!$A$1:$I$89,5,0)</f>
        <v>-1.9065282685915009E-13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475.54809021014017</v>
      </c>
      <c r="CE127" s="59">
        <f t="shared" si="94"/>
        <v>593.51433014569966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1.141024051989044</v>
      </c>
      <c r="CL127" s="21">
        <f>EXP(-LN(2)/25)*CL126+(1-EXP(-LN(2)/25))/(LN(2)/25)*Calculateur!CG127*Calculateur!CI127*VLOOKUP('Données projet'!$B$12,Paramètres!$A$1:$I$89,3,0)*0.475*44/12</f>
        <v>3.1452952087845967</v>
      </c>
      <c r="CM127" s="21">
        <f>EXP(-LN(2)/2)*CM126+(1-EXP(-LN(2)/2))/(LN(2)/2)*CG127*CJ127*VLOOKUP('Données projet'!$B$12,Paramètres!$A$1:$I$89,3,0)*0.475*44/12</f>
        <v>1.0244575154230263E-13</v>
      </c>
      <c r="CN127" s="22">
        <f t="shared" si="66"/>
        <v>4.2863192607737428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-1.1368683772161603E-13</v>
      </c>
      <c r="CU127" s="17">
        <f>CT127*VLOOKUP('Données projet'!$B$13,Paramètres!$A$1:$I$89,3,0)*VLOOKUP('Données projet'!$B$13,Paramètres!$A$1:$I$89,5,0)</f>
        <v>-5.3205440053716299E-14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226.0452828290525</v>
      </c>
      <c r="CZ127" s="59">
        <f t="shared" si="96"/>
        <v>179.89696397462069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1.4106586131629455</v>
      </c>
      <c r="DG127" s="21">
        <f>EXP(-LN(2)/25)*DG126+(1-EXP(-LN(2)/25))/(LN(2)/25)*Calculateur!DB127*Calculateur!DD127*VLOOKUP('Données projet'!$B$13,Paramètres!$A$1:$I$89,3,0)*0.475*44/12</f>
        <v>0.82310170882259859</v>
      </c>
      <c r="DH127" s="21">
        <f>EXP(-LN(2)/2)*DH126+(1-EXP(-LN(2)/2))/(LN(2)/2)*DB127*DE127*VLOOKUP('Données projet'!$B$13,Paramètres!$A$1:$I$89,3,0)*0.475*44/12</f>
        <v>7.8466148377731547E-14</v>
      </c>
      <c r="DI127" s="22">
        <f t="shared" si="69"/>
        <v>2.2337603219856228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1.1368683772161603E-13</v>
      </c>
      <c r="DP127" s="17">
        <f>DO127*VLOOKUP('Données projet'!$B$14,Paramètres!$A$1:$I$89,3,0)*VLOOKUP('Données projet'!$B$14,Paramètres!$A$1:$I$89,5,0)</f>
        <v>6.7984728957526396E-14</v>
      </c>
      <c r="DQ127" s="13">
        <f t="shared" si="97"/>
        <v>1.0682447123141398E-12</v>
      </c>
      <c r="DR127" s="20">
        <f t="shared" si="70"/>
        <v>1.978932943548152E-12</v>
      </c>
      <c r="DS127" s="59">
        <f t="shared" si="71"/>
        <v>293.3333333333353</v>
      </c>
      <c r="DT127" s="59">
        <f ca="1">AVERAGE(OFFSET($DS$3,0,0,'Données projet'!$E$14+1,1))-AVERAGE(OFFSET($H$3,0,0,'Données projet'!$E$14+1,1))</f>
        <v>252.81045065813976</v>
      </c>
      <c r="DU127" s="59">
        <f t="shared" si="98"/>
        <v>254.36590349790589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2.8061078325363731</v>
      </c>
      <c r="EB127" s="21">
        <f>EXP(-LN(2)/25)*EB126+(1-EXP(-LN(2)/25))/(LN(2)/25)*Calculateur!DW127*Calculateur!DY127*VLOOKUP('Données projet'!$B$14,Paramètres!$A$1:$I$89,3,0)*0.475*44/12</f>
        <v>1.1902942437545141</v>
      </c>
      <c r="EC127" s="21">
        <f>EXP(-LN(2)/2)*EC126+(1-EXP(-LN(2)/2))/(LN(2)/2)*DW127*DZ127*VLOOKUP('Données projet'!$B$14,Paramètres!$A$1:$I$89,3,0)*0.475*44/12</f>
        <v>4.0794984699758265E-14</v>
      </c>
      <c r="ED127" s="22">
        <f t="shared" si="72"/>
        <v>3.996402076290928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-2.8421709430404007E-13</v>
      </c>
      <c r="EK127" s="17">
        <f>EJ127*VLOOKUP('Données projet'!$B$15,Paramètres!$A$1:$I$89,3,0)*VLOOKUP('Données projet'!$B$15,Paramètres!$A$1:$I$89,5,0)</f>
        <v>-2.0838797354372215E-13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296.91321813251051</v>
      </c>
      <c r="EP127" s="59">
        <f t="shared" si="100"/>
        <v>291.0718079639509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2.0120901406836995</v>
      </c>
      <c r="EW127" s="21">
        <f>EXP(-LN(2)/25)*EW126+(1-EXP(-LN(2)/25))/(LN(2)/25)*Calculateur!ER127*Calculateur!ET127*VLOOKUP('Données projet'!$B$15,Paramètres!$A$1:$I$89,3,0)*0.475*44/12</f>
        <v>1.1412886982750576</v>
      </c>
      <c r="EX127" s="21">
        <f>EXP(-LN(2)/2)*EX126+(1-EXP(-LN(2)/2))/(LN(2)/2)*ER127*EU127*VLOOKUP('Données projet'!$B$15,Paramètres!$A$1:$I$89,3,0)*0.475*44/12</f>
        <v>7.7462656921830385E-14</v>
      </c>
      <c r="EY127" s="22">
        <f t="shared" si="75"/>
        <v>3.1533788389588344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>
        <f>FE127*VLOOKUP('Données projet'!$B$16,Paramètres!$A$1:$I$89,3,0)*VLOOKUP('Données projet'!$B$16,Paramètres!$A$1:$I$89,5,0)</f>
        <v>0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356.65981389369125</v>
      </c>
      <c r="FK127" s="59">
        <f t="shared" si="102"/>
        <v>231.92898690465887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1.2730039741537904</v>
      </c>
      <c r="FR127" s="21">
        <f>EXP(-LN(2)/25)*FR126+(1-EXP(-LN(2)/25))/(LN(2)/25)*Calculateur!FM127*Calculateur!FO127*VLOOKUP('Données projet'!$B$16,Paramètres!$A$1:$I$89,3,0)*0.475*44/12</f>
        <v>0.77465711715348562</v>
      </c>
      <c r="FS127" s="21">
        <f>EXP(-LN(2)/2)*FS126+(1-EXP(-LN(2)/2))/(LN(2)/2)*FM127*FP127*VLOOKUP('Données projet'!$B$16,Paramètres!$A$1:$I$89,3,0)*0.475*44/12</f>
        <v>6.7962692124717372E-14</v>
      </c>
      <c r="FT127" s="22">
        <f t="shared" si="78"/>
        <v>2.0476610913073441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>
        <f>FZ127*VLOOKUP('Données projet'!$B$17,Paramètres!$A$1:$I$89,3,0)*VLOOKUP('Données projet'!$B$17,Paramètres!$A$1:$I$89,5,0)</f>
        <v>0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337.76140497227715</v>
      </c>
      <c r="GF127" s="59">
        <f t="shared" si="104"/>
        <v>219.76562717496353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1.2142499445774613</v>
      </c>
      <c r="GM127" s="21">
        <f>EXP(-LN(2)/25)*GM126+(1-EXP(-LN(2)/25))/(LN(2)/25)*Calculateur!GH127*Calculateur!GJ127*VLOOKUP('Données projet'!$B$17,Paramètres!$A$1:$I$89,3,0)*0.475*44/12</f>
        <v>0.73890371174640157</v>
      </c>
      <c r="GN127" s="21">
        <f>EXP(-LN(2)/2)*GN126+(1-EXP(-LN(2)/2))/(LN(2)/2)*GH127*GK127*VLOOKUP('Données projet'!$B$17,Paramètres!$A$1:$I$89,3,0)*0.475*44/12</f>
        <v>6.482595248819197E-14</v>
      </c>
      <c r="GO127" s="21">
        <f t="shared" si="81"/>
        <v>1.9531536563239276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312.53389584272878</v>
      </c>
      <c r="T128" s="59">
        <f t="shared" si="88"/>
        <v>203.5274665601915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1.1136367119266242</v>
      </c>
      <c r="AA128" s="21">
        <f>EXP(-LN(2)/25)*AA127+(1-EXP(-LN(2)/25))/(LN(2)/25)*Calculateur!V128*Calculateur!X128*VLOOKUP('Données projet'!$B$9,Paramètres!$A$1:$I$89,3,0)*0.475*44/12</f>
        <v>0.67233071535005462</v>
      </c>
      <c r="AB128" s="21">
        <f>EXP(-LN(2)/2)*AB127+(1-EXP(-LN(2)/2))/(LN(2)/2)*V128*Y128*VLOOKUP('Données projet'!$B$9,Paramètres!$A$1:$I$89,3,0)*0.475*44/12</f>
        <v>4.2881524110872475E-14</v>
      </c>
      <c r="AC128" s="22">
        <f t="shared" si="57"/>
        <v>1.7859674272767216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5.6843418860808015E-14</v>
      </c>
      <c r="AJ128" s="13">
        <f>AI128*VLOOKUP('Données projet'!$B$10,Paramètres!$A$1:$I$89,3,0)*VLOOKUP('Données projet'!$B$10,Paramètres!$A$1:$I$89,5,0)</f>
        <v>4.9658410716801891E-14</v>
      </c>
      <c r="AK128" s="13">
        <f t="shared" si="89"/>
        <v>8.0934058173791862E-13</v>
      </c>
      <c r="AL128" s="20">
        <f t="shared" si="58"/>
        <v>1.4960899118586383E-12</v>
      </c>
      <c r="AM128" s="59">
        <f t="shared" si="59"/>
        <v>293.33333333333479</v>
      </c>
      <c r="AN128" s="59">
        <f ca="1">AVERAGE(OFFSET($AM$3,0,0,'Données projet'!$E$10+1,1))-AVERAGE(OFFSET($H$3,0,0,'Données projet'!$E$10+1,1))</f>
        <v>243.05628303465238</v>
      </c>
      <c r="AO128" s="59">
        <f t="shared" si="90"/>
        <v>352.47096767658394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1.202989353947413</v>
      </c>
      <c r="AV128" s="21">
        <f>EXP(-LN(2)/25)*AV127+(1-EXP(-LN(2)/25))/(LN(2)/25)*Calculateur!AQ128*Calculateur!AS128*VLOOKUP('Données projet'!$B$10,Paramètres!$A$1:$I$89,3,0)*0.475*44/12</f>
        <v>1.3007628133955358</v>
      </c>
      <c r="AW128" s="21">
        <f>EXP(-LN(2)/2)*AW127+(1-EXP(-LN(2)/2))/(LN(2)/2)*AQ128*AT128*VLOOKUP('Données projet'!$B$10,Paramètres!$A$1:$I$89,3,0)*0.475*44/12</f>
        <v>5.6639732389409646E-14</v>
      </c>
      <c r="AX128" s="21">
        <f t="shared" si="60"/>
        <v>2.5037521673430057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-2.8421709430404007E-13</v>
      </c>
      <c r="BE128" s="13">
        <f>BD128*VLOOKUP('Données projet'!$B$11,Paramètres!$A$1:$I$89,3,0)*VLOOKUP('Données projet'!$B$11,Paramètres!$A$1:$I$89,5,0)</f>
        <v>-2.2612312022829427E-13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325.72928944930294</v>
      </c>
      <c r="BJ128" s="59">
        <f t="shared" si="92"/>
        <v>318.38876834819752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2.6383129438858557</v>
      </c>
      <c r="BQ128" s="21">
        <f>EXP(-LN(2)/25)*BQ127+(1-EXP(-LN(2)/25))/(LN(2)/25)*Calculateur!BL128*Calculateur!BN128*VLOOKUP('Données projet'!$B$11,Paramètres!$A$1:$I$89,3,0)*0.475*44/12</f>
        <v>1.4846840707889195</v>
      </c>
      <c r="BR128" s="21">
        <f>EXP(-LN(2)/2)*BR127+(1-EXP(-LN(2)/2))/(LN(2)/2)*BL128*BO128*VLOOKUP('Données projet'!$B$11,Paramètres!$A$1:$I$89,3,0)*0.475*44/12</f>
        <v>5.9436018508634307E-14</v>
      </c>
      <c r="BS128" s="22">
        <f t="shared" si="63"/>
        <v>4.1229970146748345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-3.4106051316484809E-13</v>
      </c>
      <c r="BZ128" s="13">
        <f>BY128*VLOOKUP('Données projet'!$B$12,Paramètres!$A$1:$I$89,3,0)*VLOOKUP('Données projet'!$B$12,Paramètres!$A$1:$I$89,5,0)</f>
        <v>-1.9065282685915009E-13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475.54809021014017</v>
      </c>
      <c r="CE128" s="59">
        <f t="shared" si="94"/>
        <v>593.51433014569966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1.1186492662854906</v>
      </c>
      <c r="CL128" s="21">
        <f>EXP(-LN(2)/25)*CL127+(1-EXP(-LN(2)/25))/(LN(2)/25)*Calculateur!CG128*Calculateur!CI128*VLOOKUP('Données projet'!$B$12,Paramètres!$A$1:$I$89,3,0)*0.475*44/12</f>
        <v>3.0592869458964955</v>
      </c>
      <c r="CM128" s="21">
        <f>EXP(-LN(2)/2)*CM127+(1-EXP(-LN(2)/2))/(LN(2)/2)*CG128*CJ128*VLOOKUP('Données projet'!$B$12,Paramètres!$A$1:$I$89,3,0)*0.475*44/12</f>
        <v>7.2440085619314397E-14</v>
      </c>
      <c r="CN128" s="22">
        <f t="shared" si="66"/>
        <v>4.1779362121820594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-1.1368683772161603E-13</v>
      </c>
      <c r="CU128" s="17">
        <f>CT128*VLOOKUP('Données projet'!$B$13,Paramètres!$A$1:$I$89,3,0)*VLOOKUP('Données projet'!$B$13,Paramètres!$A$1:$I$89,5,0)</f>
        <v>-5.3205440053716299E-14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226.0452828290525</v>
      </c>
      <c r="CZ128" s="59">
        <f t="shared" si="96"/>
        <v>179.89696397462069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1.3829964581756151</v>
      </c>
      <c r="DG128" s="21">
        <f>EXP(-LN(2)/25)*DG127+(1-EXP(-LN(2)/25))/(LN(2)/25)*Calculateur!DB128*Calculateur!DD128*VLOOKUP('Données projet'!$B$13,Paramètres!$A$1:$I$89,3,0)*0.475*44/12</f>
        <v>0.80059394930980698</v>
      </c>
      <c r="DH128" s="21">
        <f>EXP(-LN(2)/2)*DH127+(1-EXP(-LN(2)/2))/(LN(2)/2)*DB128*DE128*VLOOKUP('Données projet'!$B$13,Paramètres!$A$1:$I$89,3,0)*0.475*44/12</f>
        <v>5.5483945611483799E-14</v>
      </c>
      <c r="DI128" s="22">
        <f t="shared" si="69"/>
        <v>2.1835904074854775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1.1368683772161603E-13</v>
      </c>
      <c r="DP128" s="17">
        <f>DO128*VLOOKUP('Données projet'!$B$14,Paramètres!$A$1:$I$89,3,0)*VLOOKUP('Données projet'!$B$14,Paramètres!$A$1:$I$89,5,0)</f>
        <v>6.7984728957526396E-14</v>
      </c>
      <c r="DQ128" s="13">
        <f t="shared" si="97"/>
        <v>1.0682447123141398E-12</v>
      </c>
      <c r="DR128" s="20">
        <f t="shared" si="70"/>
        <v>1.978932943548152E-12</v>
      </c>
      <c r="DS128" s="59">
        <f t="shared" si="71"/>
        <v>293.3333333333353</v>
      </c>
      <c r="DT128" s="59">
        <f ca="1">AVERAGE(OFFSET($DS$3,0,0,'Données projet'!$E$14+1,1))-AVERAGE(OFFSET($H$3,0,0,'Données projet'!$E$14+1,1))</f>
        <v>252.81045065813976</v>
      </c>
      <c r="DU128" s="59">
        <f t="shared" si="98"/>
        <v>254.36590349790589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2.7510817694971106</v>
      </c>
      <c r="EB128" s="21">
        <f>EXP(-LN(2)/25)*EB127+(1-EXP(-LN(2)/25))/(LN(2)/25)*Calculateur!DW128*Calculateur!DY128*VLOOKUP('Données projet'!$B$14,Paramètres!$A$1:$I$89,3,0)*0.475*44/12</f>
        <v>1.1577455850641931</v>
      </c>
      <c r="EC128" s="21">
        <f>EXP(-LN(2)/2)*EC127+(1-EXP(-LN(2)/2))/(LN(2)/2)*DW128*DZ128*VLOOKUP('Données projet'!$B$14,Paramètres!$A$1:$I$89,3,0)*0.475*44/12</f>
        <v>2.8846410319600522E-14</v>
      </c>
      <c r="ED128" s="22">
        <f t="shared" si="72"/>
        <v>3.9088273545613323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-2.8421709430404007E-13</v>
      </c>
      <c r="EK128" s="17">
        <f>EJ128*VLOOKUP('Données projet'!$B$15,Paramètres!$A$1:$I$89,3,0)*VLOOKUP('Données projet'!$B$15,Paramètres!$A$1:$I$89,5,0)</f>
        <v>-2.0838797354372215E-13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296.91321813251051</v>
      </c>
      <c r="EP128" s="59">
        <f t="shared" si="100"/>
        <v>291.0718079639509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1.9726342802786967</v>
      </c>
      <c r="EW128" s="21">
        <f>EXP(-LN(2)/25)*EW127+(1-EXP(-LN(2)/25))/(LN(2)/25)*Calculateur!ER128*Calculateur!ET128*VLOOKUP('Données projet'!$B$15,Paramètres!$A$1:$I$89,3,0)*0.475*44/12</f>
        <v>1.110080098802962</v>
      </c>
      <c r="EX128" s="21">
        <f>EXP(-LN(2)/2)*EX127+(1-EXP(-LN(2)/2))/(LN(2)/2)*ER128*EU128*VLOOKUP('Données projet'!$B$15,Paramètres!$A$1:$I$89,3,0)*0.475*44/12</f>
        <v>5.4774369998153319E-14</v>
      </c>
      <c r="EY128" s="22">
        <f t="shared" si="75"/>
        <v>3.0827143790817133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>
        <f>FE128*VLOOKUP('Données projet'!$B$16,Paramètres!$A$1:$I$89,3,0)*VLOOKUP('Données projet'!$B$16,Paramètres!$A$1:$I$89,5,0)</f>
        <v>0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356.65981389369125</v>
      </c>
      <c r="FK128" s="59">
        <f t="shared" si="102"/>
        <v>231.92898690465887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1.2480411426763902</v>
      </c>
      <c r="FR128" s="21">
        <f>EXP(-LN(2)/25)*FR127+(1-EXP(-LN(2)/25))/(LN(2)/25)*Calculateur!FM128*Calculateur!FO128*VLOOKUP('Données projet'!$B$16,Paramètres!$A$1:$I$89,3,0)*0.475*44/12</f>
        <v>0.75347407754747631</v>
      </c>
      <c r="FS128" s="21">
        <f>EXP(-LN(2)/2)*FS127+(1-EXP(-LN(2)/2))/(LN(2)/2)*FM128*FP128*VLOOKUP('Données projet'!$B$16,Paramètres!$A$1:$I$89,3,0)*0.475*44/12</f>
        <v>4.8056880469081224E-14</v>
      </c>
      <c r="FT128" s="22">
        <f t="shared" si="78"/>
        <v>2.0015152202239146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>
        <f>FZ128*VLOOKUP('Données projet'!$B$17,Paramètres!$A$1:$I$89,3,0)*VLOOKUP('Données projet'!$B$17,Paramètres!$A$1:$I$89,5,0)</f>
        <v>0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337.76140497227715</v>
      </c>
      <c r="GF128" s="59">
        <f t="shared" si="104"/>
        <v>219.76562717496353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1.1904392437836333</v>
      </c>
      <c r="GM128" s="21">
        <f>EXP(-LN(2)/25)*GM127+(1-EXP(-LN(2)/25))/(LN(2)/25)*Calculateur!GH128*Calculateur!GJ128*VLOOKUP('Données projet'!$B$17,Paramètres!$A$1:$I$89,3,0)*0.475*44/12</f>
        <v>0.71869835089143885</v>
      </c>
      <c r="GN128" s="21">
        <f>EXP(-LN(2)/2)*GN127+(1-EXP(-LN(2)/2))/(LN(2)/2)*GH128*GK128*VLOOKUP('Données projet'!$B$17,Paramètres!$A$1:$I$89,3,0)*0.475*44/12</f>
        <v>4.5838870601277486E-14</v>
      </c>
      <c r="GO128" s="21">
        <f t="shared" si="81"/>
        <v>1.9091375946751179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312.53389584272878</v>
      </c>
      <c r="T129" s="59">
        <f t="shared" si="88"/>
        <v>203.5274665601915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1.0917989752570669</v>
      </c>
      <c r="AA129" s="21">
        <f>EXP(-LN(2)/25)*AA128+(1-EXP(-LN(2)/25))/(LN(2)/25)*Calculateur!V129*Calculateur!X129*VLOOKUP('Données projet'!$B$9,Paramètres!$A$1:$I$89,3,0)*0.475*44/12</f>
        <v>0.65394579658247165</v>
      </c>
      <c r="AB129" s="21">
        <f>EXP(-LN(2)/2)*AB128+(1-EXP(-LN(2)/2))/(LN(2)/2)*V129*Y129*VLOOKUP('Données projet'!$B$9,Paramètres!$A$1:$I$89,3,0)*0.475*44/12</f>
        <v>3.0321816486412365E-14</v>
      </c>
      <c r="AC129" s="22">
        <f t="shared" si="57"/>
        <v>1.7457447718395691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5.6843418860808015E-14</v>
      </c>
      <c r="AJ129" s="13">
        <f>AI129*VLOOKUP('Données projet'!$B$10,Paramètres!$A$1:$I$89,3,0)*VLOOKUP('Données projet'!$B$10,Paramètres!$A$1:$I$89,5,0)</f>
        <v>4.9658410716801891E-14</v>
      </c>
      <c r="AK129" s="13">
        <f t="shared" si="89"/>
        <v>8.0934058173791862E-13</v>
      </c>
      <c r="AL129" s="20">
        <f t="shared" si="58"/>
        <v>1.4960899118586383E-12</v>
      </c>
      <c r="AM129" s="59">
        <f t="shared" si="59"/>
        <v>293.33333333333479</v>
      </c>
      <c r="AN129" s="59">
        <f ca="1">AVERAGE(OFFSET($AM$3,0,0,'Données projet'!$E$10+1,1))-AVERAGE(OFFSET($H$3,0,0,'Données projet'!$E$10+1,1))</f>
        <v>243.05628303465238</v>
      </c>
      <c r="AO129" s="59">
        <f t="shared" si="90"/>
        <v>352.47096767658394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1.1793994664675582</v>
      </c>
      <c r="AV129" s="21">
        <f>EXP(-LN(2)/25)*AV128+(1-EXP(-LN(2)/25))/(LN(2)/25)*Calculateur!AQ129*Calculateur!AS129*VLOOKUP('Données projet'!$B$10,Paramètres!$A$1:$I$89,3,0)*0.475*44/12</f>
        <v>1.2651933858590914</v>
      </c>
      <c r="AW129" s="21">
        <f>EXP(-LN(2)/2)*AW128+(1-EXP(-LN(2)/2))/(LN(2)/2)*AQ129*AT129*VLOOKUP('Données projet'!$B$10,Paramètres!$A$1:$I$89,3,0)*0.475*44/12</f>
        <v>4.00503388571429E-14</v>
      </c>
      <c r="AX129" s="21">
        <f t="shared" si="60"/>
        <v>2.4445928523266893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-2.8421709430404007E-13</v>
      </c>
      <c r="BE129" s="13">
        <f>BD129*VLOOKUP('Données projet'!$B$11,Paramètres!$A$1:$I$89,3,0)*VLOOKUP('Données projet'!$B$11,Paramètres!$A$1:$I$89,5,0)</f>
        <v>-2.2612312022829427E-13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325.72928944930294</v>
      </c>
      <c r="BJ129" s="59">
        <f t="shared" si="92"/>
        <v>318.38876834819752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2.5865772362682535</v>
      </c>
      <c r="BQ129" s="21">
        <f>EXP(-LN(2)/25)*BQ128+(1-EXP(-LN(2)/25))/(LN(2)/25)*Calculateur!BL129*Calculateur!BN129*VLOOKUP('Données projet'!$B$11,Paramètres!$A$1:$I$89,3,0)*0.475*44/12</f>
        <v>1.4440853067970545</v>
      </c>
      <c r="BR129" s="21">
        <f>EXP(-LN(2)/2)*BR128+(1-EXP(-LN(2)/2))/(LN(2)/2)*BL129*BO129*VLOOKUP('Données projet'!$B$11,Paramètres!$A$1:$I$89,3,0)*0.475*44/12</f>
        <v>4.202761173418447E-14</v>
      </c>
      <c r="BS129" s="22">
        <f t="shared" si="63"/>
        <v>4.0306625430653495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-3.4106051316484809E-13</v>
      </c>
      <c r="BZ129" s="13">
        <f>BY129*VLOOKUP('Données projet'!$B$12,Paramètres!$A$1:$I$89,3,0)*VLOOKUP('Données projet'!$B$12,Paramètres!$A$1:$I$89,5,0)</f>
        <v>-1.9065282685915009E-13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475.54809021014017</v>
      </c>
      <c r="CE129" s="59">
        <f t="shared" si="94"/>
        <v>593.51433014569966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1.0967132364823122</v>
      </c>
      <c r="CL129" s="21">
        <f>EXP(-LN(2)/25)*CL128+(1-EXP(-LN(2)/25))/(LN(2)/25)*Calculateur!CG129*Calculateur!CI129*VLOOKUP('Données projet'!$B$12,Paramètres!$A$1:$I$89,3,0)*0.475*44/12</f>
        <v>2.9756305834800476</v>
      </c>
      <c r="CM129" s="21">
        <f>EXP(-LN(2)/2)*CM128+(1-EXP(-LN(2)/2))/(LN(2)/2)*CG129*CJ129*VLOOKUP('Données projet'!$B$12,Paramètres!$A$1:$I$89,3,0)*0.475*44/12</f>
        <v>5.1222875771151314E-14</v>
      </c>
      <c r="CN129" s="22">
        <f t="shared" si="66"/>
        <v>4.0723438199624109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-1.1368683772161603E-13</v>
      </c>
      <c r="CU129" s="17">
        <f>CT129*VLOOKUP('Données projet'!$B$13,Paramètres!$A$1:$I$89,3,0)*VLOOKUP('Données projet'!$B$13,Paramètres!$A$1:$I$89,5,0)</f>
        <v>-5.3205440053716299E-14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226.0452828290525</v>
      </c>
      <c r="CZ129" s="59">
        <f t="shared" si="96"/>
        <v>179.89696397462069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1.3558767411753376</v>
      </c>
      <c r="DG129" s="21">
        <f>EXP(-LN(2)/25)*DG128+(1-EXP(-LN(2)/25))/(LN(2)/25)*Calculateur!DB129*Calculateur!DD129*VLOOKUP('Données projet'!$B$13,Paramètres!$A$1:$I$89,3,0)*0.475*44/12</f>
        <v>0.77870166566452426</v>
      </c>
      <c r="DH129" s="21">
        <f>EXP(-LN(2)/2)*DH128+(1-EXP(-LN(2)/2))/(LN(2)/2)*DB129*DE129*VLOOKUP('Données projet'!$B$13,Paramètres!$A$1:$I$89,3,0)*0.475*44/12</f>
        <v>3.923307418886578E-14</v>
      </c>
      <c r="DI129" s="22">
        <f t="shared" si="69"/>
        <v>2.1345784068399007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1.1368683772161603E-13</v>
      </c>
      <c r="DP129" s="17">
        <f>DO129*VLOOKUP('Données projet'!$B$14,Paramètres!$A$1:$I$89,3,0)*VLOOKUP('Données projet'!$B$14,Paramètres!$A$1:$I$89,5,0)</f>
        <v>6.7984728957526396E-14</v>
      </c>
      <c r="DQ129" s="13">
        <f t="shared" si="97"/>
        <v>1.0682447123141398E-12</v>
      </c>
      <c r="DR129" s="20">
        <f t="shared" si="70"/>
        <v>1.978932943548152E-12</v>
      </c>
      <c r="DS129" s="59">
        <f t="shared" si="71"/>
        <v>293.3333333333353</v>
      </c>
      <c r="DT129" s="59">
        <f ca="1">AVERAGE(OFFSET($DS$3,0,0,'Données projet'!$E$14+1,1))-AVERAGE(OFFSET($H$3,0,0,'Données projet'!$E$14+1,1))</f>
        <v>252.81045065813976</v>
      </c>
      <c r="DU129" s="59">
        <f t="shared" si="98"/>
        <v>254.36590349790589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2.6971347339914633</v>
      </c>
      <c r="EB129" s="21">
        <f>EXP(-LN(2)/25)*EB128+(1-EXP(-LN(2)/25))/(LN(2)/25)*Calculateur!DW129*Calculateur!DY129*VLOOKUP('Données projet'!$B$14,Paramètres!$A$1:$I$89,3,0)*0.475*44/12</f>
        <v>1.1260869711574184</v>
      </c>
      <c r="EC129" s="21">
        <f>EXP(-LN(2)/2)*EC128+(1-EXP(-LN(2)/2))/(LN(2)/2)*DW129*DZ129*VLOOKUP('Données projet'!$B$14,Paramètres!$A$1:$I$89,3,0)*0.475*44/12</f>
        <v>2.0397492349879133E-14</v>
      </c>
      <c r="ED129" s="22">
        <f t="shared" si="72"/>
        <v>3.8232217051489021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-2.8421709430404007E-13</v>
      </c>
      <c r="EK129" s="17">
        <f>EJ129*VLOOKUP('Données projet'!$B$15,Paramètres!$A$1:$I$89,3,0)*VLOOKUP('Données projet'!$B$15,Paramètres!$A$1:$I$89,5,0)</f>
        <v>-2.0838797354372215E-13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296.91321813251051</v>
      </c>
      <c r="EP129" s="59">
        <f t="shared" si="100"/>
        <v>291.0718079639509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1.9339521252305374</v>
      </c>
      <c r="EW129" s="21">
        <f>EXP(-LN(2)/25)*EW128+(1-EXP(-LN(2)/25))/(LN(2)/25)*Calculateur!ER129*Calculateur!ET129*VLOOKUP('Données projet'!$B$15,Paramètres!$A$1:$I$89,3,0)*0.475*44/12</f>
        <v>1.0797249001246196</v>
      </c>
      <c r="EX129" s="21">
        <f>EXP(-LN(2)/2)*EX128+(1-EXP(-LN(2)/2))/(LN(2)/2)*ER129*EU129*VLOOKUP('Données projet'!$B$15,Paramètres!$A$1:$I$89,3,0)*0.475*44/12</f>
        <v>3.8731328460915192E-14</v>
      </c>
      <c r="EY129" s="22">
        <f t="shared" si="75"/>
        <v>3.0136770253551957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>
        <f>FE129*VLOOKUP('Données projet'!$B$16,Paramètres!$A$1:$I$89,3,0)*VLOOKUP('Données projet'!$B$16,Paramètres!$A$1:$I$89,5,0)</f>
        <v>0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356.65981389369125</v>
      </c>
      <c r="FK129" s="59">
        <f t="shared" si="102"/>
        <v>231.92898690465887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1.2235678170984381</v>
      </c>
      <c r="FR129" s="21">
        <f>EXP(-LN(2)/25)*FR128+(1-EXP(-LN(2)/25))/(LN(2)/25)*Calculateur!FM129*Calculateur!FO129*VLOOKUP('Données projet'!$B$16,Paramètres!$A$1:$I$89,3,0)*0.475*44/12</f>
        <v>0.73287028927346087</v>
      </c>
      <c r="FS129" s="21">
        <f>EXP(-LN(2)/2)*FS128+(1-EXP(-LN(2)/2))/(LN(2)/2)*FM129*FP129*VLOOKUP('Données projet'!$B$16,Paramètres!$A$1:$I$89,3,0)*0.475*44/12</f>
        <v>3.3981346062358686E-14</v>
      </c>
      <c r="FT129" s="22">
        <f t="shared" si="78"/>
        <v>1.9564381063719329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>
        <f>FZ129*VLOOKUP('Données projet'!$B$17,Paramètres!$A$1:$I$89,3,0)*VLOOKUP('Données projet'!$B$17,Paramètres!$A$1:$I$89,5,0)</f>
        <v>0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337.76140497227715</v>
      </c>
      <c r="GF129" s="59">
        <f t="shared" si="104"/>
        <v>219.76562717496353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1.167095456309279</v>
      </c>
      <c r="GM129" s="21">
        <f>EXP(-LN(2)/25)*GM128+(1-EXP(-LN(2)/25))/(LN(2)/25)*Calculateur!GH129*Calculateur!GJ129*VLOOKUP('Données projet'!$B$17,Paramètres!$A$1:$I$89,3,0)*0.475*44/12</f>
        <v>0.69904550669160881</v>
      </c>
      <c r="GN129" s="21">
        <f>EXP(-LN(2)/2)*GN128+(1-EXP(-LN(2)/2))/(LN(2)/2)*GH129*GK129*VLOOKUP('Données projet'!$B$17,Paramètres!$A$1:$I$89,3,0)*0.475*44/12</f>
        <v>3.2412976244095985E-14</v>
      </c>
      <c r="GO129" s="21">
        <f t="shared" si="81"/>
        <v>1.8661409630009202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312.53389584272878</v>
      </c>
      <c r="T130" s="59">
        <f t="shared" si="88"/>
        <v>203.5274665601915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1.0703894632838955</v>
      </c>
      <c r="AA130" s="21">
        <f>EXP(-LN(2)/25)*AA129+(1-EXP(-LN(2)/25))/(LN(2)/25)*Calculateur!V130*Calculateur!X130*VLOOKUP('Données projet'!$B$9,Paramètres!$A$1:$I$89,3,0)*0.475*44/12</f>
        <v>0.63606361438540915</v>
      </c>
      <c r="AB130" s="21">
        <f>EXP(-LN(2)/2)*AB129+(1-EXP(-LN(2)/2))/(LN(2)/2)*V130*Y130*VLOOKUP('Données projet'!$B$9,Paramètres!$A$1:$I$89,3,0)*0.475*44/12</f>
        <v>2.1440762055436237E-14</v>
      </c>
      <c r="AC130" s="22">
        <f t="shared" si="57"/>
        <v>1.7064530776693261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5.6843418860808015E-14</v>
      </c>
      <c r="AJ130" s="13">
        <f>AI130*VLOOKUP('Données projet'!$B$10,Paramètres!$A$1:$I$89,3,0)*VLOOKUP('Données projet'!$B$10,Paramètres!$A$1:$I$89,5,0)</f>
        <v>4.9658410716801891E-14</v>
      </c>
      <c r="AK130" s="13">
        <f t="shared" si="89"/>
        <v>8.0934058173791862E-13</v>
      </c>
      <c r="AL130" s="20">
        <f t="shared" si="58"/>
        <v>1.4960899118586383E-12</v>
      </c>
      <c r="AM130" s="59">
        <f t="shared" si="59"/>
        <v>293.33333333333479</v>
      </c>
      <c r="AN130" s="59">
        <f ca="1">AVERAGE(OFFSET($AM$3,0,0,'Données projet'!$E$10+1,1))-AVERAGE(OFFSET($H$3,0,0,'Données projet'!$E$10+1,1))</f>
        <v>243.05628303465238</v>
      </c>
      <c r="AO130" s="59">
        <f t="shared" si="90"/>
        <v>352.47096767658394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1.1562721622927727</v>
      </c>
      <c r="AV130" s="21">
        <f>EXP(-LN(2)/25)*AV129+(1-EXP(-LN(2)/25))/(LN(2)/25)*Calculateur!AQ130*Calculateur!AS130*VLOOKUP('Données projet'!$B$10,Paramètres!$A$1:$I$89,3,0)*0.475*44/12</f>
        <v>1.230596606189146</v>
      </c>
      <c r="AW130" s="21">
        <f>EXP(-LN(2)/2)*AW129+(1-EXP(-LN(2)/2))/(LN(2)/2)*AQ130*AT130*VLOOKUP('Données projet'!$B$10,Paramètres!$A$1:$I$89,3,0)*0.475*44/12</f>
        <v>2.8319866194704829E-14</v>
      </c>
      <c r="AX130" s="21">
        <f t="shared" si="60"/>
        <v>2.3868687684819472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-2.8421709430404007E-13</v>
      </c>
      <c r="BE130" s="13">
        <f>BD130*VLOOKUP('Données projet'!$B$11,Paramètres!$A$1:$I$89,3,0)*VLOOKUP('Données projet'!$B$11,Paramètres!$A$1:$I$89,5,0)</f>
        <v>-2.2612312022829427E-13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325.72928944930294</v>
      </c>
      <c r="BJ130" s="59">
        <f t="shared" si="92"/>
        <v>318.38876834819752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2.5358560343213665</v>
      </c>
      <c r="BQ130" s="21">
        <f>EXP(-LN(2)/25)*BQ129+(1-EXP(-LN(2)/25))/(LN(2)/25)*Calculateur!BL130*Calculateur!BN130*VLOOKUP('Données projet'!$B$11,Paramètres!$A$1:$I$89,3,0)*0.475*44/12</f>
        <v>1.4045967181415433</v>
      </c>
      <c r="BR130" s="21">
        <f>EXP(-LN(2)/2)*BR129+(1-EXP(-LN(2)/2))/(LN(2)/2)*BL130*BO130*VLOOKUP('Données projet'!$B$11,Paramètres!$A$1:$I$89,3,0)*0.475*44/12</f>
        <v>2.9718009254317154E-14</v>
      </c>
      <c r="BS130" s="22">
        <f t="shared" si="63"/>
        <v>3.9404527524629396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-3.4106051316484809E-13</v>
      </c>
      <c r="BZ130" s="13">
        <f>BY130*VLOOKUP('Données projet'!$B$12,Paramètres!$A$1:$I$89,3,0)*VLOOKUP('Données projet'!$B$12,Paramètres!$A$1:$I$89,5,0)</f>
        <v>-1.9065282685915009E-13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475.54809021014017</v>
      </c>
      <c r="CE130" s="59">
        <f t="shared" si="94"/>
        <v>593.51433014569966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1.075207358843917</v>
      </c>
      <c r="CL130" s="21">
        <f>EXP(-LN(2)/25)*CL129+(1-EXP(-LN(2)/25))/(LN(2)/25)*Calculateur!CG130*Calculateur!CI130*VLOOKUP('Données projet'!$B$12,Paramètres!$A$1:$I$89,3,0)*0.475*44/12</f>
        <v>2.8942618086931744</v>
      </c>
      <c r="CM130" s="21">
        <f>EXP(-LN(2)/2)*CM129+(1-EXP(-LN(2)/2))/(LN(2)/2)*CG130*CJ130*VLOOKUP('Données projet'!$B$12,Paramètres!$A$1:$I$89,3,0)*0.475*44/12</f>
        <v>3.6220042809657198E-14</v>
      </c>
      <c r="CN130" s="22">
        <f t="shared" si="66"/>
        <v>3.9694691675371279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-1.1368683772161603E-13</v>
      </c>
      <c r="CU130" s="17">
        <f>CT130*VLOOKUP('Données projet'!$B$13,Paramètres!$A$1:$I$89,3,0)*VLOOKUP('Données projet'!$B$13,Paramètres!$A$1:$I$89,5,0)</f>
        <v>-5.3205440053716299E-14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226.0452828290525</v>
      </c>
      <c r="CZ130" s="59">
        <f t="shared" si="96"/>
        <v>179.89696397462069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1.3292888252840416</v>
      </c>
      <c r="DG130" s="21">
        <f>EXP(-LN(2)/25)*DG129+(1-EXP(-LN(2)/25))/(LN(2)/25)*Calculateur!DB130*Calculateur!DD130*VLOOKUP('Données projet'!$B$13,Paramètres!$A$1:$I$89,3,0)*0.475*44/12</f>
        <v>0.75740802766678694</v>
      </c>
      <c r="DH130" s="21">
        <f>EXP(-LN(2)/2)*DH129+(1-EXP(-LN(2)/2))/(LN(2)/2)*DB130*DE130*VLOOKUP('Données projet'!$B$13,Paramètres!$A$1:$I$89,3,0)*0.475*44/12</f>
        <v>2.7741972805741903E-14</v>
      </c>
      <c r="DI130" s="22">
        <f t="shared" si="69"/>
        <v>2.0866968529508561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1.1368683772161603E-13</v>
      </c>
      <c r="DP130" s="17">
        <f>DO130*VLOOKUP('Données projet'!$B$14,Paramètres!$A$1:$I$89,3,0)*VLOOKUP('Données projet'!$B$14,Paramètres!$A$1:$I$89,5,0)</f>
        <v>6.7984728957526396E-14</v>
      </c>
      <c r="DQ130" s="13">
        <f t="shared" si="97"/>
        <v>1.0682447123141398E-12</v>
      </c>
      <c r="DR130" s="20">
        <f t="shared" si="70"/>
        <v>1.978932943548152E-12</v>
      </c>
      <c r="DS130" s="59">
        <f t="shared" si="71"/>
        <v>293.3333333333353</v>
      </c>
      <c r="DT130" s="59">
        <f ca="1">AVERAGE(OFFSET($DS$3,0,0,'Données projet'!$E$14+1,1))-AVERAGE(OFFSET($H$3,0,0,'Données projet'!$E$14+1,1))</f>
        <v>252.81045065813976</v>
      </c>
      <c r="DU130" s="59">
        <f t="shared" si="98"/>
        <v>254.36590349790589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2.6442455669476392</v>
      </c>
      <c r="EB130" s="21">
        <f>EXP(-LN(2)/25)*EB129+(1-EXP(-LN(2)/25))/(LN(2)/25)*Calculateur!DW130*Calculateur!DY130*VLOOKUP('Données projet'!$B$14,Paramètres!$A$1:$I$89,3,0)*0.475*44/12</f>
        <v>1.0952940637127786</v>
      </c>
      <c r="EC130" s="21">
        <f>EXP(-LN(2)/2)*EC129+(1-EXP(-LN(2)/2))/(LN(2)/2)*DW130*DZ130*VLOOKUP('Données projet'!$B$14,Paramètres!$A$1:$I$89,3,0)*0.475*44/12</f>
        <v>1.4423205159800261E-14</v>
      </c>
      <c r="ED130" s="22">
        <f t="shared" si="72"/>
        <v>3.739539630660432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-2.8421709430404007E-13</v>
      </c>
      <c r="EK130" s="17">
        <f>EJ130*VLOOKUP('Données projet'!$B$15,Paramètres!$A$1:$I$89,3,0)*VLOOKUP('Données projet'!$B$15,Paramètres!$A$1:$I$89,5,0)</f>
        <v>-2.0838797354372215E-13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296.91321813251051</v>
      </c>
      <c r="EP130" s="59">
        <f t="shared" si="100"/>
        <v>291.0718079639509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1.8960285036490876</v>
      </c>
      <c r="EW130" s="21">
        <f>EXP(-LN(2)/25)*EW129+(1-EXP(-LN(2)/25))/(LN(2)/25)*Calculateur!ER130*Calculateur!ET130*VLOOKUP('Données projet'!$B$15,Paramètres!$A$1:$I$89,3,0)*0.475*44/12</f>
        <v>1.0501997659504472</v>
      </c>
      <c r="EX130" s="21">
        <f>EXP(-LN(2)/2)*EX129+(1-EXP(-LN(2)/2))/(LN(2)/2)*ER130*EU130*VLOOKUP('Données projet'!$B$15,Paramètres!$A$1:$I$89,3,0)*0.475*44/12</f>
        <v>2.738718499907666E-14</v>
      </c>
      <c r="EY130" s="22">
        <f t="shared" si="75"/>
        <v>2.9462282695995623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>
        <f>FE130*VLOOKUP('Données projet'!$B$16,Paramètres!$A$1:$I$89,3,0)*VLOOKUP('Données projet'!$B$16,Paramètres!$A$1:$I$89,5,0)</f>
        <v>0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356.65981389369125</v>
      </c>
      <c r="FK130" s="59">
        <f t="shared" si="102"/>
        <v>231.92898690465887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1.1995743985078149</v>
      </c>
      <c r="FR130" s="21">
        <f>EXP(-LN(2)/25)*FR129+(1-EXP(-LN(2)/25))/(LN(2)/25)*Calculateur!FM130*Calculateur!FO130*VLOOKUP('Données projet'!$B$16,Paramètres!$A$1:$I$89,3,0)*0.475*44/12</f>
        <v>0.71282991267330453</v>
      </c>
      <c r="FS130" s="21">
        <f>EXP(-LN(2)/2)*FS129+(1-EXP(-LN(2)/2))/(LN(2)/2)*FM130*FP130*VLOOKUP('Données projet'!$B$16,Paramètres!$A$1:$I$89,3,0)*0.475*44/12</f>
        <v>2.4028440234540612E-14</v>
      </c>
      <c r="FT130" s="22">
        <f t="shared" si="78"/>
        <v>1.9124043111811435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>
        <f>FZ130*VLOOKUP('Données projet'!$B$17,Paramètres!$A$1:$I$89,3,0)*VLOOKUP('Données projet'!$B$17,Paramètres!$A$1:$I$89,5,0)</f>
        <v>0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337.76140497227715</v>
      </c>
      <c r="GF130" s="59">
        <f t="shared" si="104"/>
        <v>219.76562717496353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1.1442094262689924</v>
      </c>
      <c r="GM130" s="21">
        <f>EXP(-LN(2)/25)*GM129+(1-EXP(-LN(2)/25))/(LN(2)/25)*Calculateur!GH130*Calculateur!GJ130*VLOOKUP('Données projet'!$B$17,Paramètres!$A$1:$I$89,3,0)*0.475*44/12</f>
        <v>0.67993007054992127</v>
      </c>
      <c r="GN130" s="21">
        <f>EXP(-LN(2)/2)*GN129+(1-EXP(-LN(2)/2))/(LN(2)/2)*GH130*GK130*VLOOKUP('Données projet'!$B$17,Paramètres!$A$1:$I$89,3,0)*0.475*44/12</f>
        <v>2.2919435300638743E-14</v>
      </c>
      <c r="GO130" s="21">
        <f t="shared" si="81"/>
        <v>1.8241394968189366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312.53389584272878</v>
      </c>
      <c r="T131" s="59">
        <f t="shared" si="88"/>
        <v>203.5274665601915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1.0493997787820051</v>
      </c>
      <c r="AA131" s="21">
        <f>EXP(-LN(2)/25)*AA130+(1-EXP(-LN(2)/25))/(LN(2)/25)*Calculateur!V131*Calculateur!X131*VLOOKUP('Données projet'!$B$9,Paramètres!$A$1:$I$89,3,0)*0.475*44/12</f>
        <v>0.61867042140090844</v>
      </c>
      <c r="AB131" s="21">
        <f>EXP(-LN(2)/2)*AB130+(1-EXP(-LN(2)/2))/(LN(2)/2)*V131*Y131*VLOOKUP('Données projet'!$B$9,Paramètres!$A$1:$I$89,3,0)*0.475*44/12</f>
        <v>1.5160908243206182E-14</v>
      </c>
      <c r="AC131" s="22">
        <f t="shared" si="57"/>
        <v>1.6680702001829286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5.6843418860808015E-14</v>
      </c>
      <c r="AJ131" s="13">
        <f>AI131*VLOOKUP('Données projet'!$B$10,Paramètres!$A$1:$I$89,3,0)*VLOOKUP('Données projet'!$B$10,Paramètres!$A$1:$I$89,5,0)</f>
        <v>4.9658410716801891E-14</v>
      </c>
      <c r="AK131" s="13">
        <f t="shared" si="89"/>
        <v>8.0934058173791862E-13</v>
      </c>
      <c r="AL131" s="20">
        <f t="shared" si="58"/>
        <v>1.4960899118586383E-12</v>
      </c>
      <c r="AM131" s="59">
        <f t="shared" si="59"/>
        <v>293.33333333333479</v>
      </c>
      <c r="AN131" s="59">
        <f ca="1">AVERAGE(OFFSET($AM$3,0,0,'Données projet'!$E$10+1,1))-AVERAGE(OFFSET($H$3,0,0,'Données projet'!$E$10+1,1))</f>
        <v>243.05628303465238</v>
      </c>
      <c r="AO131" s="59">
        <f t="shared" si="90"/>
        <v>352.47096767658394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1.1335983704465922</v>
      </c>
      <c r="AV131" s="21">
        <f>EXP(-LN(2)/25)*AV130+(1-EXP(-LN(2)/25))/(LN(2)/25)*Calculateur!AQ131*Calculateur!AS131*VLOOKUP('Données projet'!$B$10,Paramètres!$A$1:$I$89,3,0)*0.475*44/12</f>
        <v>1.1969458772786408</v>
      </c>
      <c r="AW131" s="21">
        <f>EXP(-LN(2)/2)*AW130+(1-EXP(-LN(2)/2))/(LN(2)/2)*AQ131*AT131*VLOOKUP('Données projet'!$B$10,Paramètres!$A$1:$I$89,3,0)*0.475*44/12</f>
        <v>2.0025169428571453E-14</v>
      </c>
      <c r="AX131" s="21">
        <f t="shared" si="60"/>
        <v>2.3305442477252529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-2.8421709430404007E-13</v>
      </c>
      <c r="BE131" s="13">
        <f>BD131*VLOOKUP('Données projet'!$B$11,Paramètres!$A$1:$I$89,3,0)*VLOOKUP('Données projet'!$B$11,Paramètres!$A$1:$I$89,5,0)</f>
        <v>-2.2612312022829427E-13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325.72928944930294</v>
      </c>
      <c r="BJ131" s="59">
        <f t="shared" si="92"/>
        <v>318.38876834819752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2.4861294442077795</v>
      </c>
      <c r="BQ131" s="21">
        <f>EXP(-LN(2)/25)*BQ130+(1-EXP(-LN(2)/25))/(LN(2)/25)*Calculateur!BL131*Calculateur!BN131*VLOOKUP('Données projet'!$B$11,Paramètres!$A$1:$I$89,3,0)*0.475*44/12</f>
        <v>1.3661879470194316</v>
      </c>
      <c r="BR131" s="21">
        <f>EXP(-LN(2)/2)*BR130+(1-EXP(-LN(2)/2))/(LN(2)/2)*BL131*BO131*VLOOKUP('Données projet'!$B$11,Paramètres!$A$1:$I$89,3,0)*0.475*44/12</f>
        <v>2.1013805867092235E-14</v>
      </c>
      <c r="BS131" s="22">
        <f t="shared" si="63"/>
        <v>3.8523173912272317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-3.4106051316484809E-13</v>
      </c>
      <c r="BZ131" s="13">
        <f>BY131*VLOOKUP('Données projet'!$B$12,Paramètres!$A$1:$I$89,3,0)*VLOOKUP('Données projet'!$B$12,Paramètres!$A$1:$I$89,5,0)</f>
        <v>-1.9065282685915009E-13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475.54809021014017</v>
      </c>
      <c r="CE131" s="59">
        <f t="shared" si="94"/>
        <v>593.51433014569966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1.0541231983487207</v>
      </c>
      <c r="CL131" s="21">
        <f>EXP(-LN(2)/25)*CL130+(1-EXP(-LN(2)/25))/(LN(2)/25)*Calculateur!CG131*Calculateur!CI131*VLOOKUP('Données projet'!$B$12,Paramètres!$A$1:$I$89,3,0)*0.475*44/12</f>
        <v>2.8151180673318459</v>
      </c>
      <c r="CM131" s="21">
        <f>EXP(-LN(2)/2)*CM130+(1-EXP(-LN(2)/2))/(LN(2)/2)*CG131*CJ131*VLOOKUP('Données projet'!$B$12,Paramètres!$A$1:$I$89,3,0)*0.475*44/12</f>
        <v>2.5611437885575657E-14</v>
      </c>
      <c r="CN131" s="22">
        <f t="shared" si="66"/>
        <v>3.8692412656805923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-1.1368683772161603E-13</v>
      </c>
      <c r="CU131" s="17">
        <f>CT131*VLOOKUP('Données projet'!$B$13,Paramètres!$A$1:$I$89,3,0)*VLOOKUP('Données projet'!$B$13,Paramètres!$A$1:$I$89,5,0)</f>
        <v>-5.3205440053716299E-14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226.0452828290525</v>
      </c>
      <c r="CZ131" s="59">
        <f t="shared" si="96"/>
        <v>179.89696397462069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1.3032222822063464</v>
      </c>
      <c r="DG131" s="21">
        <f>EXP(-LN(2)/25)*DG130+(1-EXP(-LN(2)/25))/(LN(2)/25)*Calculateur!DB131*Calculateur!DD131*VLOOKUP('Données projet'!$B$13,Paramètres!$A$1:$I$89,3,0)*0.475*44/12</f>
        <v>0.73669666531988154</v>
      </c>
      <c r="DH131" s="21">
        <f>EXP(-LN(2)/2)*DH130+(1-EXP(-LN(2)/2))/(LN(2)/2)*DB131*DE131*VLOOKUP('Données projet'!$B$13,Paramètres!$A$1:$I$89,3,0)*0.475*44/12</f>
        <v>1.9616537094432893E-14</v>
      </c>
      <c r="DI131" s="22">
        <f t="shared" si="69"/>
        <v>2.0399189475262474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1.1368683772161603E-13</v>
      </c>
      <c r="DP131" s="17">
        <f>DO131*VLOOKUP('Données projet'!$B$14,Paramètres!$A$1:$I$89,3,0)*VLOOKUP('Données projet'!$B$14,Paramètres!$A$1:$I$89,5,0)</f>
        <v>6.7984728957526396E-14</v>
      </c>
      <c r="DQ131" s="13">
        <f t="shared" si="97"/>
        <v>1.0682447123141398E-12</v>
      </c>
      <c r="DR131" s="20">
        <f t="shared" si="70"/>
        <v>1.978932943548152E-12</v>
      </c>
      <c r="DS131" s="59">
        <f t="shared" si="71"/>
        <v>293.3333333333353</v>
      </c>
      <c r="DT131" s="59">
        <f ca="1">AVERAGE(OFFSET($DS$3,0,0,'Données projet'!$E$14+1,1))-AVERAGE(OFFSET($H$3,0,0,'Données projet'!$E$14+1,1))</f>
        <v>252.81045065813976</v>
      </c>
      <c r="DU131" s="59">
        <f t="shared" si="98"/>
        <v>254.36590349790589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2.5923935242103382</v>
      </c>
      <c r="EB131" s="21">
        <f>EXP(-LN(2)/25)*EB130+(1-EXP(-LN(2)/25))/(LN(2)/25)*Calculateur!DW131*Calculateur!DY131*VLOOKUP('Données projet'!$B$14,Paramètres!$A$1:$I$89,3,0)*0.475*44/12</f>
        <v>1.0653431899415411</v>
      </c>
      <c r="EC131" s="21">
        <f>EXP(-LN(2)/2)*EC130+(1-EXP(-LN(2)/2))/(LN(2)/2)*DW131*DZ131*VLOOKUP('Données projet'!$B$14,Paramètres!$A$1:$I$89,3,0)*0.475*44/12</f>
        <v>1.0198746174939566E-14</v>
      </c>
      <c r="ED131" s="22">
        <f t="shared" si="72"/>
        <v>3.6577367141518895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-2.8421709430404007E-13</v>
      </c>
      <c r="EK131" s="17">
        <f>EJ131*VLOOKUP('Données projet'!$B$15,Paramètres!$A$1:$I$89,3,0)*VLOOKUP('Données projet'!$B$15,Paramètres!$A$1:$I$89,5,0)</f>
        <v>-2.0838797354372215E-13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296.91321813251051</v>
      </c>
      <c r="EP131" s="59">
        <f t="shared" si="100"/>
        <v>291.0718079639509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1.858848541155725</v>
      </c>
      <c r="EW131" s="21">
        <f>EXP(-LN(2)/25)*EW130+(1-EXP(-LN(2)/25))/(LN(2)/25)*Calculateur!ER131*Calculateur!ET131*VLOOKUP('Données projet'!$B$15,Paramètres!$A$1:$I$89,3,0)*0.475*44/12</f>
        <v>1.0214819981229268</v>
      </c>
      <c r="EX131" s="21">
        <f>EXP(-LN(2)/2)*EX130+(1-EXP(-LN(2)/2))/(LN(2)/2)*ER131*EU131*VLOOKUP('Données projet'!$B$15,Paramètres!$A$1:$I$89,3,0)*0.475*44/12</f>
        <v>1.9365664230457596E-14</v>
      </c>
      <c r="EY131" s="22">
        <f t="shared" si="75"/>
        <v>2.8803305392786713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>
        <f>FE131*VLOOKUP('Données projet'!$B$16,Paramètres!$A$1:$I$89,3,0)*VLOOKUP('Données projet'!$B$16,Paramètres!$A$1:$I$89,5,0)</f>
        <v>0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356.65981389369125</v>
      </c>
      <c r="FK131" s="59">
        <f t="shared" si="102"/>
        <v>231.92898690465887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1.1760514762212135</v>
      </c>
      <c r="FR131" s="21">
        <f>EXP(-LN(2)/25)*FR130+(1-EXP(-LN(2)/25))/(LN(2)/25)*Calculateur!FM131*Calculateur!FO131*VLOOKUP('Données projet'!$B$16,Paramètres!$A$1:$I$89,3,0)*0.475*44/12</f>
        <v>0.69333754122515712</v>
      </c>
      <c r="FS131" s="21">
        <f>EXP(-LN(2)/2)*FS130+(1-EXP(-LN(2)/2))/(LN(2)/2)*FM131*FP131*VLOOKUP('Données projet'!$B$16,Paramètres!$A$1:$I$89,3,0)*0.475*44/12</f>
        <v>1.6990673031179343E-14</v>
      </c>
      <c r="FT131" s="22">
        <f t="shared" si="78"/>
        <v>1.8693890174463876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>
        <f>FZ131*VLOOKUP('Données projet'!$B$17,Paramètres!$A$1:$I$89,3,0)*VLOOKUP('Données projet'!$B$17,Paramètres!$A$1:$I$89,5,0)</f>
        <v>0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337.76140497227715</v>
      </c>
      <c r="GF131" s="59">
        <f t="shared" si="104"/>
        <v>219.76562717496353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1.1217721773186957</v>
      </c>
      <c r="GM131" s="21">
        <f>EXP(-LN(2)/25)*GM130+(1-EXP(-LN(2)/25))/(LN(2)/25)*Calculateur!GH131*Calculateur!GJ131*VLOOKUP('Données projet'!$B$17,Paramètres!$A$1:$I$89,3,0)*0.475*44/12</f>
        <v>0.66133734701476532</v>
      </c>
      <c r="GN131" s="21">
        <f>EXP(-LN(2)/2)*GN130+(1-EXP(-LN(2)/2))/(LN(2)/2)*GH131*GK131*VLOOKUP('Données projet'!$B$17,Paramètres!$A$1:$I$89,3,0)*0.475*44/12</f>
        <v>1.6206488122047992E-14</v>
      </c>
      <c r="GO131" s="21">
        <f t="shared" si="81"/>
        <v>1.7831095243334774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312.53389584272878</v>
      </c>
      <c r="T132" s="59">
        <f t="shared" si="88"/>
        <v>203.5274665601915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1.0288216891907533</v>
      </c>
      <c r="AA132" s="21">
        <f>EXP(-LN(2)/25)*AA131+(1-EXP(-LN(2)/25))/(LN(2)/25)*Calculateur!V132*Calculateur!X132*VLOOKUP('Données projet'!$B$9,Paramètres!$A$1:$I$89,3,0)*0.475*44/12</f>
        <v>0.6017528461932371</v>
      </c>
      <c r="AB132" s="21">
        <f>EXP(-LN(2)/2)*AB131+(1-EXP(-LN(2)/2))/(LN(2)/2)*V132*Y132*VLOOKUP('Données projet'!$B$9,Paramètres!$A$1:$I$89,3,0)*0.475*44/12</f>
        <v>1.0720381027718119E-14</v>
      </c>
      <c r="AC132" s="22">
        <f t="shared" ref="AC132:AC153" si="111">SUM(Z132:AB132)</f>
        <v>1.6305745353840011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5.6843418860808015E-14</v>
      </c>
      <c r="AJ132" s="13">
        <f>AI132*VLOOKUP('Données projet'!$B$10,Paramètres!$A$1:$I$89,3,0)*VLOOKUP('Données projet'!$B$10,Paramètres!$A$1:$I$89,5,0)</f>
        <v>4.9658410716801891E-14</v>
      </c>
      <c r="AK132" s="13">
        <f t="shared" si="89"/>
        <v>8.0934058173791862E-13</v>
      </c>
      <c r="AL132" s="20">
        <f t="shared" ref="AL132:AL153" si="112">(AJ132+AK132)*0.475*44/12</f>
        <v>1.4960899118586383E-12</v>
      </c>
      <c r="AM132" s="59">
        <f t="shared" ref="AM132:AM195" si="113">AL132+(AD132+AE132)*44/12</f>
        <v>293.33333333333479</v>
      </c>
      <c r="AN132" s="59">
        <f ca="1">AVERAGE(OFFSET($AM$3,0,0,'Données projet'!$E$10+1,1))-AVERAGE(OFFSET($H$3,0,0,'Données projet'!$E$10+1,1))</f>
        <v>243.05628303465238</v>
      </c>
      <c r="AO132" s="59">
        <f t="shared" si="90"/>
        <v>352.47096767658394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1.1113691978288678</v>
      </c>
      <c r="AV132" s="21">
        <f>EXP(-LN(2)/25)*AV131+(1-EXP(-LN(2)/25))/(LN(2)/25)*Calculateur!AQ132*Calculateur!AS132*VLOOKUP('Données projet'!$B$10,Paramètres!$A$1:$I$89,3,0)*0.475*44/12</f>
        <v>1.1642153293198083</v>
      </c>
      <c r="AW132" s="21">
        <f>EXP(-LN(2)/2)*AW131+(1-EXP(-LN(2)/2))/(LN(2)/2)*AQ132*AT132*VLOOKUP('Données projet'!$B$10,Paramètres!$A$1:$I$89,3,0)*0.475*44/12</f>
        <v>1.4159933097352416E-14</v>
      </c>
      <c r="AX132" s="21">
        <f t="shared" ref="AX132:AX153" si="114">SUM(AU132:AW132)</f>
        <v>2.2755845271486903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-2.8421709430404007E-13</v>
      </c>
      <c r="BE132" s="13">
        <f>BD132*VLOOKUP('Données projet'!$B$11,Paramètres!$A$1:$I$89,3,0)*VLOOKUP('Données projet'!$B$11,Paramètres!$A$1:$I$89,5,0)</f>
        <v>-2.2612312022829427E-13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325.72928944930294</v>
      </c>
      <c r="BJ132" s="59">
        <f t="shared" si="92"/>
        <v>318.38876834819752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2.4373779621960949</v>
      </c>
      <c r="BQ132" s="21">
        <f>EXP(-LN(2)/25)*BQ131+(1-EXP(-LN(2)/25))/(LN(2)/25)*Calculateur!BL132*Calculateur!BN132*VLOOKUP('Données projet'!$B$11,Paramètres!$A$1:$I$89,3,0)*0.475*44/12</f>
        <v>1.3288294657634836</v>
      </c>
      <c r="BR132" s="21">
        <f>EXP(-LN(2)/2)*BR131+(1-EXP(-LN(2)/2))/(LN(2)/2)*BL132*BO132*VLOOKUP('Données projet'!$B$11,Paramètres!$A$1:$I$89,3,0)*0.475*44/12</f>
        <v>1.4859004627158577E-14</v>
      </c>
      <c r="BS132" s="22">
        <f t="shared" ref="BS132:BS153" si="117">SUM(BP132:BR132)</f>
        <v>3.7662074279595932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-3.4106051316484809E-13</v>
      </c>
      <c r="BZ132" s="13">
        <f>BY132*VLOOKUP('Données projet'!$B$12,Paramètres!$A$1:$I$89,3,0)*VLOOKUP('Données projet'!$B$12,Paramètres!$A$1:$I$89,5,0)</f>
        <v>-1.9065282685915009E-13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475.54809021014017</v>
      </c>
      <c r="CE132" s="59">
        <f t="shared" si="94"/>
        <v>593.51433014569966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1.0334524853807672</v>
      </c>
      <c r="CL132" s="21">
        <f>EXP(-LN(2)/25)*CL131+(1-EXP(-LN(2)/25))/(LN(2)/25)*Calculateur!CG132*Calculateur!CI132*VLOOKUP('Données projet'!$B$12,Paramètres!$A$1:$I$89,3,0)*0.475*44/12</f>
        <v>2.7381385157400313</v>
      </c>
      <c r="CM132" s="21">
        <f>EXP(-LN(2)/2)*CM131+(1-EXP(-LN(2)/2))/(LN(2)/2)*CG132*CJ132*VLOOKUP('Données projet'!$B$12,Paramètres!$A$1:$I$89,3,0)*0.475*44/12</f>
        <v>1.8110021404828599E-14</v>
      </c>
      <c r="CN132" s="22">
        <f t="shared" ref="CN132:CN153" si="120">SUM(CK132:CM132)</f>
        <v>3.7715910011208167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-1.1368683772161603E-13</v>
      </c>
      <c r="CU132" s="17">
        <f>CT132*VLOOKUP('Données projet'!$B$13,Paramètres!$A$1:$I$89,3,0)*VLOOKUP('Données projet'!$B$13,Paramètres!$A$1:$I$89,5,0)</f>
        <v>-5.3205440053716299E-14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226.0452828290525</v>
      </c>
      <c r="CZ132" s="59">
        <f t="shared" si="96"/>
        <v>179.89696397462069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1.2776668881393836</v>
      </c>
      <c r="DG132" s="21">
        <f>EXP(-LN(2)/25)*DG131+(1-EXP(-LN(2)/25))/(LN(2)/25)*Calculateur!DB132*Calculateur!DD132*VLOOKUP('Données projet'!$B$13,Paramètres!$A$1:$I$89,3,0)*0.475*44/12</f>
        <v>0.71655165626551554</v>
      </c>
      <c r="DH132" s="21">
        <f>EXP(-LN(2)/2)*DH131+(1-EXP(-LN(2)/2))/(LN(2)/2)*DB132*DE132*VLOOKUP('Données projet'!$B$13,Paramètres!$A$1:$I$89,3,0)*0.475*44/12</f>
        <v>1.3870986402870953E-14</v>
      </c>
      <c r="DI132" s="22">
        <f t="shared" ref="DI132:DI153" si="123">SUM(DF132:DH132)</f>
        <v>1.9942185444049128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1.1368683772161603E-13</v>
      </c>
      <c r="DP132" s="17">
        <f>DO132*VLOOKUP('Données projet'!$B$14,Paramètres!$A$1:$I$89,3,0)*VLOOKUP('Données projet'!$B$14,Paramètres!$A$1:$I$89,5,0)</f>
        <v>6.7984728957526396E-14</v>
      </c>
      <c r="DQ132" s="13">
        <f t="shared" si="97"/>
        <v>1.0682447123141398E-12</v>
      </c>
      <c r="DR132" s="20">
        <f t="shared" ref="DR132:DR153" si="124">(DP132+DQ132)*0.475*44/12</f>
        <v>1.978932943548152E-12</v>
      </c>
      <c r="DS132" s="59">
        <f t="shared" ref="DS132:DS195" si="125">DR132+(DJ132+DK132)*44/12</f>
        <v>293.3333333333353</v>
      </c>
      <c r="DT132" s="59">
        <f ca="1">AVERAGE(OFFSET($DS$3,0,0,'Données projet'!$E$14+1,1))-AVERAGE(OFFSET($H$3,0,0,'Données projet'!$E$14+1,1))</f>
        <v>252.81045065813976</v>
      </c>
      <c r="DU132" s="59">
        <f t="shared" si="98"/>
        <v>254.36590349790589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2.5415582684044922</v>
      </c>
      <c r="EB132" s="21">
        <f>EXP(-LN(2)/25)*EB131+(1-EXP(-LN(2)/25))/(LN(2)/25)*Calculateur!DW132*Calculateur!DY132*VLOOKUP('Données projet'!$B$14,Paramètres!$A$1:$I$89,3,0)*0.475*44/12</f>
        <v>1.0362113243886262</v>
      </c>
      <c r="EC132" s="21">
        <f>EXP(-LN(2)/2)*EC131+(1-EXP(-LN(2)/2))/(LN(2)/2)*DW132*DZ132*VLOOKUP('Données projet'!$B$14,Paramètres!$A$1:$I$89,3,0)*0.475*44/12</f>
        <v>7.2116025799001304E-15</v>
      </c>
      <c r="ED132" s="22">
        <f t="shared" ref="ED132:ED153" si="126">SUM(EA132:EC132)</f>
        <v>3.5777695927931257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-2.8421709430404007E-13</v>
      </c>
      <c r="EK132" s="17">
        <f>EJ132*VLOOKUP('Données projet'!$B$15,Paramètres!$A$1:$I$89,3,0)*VLOOKUP('Données projet'!$B$15,Paramètres!$A$1:$I$89,5,0)</f>
        <v>-2.0838797354372215E-13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296.91321813251051</v>
      </c>
      <c r="EP132" s="59">
        <f t="shared" si="100"/>
        <v>291.0718079639509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1.8223976550493193</v>
      </c>
      <c r="EW132" s="21">
        <f>EXP(-LN(2)/25)*EW131+(1-EXP(-LN(2)/25))/(LN(2)/25)*Calculateur!ER132*Calculateur!ET132*VLOOKUP('Données projet'!$B$15,Paramètres!$A$1:$I$89,3,0)*0.475*44/12</f>
        <v>0.99354951916685175</v>
      </c>
      <c r="EX132" s="21">
        <f>EXP(-LN(2)/2)*EX131+(1-EXP(-LN(2)/2))/(LN(2)/2)*ER132*EU132*VLOOKUP('Données projet'!$B$15,Paramètres!$A$1:$I$89,3,0)*0.475*44/12</f>
        <v>1.369359249953833E-14</v>
      </c>
      <c r="EY132" s="22">
        <f t="shared" ref="EY132:EY153" si="129">SUM(EV132:EX132)</f>
        <v>2.8159471742161846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>
        <f>FE132*VLOOKUP('Données projet'!$B$16,Paramètres!$A$1:$I$89,3,0)*VLOOKUP('Données projet'!$B$16,Paramètres!$A$1:$I$89,5,0)</f>
        <v>0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356.65981389369125</v>
      </c>
      <c r="FK132" s="59">
        <f t="shared" si="102"/>
        <v>231.92898690465887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1.1529898240930865</v>
      </c>
      <c r="FR132" s="21">
        <f>EXP(-LN(2)/25)*FR131+(1-EXP(-LN(2)/25))/(LN(2)/25)*Calculateur!FM132*Calculateur!FO132*VLOOKUP('Données projet'!$B$16,Paramètres!$A$1:$I$89,3,0)*0.475*44/12</f>
        <v>0.67437818969931851</v>
      </c>
      <c r="FS132" s="21">
        <f>EXP(-LN(2)/2)*FS131+(1-EXP(-LN(2)/2))/(LN(2)/2)*FM132*FP132*VLOOKUP('Données projet'!$B$16,Paramètres!$A$1:$I$89,3,0)*0.475*44/12</f>
        <v>1.2014220117270306E-14</v>
      </c>
      <c r="FT132" s="22">
        <f t="shared" ref="FT132:FT153" si="132">SUM(FQ132:FS132)</f>
        <v>1.8273680137924169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>
        <f>FZ132*VLOOKUP('Données projet'!$B$17,Paramètres!$A$1:$I$89,3,0)*VLOOKUP('Données projet'!$B$17,Paramètres!$A$1:$I$89,5,0)</f>
        <v>0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337.76140497227715</v>
      </c>
      <c r="GF132" s="59">
        <f t="shared" si="104"/>
        <v>219.76562717496353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1.0997749091349438</v>
      </c>
      <c r="GM132" s="21">
        <f>EXP(-LN(2)/25)*GM131+(1-EXP(-LN(2)/25))/(LN(2)/25)*Calculateur!GH132*Calculateur!GJ132*VLOOKUP('Données projet'!$B$17,Paramètres!$A$1:$I$89,3,0)*0.475*44/12</f>
        <v>0.64325304248242698</v>
      </c>
      <c r="GN132" s="21">
        <f>EXP(-LN(2)/2)*GN131+(1-EXP(-LN(2)/2))/(LN(2)/2)*GH132*GK132*VLOOKUP('Données projet'!$B$17,Paramètres!$A$1:$I$89,3,0)*0.475*44/12</f>
        <v>1.1459717650319372E-14</v>
      </c>
      <c r="GO132" s="21">
        <f t="shared" ref="GO132:GO153" si="135">SUM(GL132:GN132)</f>
        <v>1.7430279516173823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312.53389584272878</v>
      </c>
      <c r="T133" s="59">
        <f t="shared" ref="T133:T196" si="142">$T$3</f>
        <v>203.5274665601915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1.0086471233849907</v>
      </c>
      <c r="AA133" s="21">
        <f>EXP(-LN(2)/25)*AA132+(1-EXP(-LN(2)/25))/(LN(2)/25)*Calculateur!V133*Calculateur!X133*VLOOKUP('Données projet'!$B$9,Paramètres!$A$1:$I$89,3,0)*0.475*44/12</f>
        <v>0.58529788296927621</v>
      </c>
      <c r="AB133" s="21">
        <f>EXP(-LN(2)/2)*AB132+(1-EXP(-LN(2)/2))/(LN(2)/2)*V133*Y133*VLOOKUP('Données projet'!$B$9,Paramètres!$A$1:$I$89,3,0)*0.475*44/12</f>
        <v>7.5804541216030912E-15</v>
      </c>
      <c r="AC133" s="22">
        <f t="shared" si="111"/>
        <v>1.5939450063542746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5.6843418860808015E-14</v>
      </c>
      <c r="AJ133" s="13">
        <f>AI133*VLOOKUP('Données projet'!$B$10,Paramètres!$A$1:$I$89,3,0)*VLOOKUP('Données projet'!$B$10,Paramètres!$A$1:$I$89,5,0)</f>
        <v>4.9658410716801891E-14</v>
      </c>
      <c r="AK133" s="13">
        <f t="shared" ref="AK133:AK153" si="143">EXP(-1.0587+0.8836*LN(AJ133)+0.284)</f>
        <v>8.0934058173791862E-13</v>
      </c>
      <c r="AL133" s="20">
        <f t="shared" si="112"/>
        <v>1.4960899118586383E-12</v>
      </c>
      <c r="AM133" s="59">
        <f t="shared" si="113"/>
        <v>293.33333333333479</v>
      </c>
      <c r="AN133" s="59">
        <f ca="1">AVERAGE(OFFSET($AM$3,0,0,'Données projet'!$E$10+1,1))-AVERAGE(OFFSET($H$3,0,0,'Données projet'!$E$10+1,1))</f>
        <v>243.05628303465238</v>
      </c>
      <c r="AO133" s="59">
        <f t="shared" ref="AO133:AO196" si="144">$AO$3</f>
        <v>352.47096767658394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1.0895759257277204</v>
      </c>
      <c r="AV133" s="21">
        <f>EXP(-LN(2)/25)*AV132+(1-EXP(-LN(2)/25))/(LN(2)/25)*Calculateur!AQ133*Calculateur!AS133*VLOOKUP('Données projet'!$B$10,Paramètres!$A$1:$I$89,3,0)*0.475*44/12</f>
        <v>1.1323797999161349</v>
      </c>
      <c r="AW133" s="21">
        <f>EXP(-LN(2)/2)*AW132+(1-EXP(-LN(2)/2))/(LN(2)/2)*AQ133*AT133*VLOOKUP('Données projet'!$B$10,Paramètres!$A$1:$I$89,3,0)*0.475*44/12</f>
        <v>1.0012584714285728E-14</v>
      </c>
      <c r="AX133" s="21">
        <f t="shared" si="114"/>
        <v>2.2219557256438658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-2.8421709430404007E-13</v>
      </c>
      <c r="BE133" s="13">
        <f>BD133*VLOOKUP('Données projet'!$B$11,Paramètres!$A$1:$I$89,3,0)*VLOOKUP('Données projet'!$B$11,Paramètres!$A$1:$I$89,5,0)</f>
        <v>-2.2612312022829427E-13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325.72928944930294</v>
      </c>
      <c r="BJ133" s="59">
        <f t="shared" ref="BJ133:BJ196" si="146">$BJ$3</f>
        <v>318.38876834819752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2.3895824670111914</v>
      </c>
      <c r="BQ133" s="21">
        <f>EXP(-LN(2)/25)*BQ132+(1-EXP(-LN(2)/25))/(LN(2)/25)*Calculateur!BL133*Calculateur!BN133*VLOOKUP('Données projet'!$B$11,Paramètres!$A$1:$I$89,3,0)*0.475*44/12</f>
        <v>1.2924925541420766</v>
      </c>
      <c r="BR133" s="21">
        <f>EXP(-LN(2)/2)*BR132+(1-EXP(-LN(2)/2))/(LN(2)/2)*BL133*BO133*VLOOKUP('Données projet'!$B$11,Paramètres!$A$1:$I$89,3,0)*0.475*44/12</f>
        <v>1.0506902933546117E-14</v>
      </c>
      <c r="BS133" s="22">
        <f t="shared" si="117"/>
        <v>3.6820750211532784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-3.4106051316484809E-13</v>
      </c>
      <c r="BZ133" s="13">
        <f>BY133*VLOOKUP('Données projet'!$B$12,Paramètres!$A$1:$I$89,3,0)*VLOOKUP('Données projet'!$B$12,Paramètres!$A$1:$I$89,5,0)</f>
        <v>-1.9065282685915009E-13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475.54809021014017</v>
      </c>
      <c r="CE133" s="59">
        <f t="shared" ref="CE133:CE196" si="148">$CE$3</f>
        <v>593.51433014569966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1.0131871124862251</v>
      </c>
      <c r="CL133" s="21">
        <f>EXP(-LN(2)/25)*CL132+(1-EXP(-LN(2)/25))/(LN(2)/25)*Calculateur!CG133*Calculateur!CI133*VLOOKUP('Données projet'!$B$12,Paramètres!$A$1:$I$89,3,0)*0.475*44/12</f>
        <v>2.6632639740346735</v>
      </c>
      <c r="CM133" s="21">
        <f>EXP(-LN(2)/2)*CM132+(1-EXP(-LN(2)/2))/(LN(2)/2)*CG133*CJ133*VLOOKUP('Données projet'!$B$12,Paramètres!$A$1:$I$89,3,0)*0.475*44/12</f>
        <v>1.2805718942787828E-14</v>
      </c>
      <c r="CN133" s="22">
        <f t="shared" si="120"/>
        <v>3.6764510865209115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-1.1368683772161603E-13</v>
      </c>
      <c r="CU133" s="17">
        <f>CT133*VLOOKUP('Données projet'!$B$13,Paramètres!$A$1:$I$89,3,0)*VLOOKUP('Données projet'!$B$13,Paramètres!$A$1:$I$89,5,0)</f>
        <v>-5.3205440053716299E-14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226.0452828290525</v>
      </c>
      <c r="CZ133" s="59">
        <f t="shared" ref="CZ133:CZ196" si="150">$CZ$3</f>
        <v>179.89696397462069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1.2526126197628225</v>
      </c>
      <c r="DG133" s="21">
        <f>EXP(-LN(2)/25)*DG132+(1-EXP(-LN(2)/25))/(LN(2)/25)*Calculateur!DB133*Calculateur!DD133*VLOOKUP('Données projet'!$B$13,Paramètres!$A$1:$I$89,3,0)*0.475*44/12</f>
        <v>0.69695751354312108</v>
      </c>
      <c r="DH133" s="21">
        <f>EXP(-LN(2)/2)*DH132+(1-EXP(-LN(2)/2))/(LN(2)/2)*DB133*DE133*VLOOKUP('Données projet'!$B$13,Paramètres!$A$1:$I$89,3,0)*0.475*44/12</f>
        <v>9.8082685472164481E-15</v>
      </c>
      <c r="DI133" s="22">
        <f t="shared" si="123"/>
        <v>1.9495701333059534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1.1368683772161603E-13</v>
      </c>
      <c r="DP133" s="17">
        <f>DO133*VLOOKUP('Données projet'!$B$14,Paramètres!$A$1:$I$89,3,0)*VLOOKUP('Données projet'!$B$14,Paramètres!$A$1:$I$89,5,0)</f>
        <v>6.7984728957526396E-14</v>
      </c>
      <c r="DQ133" s="13">
        <f t="shared" ref="DQ133:DQ153" si="151">EXP(-1.0587+0.8836*LN(DP133)+0.284)</f>
        <v>1.0682447123141398E-12</v>
      </c>
      <c r="DR133" s="20">
        <f t="shared" si="124"/>
        <v>1.978932943548152E-12</v>
      </c>
      <c r="DS133" s="59">
        <f t="shared" si="125"/>
        <v>293.3333333333353</v>
      </c>
      <c r="DT133" s="59">
        <f ca="1">AVERAGE(OFFSET($DS$3,0,0,'Données projet'!$E$14+1,1))-AVERAGE(OFFSET($H$3,0,0,'Données projet'!$E$14+1,1))</f>
        <v>252.81045065813976</v>
      </c>
      <c r="DU133" s="59">
        <f t="shared" ref="DU133:DU196" si="152">$DU$3</f>
        <v>254.36590349790589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2.4917198609585545</v>
      </c>
      <c r="EB133" s="21">
        <f>EXP(-LN(2)/25)*EB132+(1-EXP(-LN(2)/25))/(LN(2)/25)*Calculateur!DW133*Calculateur!DY133*VLOOKUP('Données projet'!$B$14,Paramètres!$A$1:$I$89,3,0)*0.475*44/12</f>
        <v>1.007876071231234</v>
      </c>
      <c r="EC133" s="21">
        <f>EXP(-LN(2)/2)*EC132+(1-EXP(-LN(2)/2))/(LN(2)/2)*DW133*DZ133*VLOOKUP('Données projet'!$B$14,Paramètres!$A$1:$I$89,3,0)*0.475*44/12</f>
        <v>5.0993730874697832E-15</v>
      </c>
      <c r="ED133" s="22">
        <f t="shared" si="126"/>
        <v>3.4995959321897936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-2.8421709430404007E-13</v>
      </c>
      <c r="EK133" s="17">
        <f>EJ133*VLOOKUP('Données projet'!$B$15,Paramètres!$A$1:$I$89,3,0)*VLOOKUP('Données projet'!$B$15,Paramètres!$A$1:$I$89,5,0)</f>
        <v>-2.0838797354372215E-13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296.91321813251051</v>
      </c>
      <c r="EP133" s="59">
        <f t="shared" ref="EP133:EP196" si="154">$EP$3</f>
        <v>291.0718079639509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1.7866615485866151</v>
      </c>
      <c r="EW133" s="21">
        <f>EXP(-LN(2)/25)*EW132+(1-EXP(-LN(2)/25))/(LN(2)/25)*Calculateur!ER133*Calculateur!ET133*VLOOKUP('Données projet'!$B$15,Paramètres!$A$1:$I$89,3,0)*0.475*44/12</f>
        <v>0.96638085531673579</v>
      </c>
      <c r="EX133" s="21">
        <f>EXP(-LN(2)/2)*EX132+(1-EXP(-LN(2)/2))/(LN(2)/2)*ER133*EU133*VLOOKUP('Données projet'!$B$15,Paramètres!$A$1:$I$89,3,0)*0.475*44/12</f>
        <v>9.6828321152287981E-15</v>
      </c>
      <c r="EY133" s="22">
        <f t="shared" si="129"/>
        <v>2.7530424039033607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>
        <f>FE133*VLOOKUP('Données projet'!$B$16,Paramètres!$A$1:$I$89,3,0)*VLOOKUP('Données projet'!$B$16,Paramètres!$A$1:$I$89,5,0)</f>
        <v>0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356.65981389369125</v>
      </c>
      <c r="FK133" s="59">
        <f t="shared" ref="FK133:FK196" si="156">$FK$3</f>
        <v>231.92898690465887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1.1303803968969732</v>
      </c>
      <c r="FR133" s="21">
        <f>EXP(-LN(2)/25)*FR132+(1-EXP(-LN(2)/25))/(LN(2)/25)*Calculateur!FM133*Calculateur!FO133*VLOOKUP('Données projet'!$B$16,Paramètres!$A$1:$I$89,3,0)*0.475*44/12</f>
        <v>0.65593728263798301</v>
      </c>
      <c r="FS133" s="21">
        <f>EXP(-LN(2)/2)*FS132+(1-EXP(-LN(2)/2))/(LN(2)/2)*FM133*FP133*VLOOKUP('Données projet'!$B$16,Paramètres!$A$1:$I$89,3,0)*0.475*44/12</f>
        <v>8.4953365155896715E-15</v>
      </c>
      <c r="FT133" s="22">
        <f t="shared" si="132"/>
        <v>1.7863176795349647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>
        <f>FZ133*VLOOKUP('Données projet'!$B$17,Paramètres!$A$1:$I$89,3,0)*VLOOKUP('Données projet'!$B$17,Paramètres!$A$1:$I$89,5,0)</f>
        <v>0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337.76140497227715</v>
      </c>
      <c r="GF133" s="59">
        <f t="shared" ref="GF133:GF196" si="158">$GF$3</f>
        <v>219.76562717496353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1.0782089939632664</v>
      </c>
      <c r="GM133" s="21">
        <f>EXP(-LN(2)/25)*GM132+(1-EXP(-LN(2)/25))/(LN(2)/25)*Calculateur!GH133*Calculateur!GJ133*VLOOKUP('Données projet'!$B$17,Paramètres!$A$1:$I$89,3,0)*0.475*44/12</f>
        <v>0.62566325420853763</v>
      </c>
      <c r="GN133" s="21">
        <f>EXP(-LN(2)/2)*GN132+(1-EXP(-LN(2)/2))/(LN(2)/2)*GH133*GK133*VLOOKUP('Données projet'!$B$17,Paramètres!$A$1:$I$89,3,0)*0.475*44/12</f>
        <v>8.1032440610239962E-15</v>
      </c>
      <c r="GO133" s="21">
        <f t="shared" si="135"/>
        <v>1.703872248171812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312.53389584272878</v>
      </c>
      <c r="T134" s="59">
        <f t="shared" si="142"/>
        <v>203.5274665601915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0.98886816850940895</v>
      </c>
      <c r="AA134" s="21">
        <f>EXP(-LN(2)/25)*AA133+(1-EXP(-LN(2)/25))/(LN(2)/25)*Calculateur!V134*Calculateur!X134*VLOOKUP('Données projet'!$B$9,Paramètres!$A$1:$I$89,3,0)*0.475*44/12</f>
        <v>0.56929288158000335</v>
      </c>
      <c r="AB134" s="21">
        <f>EXP(-LN(2)/2)*AB133+(1-EXP(-LN(2)/2))/(LN(2)/2)*V134*Y134*VLOOKUP('Données projet'!$B$9,Paramètres!$A$1:$I$89,3,0)*0.475*44/12</f>
        <v>5.3601905138590594E-15</v>
      </c>
      <c r="AC134" s="22">
        <f t="shared" si="111"/>
        <v>1.5581610500894176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5.6843418860808015E-14</v>
      </c>
      <c r="AJ134" s="13">
        <f>AI134*VLOOKUP('Données projet'!$B$10,Paramètres!$A$1:$I$89,3,0)*VLOOKUP('Données projet'!$B$10,Paramètres!$A$1:$I$89,5,0)</f>
        <v>4.9658410716801891E-14</v>
      </c>
      <c r="AK134" s="13">
        <f t="shared" si="143"/>
        <v>8.0934058173791862E-13</v>
      </c>
      <c r="AL134" s="20">
        <f t="shared" si="112"/>
        <v>1.4960899118586383E-12</v>
      </c>
      <c r="AM134" s="59">
        <f t="shared" si="113"/>
        <v>293.33333333333479</v>
      </c>
      <c r="AN134" s="59">
        <f ca="1">AVERAGE(OFFSET($AM$3,0,0,'Données projet'!$E$10+1,1))-AVERAGE(OFFSET($H$3,0,0,'Données projet'!$E$10+1,1))</f>
        <v>243.05628303465238</v>
      </c>
      <c r="AO134" s="59">
        <f t="shared" si="144"/>
        <v>352.47096767658394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1.0682100063998932</v>
      </c>
      <c r="AV134" s="21">
        <f>EXP(-LN(2)/25)*AV133+(1-EXP(-LN(2)/25))/(LN(2)/25)*Calculateur!AQ134*Calculateur!AS134*VLOOKUP('Données projet'!$B$10,Paramètres!$A$1:$I$89,3,0)*0.475*44/12</f>
        <v>1.1014148147381626</v>
      </c>
      <c r="AW134" s="21">
        <f>EXP(-LN(2)/2)*AW133+(1-EXP(-LN(2)/2))/(LN(2)/2)*AQ134*AT134*VLOOKUP('Données projet'!$B$10,Paramètres!$A$1:$I$89,3,0)*0.475*44/12</f>
        <v>7.0799665486762089E-15</v>
      </c>
      <c r="AX134" s="21">
        <f t="shared" si="114"/>
        <v>2.1696248211380631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-2.8421709430404007E-13</v>
      </c>
      <c r="BE134" s="13">
        <f>BD134*VLOOKUP('Données projet'!$B$11,Paramètres!$A$1:$I$89,3,0)*VLOOKUP('Données projet'!$B$11,Paramètres!$A$1:$I$89,5,0)</f>
        <v>-2.2612312022829427E-13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325.72928944930294</v>
      </c>
      <c r="BJ134" s="59">
        <f t="shared" si="146"/>
        <v>318.38876834819752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2.3427242123344905</v>
      </c>
      <c r="BQ134" s="21">
        <f>EXP(-LN(2)/25)*BQ133+(1-EXP(-LN(2)/25))/(LN(2)/25)*Calculateur!BL134*Calculateur!BN134*VLOOKUP('Données projet'!$B$11,Paramètres!$A$1:$I$89,3,0)*0.475*44/12</f>
        <v>1.2571492772798323</v>
      </c>
      <c r="BR134" s="21">
        <f>EXP(-LN(2)/2)*BR133+(1-EXP(-LN(2)/2))/(LN(2)/2)*BL134*BO134*VLOOKUP('Données projet'!$B$11,Paramètres!$A$1:$I$89,3,0)*0.475*44/12</f>
        <v>7.4295023135792884E-15</v>
      </c>
      <c r="BS134" s="22">
        <f t="shared" si="117"/>
        <v>3.5998734896143305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-3.4106051316484809E-13</v>
      </c>
      <c r="BZ134" s="13">
        <f>BY134*VLOOKUP('Données projet'!$B$12,Paramètres!$A$1:$I$89,3,0)*VLOOKUP('Données projet'!$B$12,Paramètres!$A$1:$I$89,5,0)</f>
        <v>-1.9065282685915009E-13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475.54809021014017</v>
      </c>
      <c r="CE134" s="59">
        <f t="shared" si="148"/>
        <v>593.51433014569966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0.99331913119348803</v>
      </c>
      <c r="CL134" s="21">
        <f>EXP(-LN(2)/25)*CL133+(1-EXP(-LN(2)/25))/(LN(2)/25)*Calculateur!CG134*Calculateur!CI134*VLOOKUP('Données projet'!$B$12,Paramètres!$A$1:$I$89,3,0)*0.475*44/12</f>
        <v>2.59043688060973</v>
      </c>
      <c r="CM134" s="21">
        <f>EXP(-LN(2)/2)*CM133+(1-EXP(-LN(2)/2))/(LN(2)/2)*CG134*CJ134*VLOOKUP('Données projet'!$B$12,Paramètres!$A$1:$I$89,3,0)*0.475*44/12</f>
        <v>9.0550107024142996E-15</v>
      </c>
      <c r="CN134" s="22">
        <f t="shared" si="120"/>
        <v>3.583756011803227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-1.1368683772161603E-13</v>
      </c>
      <c r="CU134" s="17">
        <f>CT134*VLOOKUP('Données projet'!$B$13,Paramètres!$A$1:$I$89,3,0)*VLOOKUP('Données projet'!$B$13,Paramètres!$A$1:$I$89,5,0)</f>
        <v>-5.3205440053716299E-14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226.0452828290525</v>
      </c>
      <c r="CZ134" s="59">
        <f t="shared" si="150"/>
        <v>179.89696397462069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1.2280496503075311</v>
      </c>
      <c r="DG134" s="21">
        <f>EXP(-LN(2)/25)*DG133+(1-EXP(-LN(2)/25))/(LN(2)/25)*Calculateur!DB134*Calculateur!DD134*VLOOKUP('Données projet'!$B$13,Paramètres!$A$1:$I$89,3,0)*0.475*44/12</f>
        <v>0.67789917368388175</v>
      </c>
      <c r="DH134" s="21">
        <f>EXP(-LN(2)/2)*DH133+(1-EXP(-LN(2)/2))/(LN(2)/2)*DB134*DE134*VLOOKUP('Données projet'!$B$13,Paramètres!$A$1:$I$89,3,0)*0.475*44/12</f>
        <v>6.935493201435478E-15</v>
      </c>
      <c r="DI134" s="22">
        <f t="shared" si="123"/>
        <v>1.9059488239914197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1.1368683772161603E-13</v>
      </c>
      <c r="DP134" s="17">
        <f>DO134*VLOOKUP('Données projet'!$B$14,Paramètres!$A$1:$I$89,3,0)*VLOOKUP('Données projet'!$B$14,Paramètres!$A$1:$I$89,5,0)</f>
        <v>6.7984728957526396E-14</v>
      </c>
      <c r="DQ134" s="13">
        <f t="shared" si="151"/>
        <v>1.0682447123141398E-12</v>
      </c>
      <c r="DR134" s="20">
        <f t="shared" si="124"/>
        <v>1.978932943548152E-12</v>
      </c>
      <c r="DS134" s="59">
        <f t="shared" si="125"/>
        <v>293.3333333333353</v>
      </c>
      <c r="DT134" s="59">
        <f ca="1">AVERAGE(OFFSET($DS$3,0,0,'Données projet'!$E$14+1,1))-AVERAGE(OFFSET($H$3,0,0,'Données projet'!$E$14+1,1))</f>
        <v>252.81045065813976</v>
      </c>
      <c r="DU134" s="59">
        <f t="shared" si="152"/>
        <v>254.36590349790589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2.4428587542842046</v>
      </c>
      <c r="EB134" s="21">
        <f>EXP(-LN(2)/25)*EB133+(1-EXP(-LN(2)/25))/(LN(2)/25)*Calculateur!DW134*Calculateur!DY134*VLOOKUP('Données projet'!$B$14,Paramètres!$A$1:$I$89,3,0)*0.475*44/12</f>
        <v>0.98031564706151686</v>
      </c>
      <c r="EC134" s="21">
        <f>EXP(-LN(2)/2)*EC133+(1-EXP(-LN(2)/2))/(LN(2)/2)*DW134*DZ134*VLOOKUP('Données projet'!$B$14,Paramètres!$A$1:$I$89,3,0)*0.475*44/12</f>
        <v>3.6058012899500652E-15</v>
      </c>
      <c r="ED134" s="22">
        <f t="shared" si="126"/>
        <v>3.423174401345725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-2.8421709430404007E-13</v>
      </c>
      <c r="EK134" s="17">
        <f>EJ134*VLOOKUP('Données projet'!$B$15,Paramètres!$A$1:$I$89,3,0)*VLOOKUP('Données projet'!$B$15,Paramètres!$A$1:$I$89,5,0)</f>
        <v>-2.0838797354372215E-13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296.91321813251051</v>
      </c>
      <c r="EP134" s="59">
        <f t="shared" si="154"/>
        <v>291.0718079639509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1.7516262053747718</v>
      </c>
      <c r="EW134" s="21">
        <f>EXP(-LN(2)/25)*EW133+(1-EXP(-LN(2)/25))/(LN(2)/25)*Calculateur!ER134*Calculateur!ET134*VLOOKUP('Données projet'!$B$15,Paramètres!$A$1:$I$89,3,0)*0.475*44/12</f>
        <v>0.93995512000833914</v>
      </c>
      <c r="EX134" s="21">
        <f>EXP(-LN(2)/2)*EX133+(1-EXP(-LN(2)/2))/(LN(2)/2)*ER134*EU134*VLOOKUP('Données projet'!$B$15,Paramètres!$A$1:$I$89,3,0)*0.475*44/12</f>
        <v>6.8467962497691649E-15</v>
      </c>
      <c r="EY134" s="22">
        <f t="shared" si="129"/>
        <v>2.6915813253831176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>
        <f>FE134*VLOOKUP('Données projet'!$B$16,Paramètres!$A$1:$I$89,3,0)*VLOOKUP('Données projet'!$B$16,Paramètres!$A$1:$I$89,5,0)</f>
        <v>0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356.65981389369125</v>
      </c>
      <c r="FK134" s="59">
        <f t="shared" si="156"/>
        <v>231.92898690465887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1.1082143267777869</v>
      </c>
      <c r="FR134" s="21">
        <f>EXP(-LN(2)/25)*FR133+(1-EXP(-LN(2)/25))/(LN(2)/25)*Calculateur!FM134*Calculateur!FO134*VLOOKUP('Données projet'!$B$16,Paramètres!$A$1:$I$89,3,0)*0.475*44/12</f>
        <v>0.63800064315000482</v>
      </c>
      <c r="FS134" s="21">
        <f>EXP(-LN(2)/2)*FS133+(1-EXP(-LN(2)/2))/(LN(2)/2)*FM134*FP134*VLOOKUP('Données projet'!$B$16,Paramètres!$A$1:$I$89,3,0)*0.475*44/12</f>
        <v>6.007110058635153E-15</v>
      </c>
      <c r="FT134" s="22">
        <f t="shared" si="132"/>
        <v>1.7462149699277976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>
        <f>FZ134*VLOOKUP('Données projet'!$B$17,Paramètres!$A$1:$I$89,3,0)*VLOOKUP('Données projet'!$B$17,Paramètres!$A$1:$I$89,5,0)</f>
        <v>0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337.76140497227715</v>
      </c>
      <c r="GF134" s="59">
        <f t="shared" si="158"/>
        <v>219.76562717496353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1.0570659732341963</v>
      </c>
      <c r="GM134" s="21">
        <f>EXP(-LN(2)/25)*GM133+(1-EXP(-LN(2)/25))/(LN(2)/25)*Calculateur!GH134*Calculateur!GJ134*VLOOKUP('Données projet'!$B$17,Paramètres!$A$1:$I$89,3,0)*0.475*44/12</f>
        <v>0.60855445962000465</v>
      </c>
      <c r="GN134" s="21">
        <f>EXP(-LN(2)/2)*GN133+(1-EXP(-LN(2)/2))/(LN(2)/2)*GH134*GK134*VLOOKUP('Données projet'!$B$17,Paramètres!$A$1:$I$89,3,0)*0.475*44/12</f>
        <v>5.7298588251596858E-15</v>
      </c>
      <c r="GO134" s="21">
        <f t="shared" si="135"/>
        <v>1.6656204328542068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312.53389584272878</v>
      </c>
      <c r="T135" s="59">
        <f t="shared" si="142"/>
        <v>203.5274665601915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0.96947706687496615</v>
      </c>
      <c r="AA135" s="21">
        <f>EXP(-LN(2)/25)*AA134+(1-EXP(-LN(2)/25))/(LN(2)/25)*Calculateur!V135*Calculateur!X135*VLOOKUP('Données projet'!$B$9,Paramètres!$A$1:$I$89,3,0)*0.475*44/12</f>
        <v>0.55372553779538669</v>
      </c>
      <c r="AB135" s="21">
        <f>EXP(-LN(2)/2)*AB134+(1-EXP(-LN(2)/2))/(LN(2)/2)*V135*Y135*VLOOKUP('Données projet'!$B$9,Paramètres!$A$1:$I$89,3,0)*0.475*44/12</f>
        <v>3.7902270608015456E-15</v>
      </c>
      <c r="AC135" s="22">
        <f t="shared" si="111"/>
        <v>1.5232026046703566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5.6843418860808015E-14</v>
      </c>
      <c r="AJ135" s="13">
        <f>AI135*VLOOKUP('Données projet'!$B$10,Paramètres!$A$1:$I$89,3,0)*VLOOKUP('Données projet'!$B$10,Paramètres!$A$1:$I$89,5,0)</f>
        <v>4.9658410716801891E-14</v>
      </c>
      <c r="AK135" s="13">
        <f t="shared" si="143"/>
        <v>8.0934058173791862E-13</v>
      </c>
      <c r="AL135" s="20">
        <f t="shared" si="112"/>
        <v>1.4960899118586383E-12</v>
      </c>
      <c r="AM135" s="59">
        <f t="shared" si="113"/>
        <v>293.33333333333479</v>
      </c>
      <c r="AN135" s="59">
        <f ca="1">AVERAGE(OFFSET($AM$3,0,0,'Données projet'!$E$10+1,1))-AVERAGE(OFFSET($H$3,0,0,'Données projet'!$E$10+1,1))</f>
        <v>243.05628303465238</v>
      </c>
      <c r="AO135" s="59">
        <f t="shared" si="144"/>
        <v>352.47096767658394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1.0472630597181605</v>
      </c>
      <c r="AV135" s="21">
        <f>EXP(-LN(2)/25)*AV134+(1-EXP(-LN(2)/25))/(LN(2)/25)*Calculateur!AQ135*Calculateur!AS135*VLOOKUP('Données projet'!$B$10,Paramètres!$A$1:$I$89,3,0)*0.475*44/12</f>
        <v>1.0712965687082598</v>
      </c>
      <c r="AW135" s="21">
        <f>EXP(-LN(2)/2)*AW134+(1-EXP(-LN(2)/2))/(LN(2)/2)*AQ135*AT135*VLOOKUP('Données projet'!$B$10,Paramètres!$A$1:$I$89,3,0)*0.475*44/12</f>
        <v>5.0062923571428648E-15</v>
      </c>
      <c r="AX135" s="21">
        <f t="shared" si="114"/>
        <v>2.1185596284264254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-2.8421709430404007E-13</v>
      </c>
      <c r="BE135" s="13">
        <f>BD135*VLOOKUP('Données projet'!$B$11,Paramètres!$A$1:$I$89,3,0)*VLOOKUP('Données projet'!$B$11,Paramètres!$A$1:$I$89,5,0)</f>
        <v>-2.2612312022829427E-13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325.72928944930294</v>
      </c>
      <c r="BJ135" s="59">
        <f t="shared" si="146"/>
        <v>318.38876834819752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2.2967848194512865</v>
      </c>
      <c r="BQ135" s="21">
        <f>EXP(-LN(2)/25)*BQ134+(1-EXP(-LN(2)/25))/(LN(2)/25)*Calculateur!BL135*Calculateur!BN135*VLOOKUP('Données projet'!$B$11,Paramètres!$A$1:$I$89,3,0)*0.475*44/12</f>
        <v>1.2227724641820081</v>
      </c>
      <c r="BR135" s="21">
        <f>EXP(-LN(2)/2)*BR134+(1-EXP(-LN(2)/2))/(LN(2)/2)*BL135*BO135*VLOOKUP('Données projet'!$B$11,Paramètres!$A$1:$I$89,3,0)*0.475*44/12</f>
        <v>5.2534514667730587E-15</v>
      </c>
      <c r="BS135" s="22">
        <f t="shared" si="117"/>
        <v>3.5195572836332998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-3.4106051316484809E-13</v>
      </c>
      <c r="BZ135" s="13">
        <f>BY135*VLOOKUP('Données projet'!$B$12,Paramètres!$A$1:$I$89,3,0)*VLOOKUP('Données projet'!$B$12,Paramètres!$A$1:$I$89,5,0)</f>
        <v>-1.9065282685915009E-13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475.54809021014017</v>
      </c>
      <c r="CE135" s="59">
        <f t="shared" si="148"/>
        <v>593.51433014569966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0.97384074889562955</v>
      </c>
      <c r="CL135" s="21">
        <f>EXP(-LN(2)/25)*CL134+(1-EXP(-LN(2)/25))/(LN(2)/25)*Calculateur!CG135*Calculateur!CI135*VLOOKUP('Données projet'!$B$12,Paramètres!$A$1:$I$89,3,0)*0.475*44/12</f>
        <v>2.5196012478843017</v>
      </c>
      <c r="CM135" s="21">
        <f>EXP(-LN(2)/2)*CM134+(1-EXP(-LN(2)/2))/(LN(2)/2)*CG135*CJ135*VLOOKUP('Données projet'!$B$12,Paramètres!$A$1:$I$89,3,0)*0.475*44/12</f>
        <v>6.4028594713939142E-15</v>
      </c>
      <c r="CN135" s="22">
        <f t="shared" si="120"/>
        <v>3.4934419967799375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-1.1368683772161603E-13</v>
      </c>
      <c r="CU135" s="17">
        <f>CT135*VLOOKUP('Données projet'!$B$13,Paramètres!$A$1:$I$89,3,0)*VLOOKUP('Données projet'!$B$13,Paramètres!$A$1:$I$89,5,0)</f>
        <v>-5.3205440053716299E-14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226.0452828290525</v>
      </c>
      <c r="CZ135" s="59">
        <f t="shared" si="150"/>
        <v>179.89696397462069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1.2039683457013259</v>
      </c>
      <c r="DG135" s="21">
        <f>EXP(-LN(2)/25)*DG134+(1-EXP(-LN(2)/25))/(LN(2)/25)*Calculateur!DB135*Calculateur!DD135*VLOOKUP('Données projet'!$B$13,Paramètres!$A$1:$I$89,3,0)*0.475*44/12</f>
        <v>0.65936198513032784</v>
      </c>
      <c r="DH135" s="21">
        <f>EXP(-LN(2)/2)*DH134+(1-EXP(-LN(2)/2))/(LN(2)/2)*DB135*DE135*VLOOKUP('Données projet'!$B$13,Paramètres!$A$1:$I$89,3,0)*0.475*44/12</f>
        <v>4.9041342736082248E-15</v>
      </c>
      <c r="DI135" s="22">
        <f t="shared" si="123"/>
        <v>1.8633303308316587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1.1368683772161603E-13</v>
      </c>
      <c r="DP135" s="17">
        <f>DO135*VLOOKUP('Données projet'!$B$14,Paramètres!$A$1:$I$89,3,0)*VLOOKUP('Données projet'!$B$14,Paramètres!$A$1:$I$89,5,0)</f>
        <v>6.7984728957526396E-14</v>
      </c>
      <c r="DQ135" s="13">
        <f t="shared" si="151"/>
        <v>1.0682447123141398E-12</v>
      </c>
      <c r="DR135" s="20">
        <f t="shared" si="124"/>
        <v>1.978932943548152E-12</v>
      </c>
      <c r="DS135" s="59">
        <f t="shared" si="125"/>
        <v>293.3333333333353</v>
      </c>
      <c r="DT135" s="59">
        <f ca="1">AVERAGE(OFFSET($DS$3,0,0,'Données projet'!$E$14+1,1))-AVERAGE(OFFSET($H$3,0,0,'Données projet'!$E$14+1,1))</f>
        <v>252.81045065813976</v>
      </c>
      <c r="DU135" s="59">
        <f t="shared" si="152"/>
        <v>254.36590349790589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2.3949557841094067</v>
      </c>
      <c r="EB135" s="21">
        <f>EXP(-LN(2)/25)*EB134+(1-EXP(-LN(2)/25))/(LN(2)/25)*Calculateur!DW135*Calculateur!DY135*VLOOKUP('Données projet'!$B$14,Paramètres!$A$1:$I$89,3,0)*0.475*44/12</f>
        <v>0.95350886414006031</v>
      </c>
      <c r="EC135" s="21">
        <f>EXP(-LN(2)/2)*EC134+(1-EXP(-LN(2)/2))/(LN(2)/2)*DW135*DZ135*VLOOKUP('Données projet'!$B$14,Paramètres!$A$1:$I$89,3,0)*0.475*44/12</f>
        <v>2.5496865437348916E-15</v>
      </c>
      <c r="ED135" s="22">
        <f t="shared" si="126"/>
        <v>3.3484646482494695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-2.8421709430404007E-13</v>
      </c>
      <c r="EK135" s="17">
        <f>EJ135*VLOOKUP('Données projet'!$B$15,Paramètres!$A$1:$I$89,3,0)*VLOOKUP('Données projet'!$B$15,Paramètres!$A$1:$I$89,5,0)</f>
        <v>-2.0838797354372215E-13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296.91321813251051</v>
      </c>
      <c r="EP135" s="59">
        <f t="shared" si="154"/>
        <v>291.0718079639509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1.7172778838738634</v>
      </c>
      <c r="EW135" s="21">
        <f>EXP(-LN(2)/25)*EW134+(1-EXP(-LN(2)/25))/(LN(2)/25)*Calculateur!ER135*Calculateur!ET135*VLOOKUP('Données projet'!$B$15,Paramètres!$A$1:$I$89,3,0)*0.475*44/12</f>
        <v>0.91425199782161959</v>
      </c>
      <c r="EX135" s="21">
        <f>EXP(-LN(2)/2)*EX134+(1-EXP(-LN(2)/2))/(LN(2)/2)*ER135*EU135*VLOOKUP('Données projet'!$B$15,Paramètres!$A$1:$I$89,3,0)*0.475*44/12</f>
        <v>4.841416057614399E-15</v>
      </c>
      <c r="EY135" s="22">
        <f t="shared" si="129"/>
        <v>2.6315298816954877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>
        <f>FE135*VLOOKUP('Données projet'!$B$16,Paramètres!$A$1:$I$89,3,0)*VLOOKUP('Données projet'!$B$16,Paramètres!$A$1:$I$89,5,0)</f>
        <v>0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356.65981389369125</v>
      </c>
      <c r="FK135" s="59">
        <f t="shared" si="156"/>
        <v>231.92898690465887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1.0864829197736698</v>
      </c>
      <c r="FR135" s="21">
        <f>EXP(-LN(2)/25)*FR134+(1-EXP(-LN(2)/25))/(LN(2)/25)*Calculateur!FM135*Calculateur!FO135*VLOOKUP('Données projet'!$B$16,Paramètres!$A$1:$I$89,3,0)*0.475*44/12</f>
        <v>0.62055448201207231</v>
      </c>
      <c r="FS135" s="21">
        <f>EXP(-LN(2)/2)*FS134+(1-EXP(-LN(2)/2))/(LN(2)/2)*FM135*FP135*VLOOKUP('Données projet'!$B$16,Paramètres!$A$1:$I$89,3,0)*0.475*44/12</f>
        <v>4.2476682577948358E-15</v>
      </c>
      <c r="FT135" s="22">
        <f t="shared" si="132"/>
        <v>1.7070374017857464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>
        <f>FZ135*VLOOKUP('Données projet'!$B$17,Paramètres!$A$1:$I$89,3,0)*VLOOKUP('Données projet'!$B$17,Paramètres!$A$1:$I$89,5,0)</f>
        <v>0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337.76140497227715</v>
      </c>
      <c r="GF135" s="59">
        <f t="shared" si="158"/>
        <v>219.76562717496353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1.0363375542456539</v>
      </c>
      <c r="GM135" s="21">
        <f>EXP(-LN(2)/25)*GM134+(1-EXP(-LN(2)/25))/(LN(2)/25)*Calculateur!GH135*Calculateur!GJ135*VLOOKUP('Données projet'!$B$17,Paramètres!$A$1:$I$89,3,0)*0.475*44/12</f>
        <v>0.59191350591920744</v>
      </c>
      <c r="GN135" s="21">
        <f>EXP(-LN(2)/2)*GN134+(1-EXP(-LN(2)/2))/(LN(2)/2)*GH135*GK135*VLOOKUP('Données projet'!$B$17,Paramètres!$A$1:$I$89,3,0)*0.475*44/12</f>
        <v>4.0516220305119981E-15</v>
      </c>
      <c r="GO135" s="21">
        <f t="shared" si="135"/>
        <v>1.6282510601648652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312.53389584272878</v>
      </c>
      <c r="T136" s="59">
        <f t="shared" si="142"/>
        <v>203.5274665601915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0.95046621291617062</v>
      </c>
      <c r="AA136" s="21">
        <f>EXP(-LN(2)/25)*AA135+(1-EXP(-LN(2)/25))/(LN(2)/25)*Calculateur!V136*Calculateur!X136*VLOOKUP('Données projet'!$B$9,Paramètres!$A$1:$I$89,3,0)*0.475*44/12</f>
        <v>0.53858388384521139</v>
      </c>
      <c r="AB136" s="21">
        <f>EXP(-LN(2)/2)*AB135+(1-EXP(-LN(2)/2))/(LN(2)/2)*V136*Y136*VLOOKUP('Données projet'!$B$9,Paramètres!$A$1:$I$89,3,0)*0.475*44/12</f>
        <v>2.6800952569295297E-15</v>
      </c>
      <c r="AC136" s="22">
        <f t="shared" si="111"/>
        <v>1.4890500967613847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5.6843418860808015E-14</v>
      </c>
      <c r="AJ136" s="13">
        <f>AI136*VLOOKUP('Données projet'!$B$10,Paramètres!$A$1:$I$89,3,0)*VLOOKUP('Données projet'!$B$10,Paramètres!$A$1:$I$89,5,0)</f>
        <v>4.9658410716801891E-14</v>
      </c>
      <c r="AK136" s="13">
        <f t="shared" si="143"/>
        <v>8.0934058173791862E-13</v>
      </c>
      <c r="AL136" s="20">
        <f t="shared" si="112"/>
        <v>1.4960899118586383E-12</v>
      </c>
      <c r="AM136" s="59">
        <f t="shared" si="113"/>
        <v>293.33333333333479</v>
      </c>
      <c r="AN136" s="59">
        <f ca="1">AVERAGE(OFFSET($AM$3,0,0,'Données projet'!$E$10+1,1))-AVERAGE(OFFSET($H$3,0,0,'Données projet'!$E$10+1,1))</f>
        <v>243.05628303465238</v>
      </c>
      <c r="AO136" s="59">
        <f t="shared" si="144"/>
        <v>352.47096767658394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1.0267268698844807</v>
      </c>
      <c r="AV136" s="21">
        <f>EXP(-LN(2)/25)*AV135+(1-EXP(-LN(2)/25))/(LN(2)/25)*Calculateur!AQ136*Calculateur!AS136*VLOOKUP('Données projet'!$B$10,Paramètres!$A$1:$I$89,3,0)*0.475*44/12</f>
        <v>1.0420019076998943</v>
      </c>
      <c r="AW136" s="21">
        <f>EXP(-LN(2)/2)*AW135+(1-EXP(-LN(2)/2))/(LN(2)/2)*AQ136*AT136*VLOOKUP('Données projet'!$B$10,Paramètres!$A$1:$I$89,3,0)*0.475*44/12</f>
        <v>3.5399832743381053E-15</v>
      </c>
      <c r="AX136" s="21">
        <f t="shared" si="114"/>
        <v>2.0687287775843783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-2.8421709430404007E-13</v>
      </c>
      <c r="BE136" s="13">
        <f>BD136*VLOOKUP('Données projet'!$B$11,Paramètres!$A$1:$I$89,3,0)*VLOOKUP('Données projet'!$B$11,Paramètres!$A$1:$I$89,5,0)</f>
        <v>-2.2612312022829427E-13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325.72928944930294</v>
      </c>
      <c r="BJ136" s="59">
        <f t="shared" si="146"/>
        <v>318.38876834819752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2.2517462700422595</v>
      </c>
      <c r="BQ136" s="21">
        <f>EXP(-LN(2)/25)*BQ135+(1-EXP(-LN(2)/25))/(LN(2)/25)*Calculateur!BL136*Calculateur!BN136*VLOOKUP('Données projet'!$B$11,Paramètres!$A$1:$I$89,3,0)*0.475*44/12</f>
        <v>1.189335686846142</v>
      </c>
      <c r="BR136" s="21">
        <f>EXP(-LN(2)/2)*BR135+(1-EXP(-LN(2)/2))/(LN(2)/2)*BL136*BO136*VLOOKUP('Données projet'!$B$11,Paramètres!$A$1:$I$89,3,0)*0.475*44/12</f>
        <v>3.7147511567896442E-15</v>
      </c>
      <c r="BS136" s="22">
        <f t="shared" si="117"/>
        <v>3.441081956888405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-3.4106051316484809E-13</v>
      </c>
      <c r="BZ136" s="13">
        <f>BY136*VLOOKUP('Données projet'!$B$12,Paramètres!$A$1:$I$89,3,0)*VLOOKUP('Données projet'!$B$12,Paramètres!$A$1:$I$89,5,0)</f>
        <v>-1.9065282685915009E-13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475.54809021014017</v>
      </c>
      <c r="CE136" s="59">
        <f t="shared" si="148"/>
        <v>593.51433014569966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0.95474432579399204</v>
      </c>
      <c r="CL136" s="21">
        <f>EXP(-LN(2)/25)*CL135+(1-EXP(-LN(2)/25))/(LN(2)/25)*Calculateur!CG136*Calculateur!CI136*VLOOKUP('Données projet'!$B$12,Paramètres!$A$1:$I$89,3,0)*0.475*44/12</f>
        <v>2.4507026192608343</v>
      </c>
      <c r="CM136" s="21">
        <f>EXP(-LN(2)/2)*CM135+(1-EXP(-LN(2)/2))/(LN(2)/2)*CG136*CJ136*VLOOKUP('Données projet'!$B$12,Paramètres!$A$1:$I$89,3,0)*0.475*44/12</f>
        <v>4.5275053512071498E-15</v>
      </c>
      <c r="CN136" s="22">
        <f t="shared" si="120"/>
        <v>3.4054469450548308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-1.1368683772161603E-13</v>
      </c>
      <c r="CU136" s="17">
        <f>CT136*VLOOKUP('Données projet'!$B$13,Paramètres!$A$1:$I$89,3,0)*VLOOKUP('Données projet'!$B$13,Paramètres!$A$1:$I$89,5,0)</f>
        <v>-5.3205440053716299E-14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226.0452828290525</v>
      </c>
      <c r="CZ136" s="59">
        <f t="shared" si="150"/>
        <v>179.89696397462069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1.1803592607903028</v>
      </c>
      <c r="DG136" s="21">
        <f>EXP(-LN(2)/25)*DG135+(1-EXP(-LN(2)/25))/(LN(2)/25)*Calculateur!DB136*Calculateur!DD136*VLOOKUP('Données projet'!$B$13,Paramètres!$A$1:$I$89,3,0)*0.475*44/12</f>
        <v>0.64133169697259917</v>
      </c>
      <c r="DH136" s="21">
        <f>EXP(-LN(2)/2)*DH135+(1-EXP(-LN(2)/2))/(LN(2)/2)*DB136*DE136*VLOOKUP('Données projet'!$B$13,Paramètres!$A$1:$I$89,3,0)*0.475*44/12</f>
        <v>3.4677466007177394E-15</v>
      </c>
      <c r="DI136" s="22">
        <f t="shared" si="123"/>
        <v>1.8216909577629057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1.1368683772161603E-13</v>
      </c>
      <c r="DP136" s="17">
        <f>DO136*VLOOKUP('Données projet'!$B$14,Paramètres!$A$1:$I$89,3,0)*VLOOKUP('Données projet'!$B$14,Paramètres!$A$1:$I$89,5,0)</f>
        <v>6.7984728957526396E-14</v>
      </c>
      <c r="DQ136" s="13">
        <f t="shared" si="151"/>
        <v>1.0682447123141398E-12</v>
      </c>
      <c r="DR136" s="20">
        <f t="shared" si="124"/>
        <v>1.978932943548152E-12</v>
      </c>
      <c r="DS136" s="59">
        <f t="shared" si="125"/>
        <v>293.3333333333353</v>
      </c>
      <c r="DT136" s="59">
        <f ca="1">AVERAGE(OFFSET($DS$3,0,0,'Données projet'!$E$14+1,1))-AVERAGE(OFFSET($H$3,0,0,'Données projet'!$E$14+1,1))</f>
        <v>252.81045065813976</v>
      </c>
      <c r="DU136" s="59">
        <f t="shared" si="152"/>
        <v>254.36590349790589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2.3479921619618098</v>
      </c>
      <c r="EB136" s="21">
        <f>EXP(-LN(2)/25)*EB135+(1-EXP(-LN(2)/25))/(LN(2)/25)*Calculateur!DW136*Calculateur!DY136*VLOOKUP('Données projet'!$B$14,Paramètres!$A$1:$I$89,3,0)*0.475*44/12</f>
        <v>0.92743511410729851</v>
      </c>
      <c r="EC136" s="21">
        <f>EXP(-LN(2)/2)*EC135+(1-EXP(-LN(2)/2))/(LN(2)/2)*DW136*DZ136*VLOOKUP('Données projet'!$B$14,Paramètres!$A$1:$I$89,3,0)*0.475*44/12</f>
        <v>1.8029006449750326E-15</v>
      </c>
      <c r="ED136" s="22">
        <f t="shared" si="126"/>
        <v>3.2754272760691103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-2.8421709430404007E-13</v>
      </c>
      <c r="EK136" s="17">
        <f>EJ136*VLOOKUP('Données projet'!$B$15,Paramètres!$A$1:$I$89,3,0)*VLOOKUP('Données projet'!$B$15,Paramètres!$A$1:$I$89,5,0)</f>
        <v>-2.0838797354372215E-13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296.91321813251051</v>
      </c>
      <c r="EP136" s="59">
        <f t="shared" si="154"/>
        <v>291.0718079639509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1.6836031120071804</v>
      </c>
      <c r="EW136" s="21">
        <f>EXP(-LN(2)/25)*EW135+(1-EXP(-LN(2)/25))/(LN(2)/25)*Calculateur!ER136*Calculateur!ET136*VLOOKUP('Données projet'!$B$15,Paramètres!$A$1:$I$89,3,0)*0.475*44/12</f>
        <v>0.88925172886276438</v>
      </c>
      <c r="EX136" s="21">
        <f>EXP(-LN(2)/2)*EX135+(1-EXP(-LN(2)/2))/(LN(2)/2)*ER136*EU136*VLOOKUP('Données projet'!$B$15,Paramètres!$A$1:$I$89,3,0)*0.475*44/12</f>
        <v>3.4233981248845825E-15</v>
      </c>
      <c r="EY136" s="22">
        <f t="shared" si="129"/>
        <v>2.5728548408699483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>
        <f>FE136*VLOOKUP('Données projet'!$B$16,Paramètres!$A$1:$I$89,3,0)*VLOOKUP('Données projet'!$B$16,Paramètres!$A$1:$I$89,5,0)</f>
        <v>0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356.65981389369125</v>
      </c>
      <c r="FK136" s="59">
        <f t="shared" si="156"/>
        <v>231.92898690465887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1.0651776524060541</v>
      </c>
      <c r="FR136" s="21">
        <f>EXP(-LN(2)/25)*FR135+(1-EXP(-LN(2)/25))/(LN(2)/25)*Calculateur!FM136*Calculateur!FO136*VLOOKUP('Données projet'!$B$16,Paramètres!$A$1:$I$89,3,0)*0.475*44/12</f>
        <v>0.60358538706791032</v>
      </c>
      <c r="FS136" s="21">
        <f>EXP(-LN(2)/2)*FS135+(1-EXP(-LN(2)/2))/(LN(2)/2)*FM136*FP136*VLOOKUP('Données projet'!$B$16,Paramètres!$A$1:$I$89,3,0)*0.475*44/12</f>
        <v>3.0035550293175765E-15</v>
      </c>
      <c r="FT136" s="22">
        <f t="shared" si="132"/>
        <v>1.6687630394739674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>
        <f>FZ136*VLOOKUP('Données projet'!$B$17,Paramètres!$A$1:$I$89,3,0)*VLOOKUP('Données projet'!$B$17,Paramètres!$A$1:$I$89,5,0)</f>
        <v>0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337.76140497227715</v>
      </c>
      <c r="GF136" s="59">
        <f t="shared" si="158"/>
        <v>219.76562717496353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1.0160156069103896</v>
      </c>
      <c r="GM136" s="21">
        <f>EXP(-LN(2)/25)*GM135+(1-EXP(-LN(2)/25))/(LN(2)/25)*Calculateur!GH136*Calculateur!GJ136*VLOOKUP('Données projet'!$B$17,Paramètres!$A$1:$I$89,3,0)*0.475*44/12</f>
        <v>0.57572759997246825</v>
      </c>
      <c r="GN136" s="21">
        <f>EXP(-LN(2)/2)*GN135+(1-EXP(-LN(2)/2))/(LN(2)/2)*GH136*GK136*VLOOKUP('Données projet'!$B$17,Paramètres!$A$1:$I$89,3,0)*0.475*44/12</f>
        <v>2.8649294125798429E-15</v>
      </c>
      <c r="GO136" s="21">
        <f t="shared" si="135"/>
        <v>1.5917432068828608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312.53389584272878</v>
      </c>
      <c r="T137" s="59">
        <f t="shared" si="142"/>
        <v>203.5274665601915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0.93182815020803111</v>
      </c>
      <c r="AA137" s="21">
        <f>EXP(-LN(2)/25)*AA136+(1-EXP(-LN(2)/25))/(LN(2)/25)*Calculateur!V137*Calculateur!X137*VLOOKUP('Données projet'!$B$9,Paramètres!$A$1:$I$89,3,0)*0.475*44/12</f>
        <v>0.52385627921856859</v>
      </c>
      <c r="AB137" s="21">
        <f>EXP(-LN(2)/2)*AB136+(1-EXP(-LN(2)/2))/(LN(2)/2)*V137*Y137*VLOOKUP('Données projet'!$B$9,Paramètres!$A$1:$I$89,3,0)*0.475*44/12</f>
        <v>1.8951135304007728E-15</v>
      </c>
      <c r="AC137" s="22">
        <f t="shared" si="111"/>
        <v>1.4556844294266018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5.6843418860808015E-14</v>
      </c>
      <c r="AJ137" s="13">
        <f>AI137*VLOOKUP('Données projet'!$B$10,Paramètres!$A$1:$I$89,3,0)*VLOOKUP('Données projet'!$B$10,Paramètres!$A$1:$I$89,5,0)</f>
        <v>4.9658410716801891E-14</v>
      </c>
      <c r="AK137" s="13">
        <f t="shared" si="143"/>
        <v>8.0934058173791862E-13</v>
      </c>
      <c r="AL137" s="20">
        <f t="shared" si="112"/>
        <v>1.4960899118586383E-12</v>
      </c>
      <c r="AM137" s="59">
        <f t="shared" si="113"/>
        <v>293.33333333333479</v>
      </c>
      <c r="AN137" s="59">
        <f ca="1">AVERAGE(OFFSET($AM$3,0,0,'Données projet'!$E$10+1,1))-AVERAGE(OFFSET($H$3,0,0,'Données projet'!$E$10+1,1))</f>
        <v>243.05628303465238</v>
      </c>
      <c r="AO137" s="59">
        <f t="shared" si="144"/>
        <v>352.47096767658394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1.0065933822076005</v>
      </c>
      <c r="AV137" s="21">
        <f>EXP(-LN(2)/25)*AV136+(1-EXP(-LN(2)/25))/(LN(2)/25)*Calculateur!AQ137*Calculateur!AS137*VLOOKUP('Données projet'!$B$10,Paramètres!$A$1:$I$89,3,0)*0.475*44/12</f>
        <v>1.0135083107373419</v>
      </c>
      <c r="AW137" s="21">
        <f>EXP(-LN(2)/2)*AW136+(1-EXP(-LN(2)/2))/(LN(2)/2)*AQ137*AT137*VLOOKUP('Données projet'!$B$10,Paramètres!$A$1:$I$89,3,0)*0.475*44/12</f>
        <v>2.5031461785714328E-15</v>
      </c>
      <c r="AX137" s="21">
        <f t="shared" si="114"/>
        <v>2.0201016929449453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-2.8421709430404007E-13</v>
      </c>
      <c r="BE137" s="13">
        <f>BD137*VLOOKUP('Données projet'!$B$11,Paramètres!$A$1:$I$89,3,0)*VLOOKUP('Données projet'!$B$11,Paramètres!$A$1:$I$89,5,0)</f>
        <v>-2.2612312022829427E-13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325.72928944930294</v>
      </c>
      <c r="BJ137" s="59">
        <f t="shared" si="146"/>
        <v>318.38876834819752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2.2075908991163407</v>
      </c>
      <c r="BQ137" s="21">
        <f>EXP(-LN(2)/25)*BQ136+(1-EXP(-LN(2)/25))/(LN(2)/25)*Calculateur!BL137*Calculateur!BN137*VLOOKUP('Données projet'!$B$11,Paramètres!$A$1:$I$89,3,0)*0.475*44/12</f>
        <v>1.1568132399448887</v>
      </c>
      <c r="BR137" s="21">
        <f>EXP(-LN(2)/2)*BR136+(1-EXP(-LN(2)/2))/(LN(2)/2)*BL137*BO137*VLOOKUP('Données projet'!$B$11,Paramètres!$A$1:$I$89,3,0)*0.475*44/12</f>
        <v>2.6267257333865293E-15</v>
      </c>
      <c r="BS137" s="22">
        <f t="shared" si="117"/>
        <v>3.3644041390612323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-3.4106051316484809E-13</v>
      </c>
      <c r="BZ137" s="13">
        <f>BY137*VLOOKUP('Données projet'!$B$12,Paramètres!$A$1:$I$89,3,0)*VLOOKUP('Données projet'!$B$12,Paramètres!$A$1:$I$89,5,0)</f>
        <v>-1.9065282685915009E-13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475.54809021014017</v>
      </c>
      <c r="CE137" s="59">
        <f t="shared" si="148"/>
        <v>593.51433014569966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0.93602237190170967</v>
      </c>
      <c r="CL137" s="21">
        <f>EXP(-LN(2)/25)*CL136+(1-EXP(-LN(2)/25))/(LN(2)/25)*Calculateur!CG137*Calculateur!CI137*VLOOKUP('Données projet'!$B$12,Paramètres!$A$1:$I$89,3,0)*0.475*44/12</f>
        <v>2.3836880272602974</v>
      </c>
      <c r="CM137" s="21">
        <f>EXP(-LN(2)/2)*CM136+(1-EXP(-LN(2)/2))/(LN(2)/2)*CG137*CJ137*VLOOKUP('Données projet'!$B$12,Paramètres!$A$1:$I$89,3,0)*0.475*44/12</f>
        <v>3.2014297356969571E-15</v>
      </c>
      <c r="CN137" s="22">
        <f t="shared" si="120"/>
        <v>3.3197103991620103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-1.1368683772161603E-13</v>
      </c>
      <c r="CU137" s="17">
        <f>CT137*VLOOKUP('Données projet'!$B$13,Paramètres!$A$1:$I$89,3,0)*VLOOKUP('Données projet'!$B$13,Paramètres!$A$1:$I$89,5,0)</f>
        <v>-5.3205440053716299E-14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226.0452828290525</v>
      </c>
      <c r="CZ137" s="59">
        <f t="shared" si="150"/>
        <v>179.89696397462069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1.1572131356342652</v>
      </c>
      <c r="DG137" s="21">
        <f>EXP(-LN(2)/25)*DG136+(1-EXP(-LN(2)/25))/(LN(2)/25)*Calculateur!DB137*Calculateur!DD137*VLOOKUP('Données projet'!$B$13,Paramètres!$A$1:$I$89,3,0)*0.475*44/12</f>
        <v>0.62379444799271533</v>
      </c>
      <c r="DH137" s="21">
        <f>EXP(-LN(2)/2)*DH136+(1-EXP(-LN(2)/2))/(LN(2)/2)*DB137*DE137*VLOOKUP('Données projet'!$B$13,Paramètres!$A$1:$I$89,3,0)*0.475*44/12</f>
        <v>2.4520671368041128E-15</v>
      </c>
      <c r="DI137" s="22">
        <f t="shared" si="123"/>
        <v>1.781007583626983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1.1368683772161603E-13</v>
      </c>
      <c r="DP137" s="17">
        <f>DO137*VLOOKUP('Données projet'!$B$14,Paramètres!$A$1:$I$89,3,0)*VLOOKUP('Données projet'!$B$14,Paramètres!$A$1:$I$89,5,0)</f>
        <v>6.7984728957526396E-14</v>
      </c>
      <c r="DQ137" s="13">
        <f t="shared" si="151"/>
        <v>1.0682447123141398E-12</v>
      </c>
      <c r="DR137" s="20">
        <f t="shared" si="124"/>
        <v>1.978932943548152E-12</v>
      </c>
      <c r="DS137" s="59">
        <f t="shared" si="125"/>
        <v>293.3333333333353</v>
      </c>
      <c r="DT137" s="59">
        <f ca="1">AVERAGE(OFFSET($DS$3,0,0,'Données projet'!$E$14+1,1))-AVERAGE(OFFSET($H$3,0,0,'Données projet'!$E$14+1,1))</f>
        <v>252.81045065813976</v>
      </c>
      <c r="DU137" s="59">
        <f t="shared" si="152"/>
        <v>254.36590349790589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2.3019494677995462</v>
      </c>
      <c r="EB137" s="21">
        <f>EXP(-LN(2)/25)*EB136+(1-EXP(-LN(2)/25))/(LN(2)/25)*Calculateur!DW137*Calculateur!DY137*VLOOKUP('Données projet'!$B$14,Paramètres!$A$1:$I$89,3,0)*0.475*44/12</f>
        <v>0.90207435214034148</v>
      </c>
      <c r="EC137" s="21">
        <f>EXP(-LN(2)/2)*EC136+(1-EXP(-LN(2)/2))/(LN(2)/2)*DW137*DZ137*VLOOKUP('Données projet'!$B$14,Paramètres!$A$1:$I$89,3,0)*0.475*44/12</f>
        <v>1.2748432718674458E-15</v>
      </c>
      <c r="ED137" s="22">
        <f t="shared" si="126"/>
        <v>3.2040238199398892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-2.8421709430404007E-13</v>
      </c>
      <c r="EK137" s="17">
        <f>EJ137*VLOOKUP('Données projet'!$B$15,Paramètres!$A$1:$I$89,3,0)*VLOOKUP('Données projet'!$B$15,Paramètres!$A$1:$I$89,5,0)</f>
        <v>-2.0838797354372215E-13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296.91321813251051</v>
      </c>
      <c r="EP137" s="59">
        <f t="shared" si="154"/>
        <v>291.0718079639509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1.6505886818772202</v>
      </c>
      <c r="EW137" s="21">
        <f>EXP(-LN(2)/25)*EW136+(1-EXP(-LN(2)/25))/(LN(2)/25)*Calculateur!ER137*Calculateur!ET137*VLOOKUP('Données projet'!$B$15,Paramètres!$A$1:$I$89,3,0)*0.475*44/12</f>
        <v>0.86493509357329612</v>
      </c>
      <c r="EX137" s="21">
        <f>EXP(-LN(2)/2)*EX136+(1-EXP(-LN(2)/2))/(LN(2)/2)*ER137*EU137*VLOOKUP('Données projet'!$B$15,Paramètres!$A$1:$I$89,3,0)*0.475*44/12</f>
        <v>2.4207080288071995E-15</v>
      </c>
      <c r="EY137" s="22">
        <f t="shared" si="129"/>
        <v>2.5155237754505184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>
        <f>FE137*VLOOKUP('Données projet'!$B$16,Paramètres!$A$1:$I$89,3,0)*VLOOKUP('Données projet'!$B$16,Paramètres!$A$1:$I$89,5,0)</f>
        <v>0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356.65981389369125</v>
      </c>
      <c r="FK137" s="59">
        <f t="shared" si="156"/>
        <v>231.92898690465887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1.0442901683365873</v>
      </c>
      <c r="FR137" s="21">
        <f>EXP(-LN(2)/25)*FR136+(1-EXP(-LN(2)/25))/(LN(2)/25)*Calculateur!FM137*Calculateur!FO137*VLOOKUP('Données projet'!$B$16,Paramètres!$A$1:$I$89,3,0)*0.475*44/12</f>
        <v>0.58708031291736229</v>
      </c>
      <c r="FS137" s="21">
        <f>EXP(-LN(2)/2)*FS136+(1-EXP(-LN(2)/2))/(LN(2)/2)*FM137*FP137*VLOOKUP('Données projet'!$B$16,Paramètres!$A$1:$I$89,3,0)*0.475*44/12</f>
        <v>2.1238341288974179E-15</v>
      </c>
      <c r="FT137" s="22">
        <f t="shared" si="132"/>
        <v>1.6313704812539518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>
        <f>FZ137*VLOOKUP('Données projet'!$B$17,Paramètres!$A$1:$I$89,3,0)*VLOOKUP('Données projet'!$B$17,Paramètres!$A$1:$I$89,5,0)</f>
        <v>0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337.76140497227715</v>
      </c>
      <c r="GF137" s="59">
        <f t="shared" si="158"/>
        <v>219.76562717496353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0.99609216056720595</v>
      </c>
      <c r="GM137" s="21">
        <f>EXP(-LN(2)/25)*GM136+(1-EXP(-LN(2)/25))/(LN(2)/25)*Calculateur!GH137*Calculateur!GJ137*VLOOKUP('Données projet'!$B$17,Paramètres!$A$1:$I$89,3,0)*0.475*44/12</f>
        <v>0.55998429847502251</v>
      </c>
      <c r="GN137" s="21">
        <f>EXP(-LN(2)/2)*GN136+(1-EXP(-LN(2)/2))/(LN(2)/2)*GH137*GK137*VLOOKUP('Données projet'!$B$17,Paramètres!$A$1:$I$89,3,0)*0.475*44/12</f>
        <v>2.0258110152559991E-15</v>
      </c>
      <c r="GO137" s="21">
        <f t="shared" si="135"/>
        <v>1.5560764590422305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312.53389584272878</v>
      </c>
      <c r="T138" s="59">
        <f t="shared" si="142"/>
        <v>203.5274665601915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0.91355556854150244</v>
      </c>
      <c r="AA138" s="21">
        <f>EXP(-LN(2)/25)*AA137+(1-EXP(-LN(2)/25))/(LN(2)/25)*Calculateur!V138*Calculateur!X138*VLOOKUP('Données projet'!$B$9,Paramètres!$A$1:$I$89,3,0)*0.475*44/12</f>
        <v>0.50953140171493239</v>
      </c>
      <c r="AB138" s="21">
        <f>EXP(-LN(2)/2)*AB137+(1-EXP(-LN(2)/2))/(LN(2)/2)*V138*Y138*VLOOKUP('Données projet'!$B$9,Paramètres!$A$1:$I$89,3,0)*0.475*44/12</f>
        <v>1.3400476284647648E-15</v>
      </c>
      <c r="AC138" s="22">
        <f t="shared" si="111"/>
        <v>1.4230869702564362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5.6843418860808015E-14</v>
      </c>
      <c r="AJ138" s="13">
        <f>AI138*VLOOKUP('Données projet'!$B$10,Paramètres!$A$1:$I$89,3,0)*VLOOKUP('Données projet'!$B$10,Paramètres!$A$1:$I$89,5,0)</f>
        <v>4.9658410716801891E-14</v>
      </c>
      <c r="AK138" s="13">
        <f t="shared" si="143"/>
        <v>8.0934058173791862E-13</v>
      </c>
      <c r="AL138" s="20">
        <f t="shared" si="112"/>
        <v>1.4960899118586383E-12</v>
      </c>
      <c r="AM138" s="59">
        <f t="shared" si="113"/>
        <v>293.33333333333479</v>
      </c>
      <c r="AN138" s="59">
        <f ca="1">AVERAGE(OFFSET($AM$3,0,0,'Données projet'!$E$10+1,1))-AVERAGE(OFFSET($H$3,0,0,'Données projet'!$E$10+1,1))</f>
        <v>243.05628303465238</v>
      </c>
      <c r="AO138" s="59">
        <f t="shared" si="144"/>
        <v>352.47096767658394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0.986854699943849</v>
      </c>
      <c r="AV138" s="21">
        <f>EXP(-LN(2)/25)*AV137+(1-EXP(-LN(2)/25))/(LN(2)/25)*Calculateur!AQ138*Calculateur!AS138*VLOOKUP('Données projet'!$B$10,Paramètres!$A$1:$I$89,3,0)*0.475*44/12</f>
        <v>0.98579387268214369</v>
      </c>
      <c r="AW138" s="21">
        <f>EXP(-LN(2)/2)*AW137+(1-EXP(-LN(2)/2))/(LN(2)/2)*AQ138*AT138*VLOOKUP('Données projet'!$B$10,Paramètres!$A$1:$I$89,3,0)*0.475*44/12</f>
        <v>1.7699916371690528E-15</v>
      </c>
      <c r="AX138" s="21">
        <f t="shared" si="114"/>
        <v>1.9726485726259946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-2.8421709430404007E-13</v>
      </c>
      <c r="BE138" s="13">
        <f>BD138*VLOOKUP('Données projet'!$B$11,Paramètres!$A$1:$I$89,3,0)*VLOOKUP('Données projet'!$B$11,Paramètres!$A$1:$I$89,5,0)</f>
        <v>-2.2612312022829427E-13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325.72928944930294</v>
      </c>
      <c r="BJ138" s="59">
        <f t="shared" si="146"/>
        <v>318.38876834819752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2.164301388082162</v>
      </c>
      <c r="BQ138" s="21">
        <f>EXP(-LN(2)/25)*BQ137+(1-EXP(-LN(2)/25))/(LN(2)/25)*Calculateur!BL138*Calculateur!BN138*VLOOKUP('Données projet'!$B$11,Paramètres!$A$1:$I$89,3,0)*0.475*44/12</f>
        <v>1.1251801210644314</v>
      </c>
      <c r="BR138" s="21">
        <f>EXP(-LN(2)/2)*BR137+(1-EXP(-LN(2)/2))/(LN(2)/2)*BL138*BO138*VLOOKUP('Données projet'!$B$11,Paramètres!$A$1:$I$89,3,0)*0.475*44/12</f>
        <v>1.8573755783948221E-15</v>
      </c>
      <c r="BS138" s="22">
        <f t="shared" si="117"/>
        <v>3.2894815091465954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-3.4106051316484809E-13</v>
      </c>
      <c r="BZ138" s="13">
        <f>BY138*VLOOKUP('Données projet'!$B$12,Paramètres!$A$1:$I$89,3,0)*VLOOKUP('Données projet'!$B$12,Paramètres!$A$1:$I$89,5,0)</f>
        <v>-1.9065282685915009E-13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475.54809021014017</v>
      </c>
      <c r="CE138" s="59">
        <f t="shared" si="148"/>
        <v>593.51433014569966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0.91766754410599061</v>
      </c>
      <c r="CL138" s="21">
        <f>EXP(-LN(2)/25)*CL137+(1-EXP(-LN(2)/25))/(LN(2)/25)*Calculateur!CG138*Calculateur!CI138*VLOOKUP('Données projet'!$B$12,Paramètres!$A$1:$I$89,3,0)*0.475*44/12</f>
        <v>2.318505952802159</v>
      </c>
      <c r="CM138" s="21">
        <f>EXP(-LN(2)/2)*CM137+(1-EXP(-LN(2)/2))/(LN(2)/2)*CG138*CJ138*VLOOKUP('Données projet'!$B$12,Paramètres!$A$1:$I$89,3,0)*0.475*44/12</f>
        <v>2.2637526756035749E-15</v>
      </c>
      <c r="CN138" s="22">
        <f t="shared" si="120"/>
        <v>3.2361734969081519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-1.1368683772161603E-13</v>
      </c>
      <c r="CU138" s="17">
        <f>CT138*VLOOKUP('Données projet'!$B$13,Paramètres!$A$1:$I$89,3,0)*VLOOKUP('Données projet'!$B$13,Paramètres!$A$1:$I$89,5,0)</f>
        <v>-5.3205440053716299E-14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226.0452828290525</v>
      </c>
      <c r="CZ138" s="59">
        <f t="shared" si="150"/>
        <v>179.89696397462069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1.1345208918747951</v>
      </c>
      <c r="DG138" s="21">
        <f>EXP(-LN(2)/25)*DG137+(1-EXP(-LN(2)/25))/(LN(2)/25)*Calculateur!DB138*Calculateur!DD138*VLOOKUP('Données projet'!$B$13,Paramètres!$A$1:$I$89,3,0)*0.475*44/12</f>
        <v>0.60673675600843024</v>
      </c>
      <c r="DH138" s="21">
        <f>EXP(-LN(2)/2)*DH137+(1-EXP(-LN(2)/2))/(LN(2)/2)*DB138*DE138*VLOOKUP('Données projet'!$B$13,Paramètres!$A$1:$I$89,3,0)*0.475*44/12</f>
        <v>1.7338733003588701E-15</v>
      </c>
      <c r="DI138" s="22">
        <f t="shared" si="123"/>
        <v>1.7412576478832271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1.1368683772161603E-13</v>
      </c>
      <c r="DP138" s="17">
        <f>DO138*VLOOKUP('Données projet'!$B$14,Paramètres!$A$1:$I$89,3,0)*VLOOKUP('Données projet'!$B$14,Paramètres!$A$1:$I$89,5,0)</f>
        <v>6.7984728957526396E-14</v>
      </c>
      <c r="DQ138" s="13">
        <f t="shared" si="151"/>
        <v>1.0682447123141398E-12</v>
      </c>
      <c r="DR138" s="20">
        <f t="shared" si="124"/>
        <v>1.978932943548152E-12</v>
      </c>
      <c r="DS138" s="59">
        <f t="shared" si="125"/>
        <v>293.3333333333353</v>
      </c>
      <c r="DT138" s="59">
        <f ca="1">AVERAGE(OFFSET($DS$3,0,0,'Données projet'!$E$14+1,1))-AVERAGE(OFFSET($H$3,0,0,'Données projet'!$E$14+1,1))</f>
        <v>252.81045065813976</v>
      </c>
      <c r="DU138" s="59">
        <f t="shared" si="152"/>
        <v>254.36590349790589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2.2568096427865338</v>
      </c>
      <c r="EB138" s="21">
        <f>EXP(-LN(2)/25)*EB137+(1-EXP(-LN(2)/25))/(LN(2)/25)*Calculateur!DW138*Calculateur!DY138*VLOOKUP('Données projet'!$B$14,Paramètres!$A$1:$I$89,3,0)*0.475*44/12</f>
        <v>0.87740708154303537</v>
      </c>
      <c r="EC138" s="21">
        <f>EXP(-LN(2)/2)*EC137+(1-EXP(-LN(2)/2))/(LN(2)/2)*DW138*DZ138*VLOOKUP('Données projet'!$B$14,Paramètres!$A$1:$I$89,3,0)*0.475*44/12</f>
        <v>9.014503224875163E-16</v>
      </c>
      <c r="ED138" s="22">
        <f t="shared" si="126"/>
        <v>3.13421672432957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-2.8421709430404007E-13</v>
      </c>
      <c r="EK138" s="17">
        <f>EJ138*VLOOKUP('Données projet'!$B$15,Paramètres!$A$1:$I$89,3,0)*VLOOKUP('Données projet'!$B$15,Paramètres!$A$1:$I$89,5,0)</f>
        <v>-2.0838797354372215E-13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296.91321813251051</v>
      </c>
      <c r="EP138" s="59">
        <f t="shared" si="154"/>
        <v>291.0718079639509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1.6182216445852946</v>
      </c>
      <c r="EW138" s="21">
        <f>EXP(-LN(2)/25)*EW137+(1-EXP(-LN(2)/25))/(LN(2)/25)*Calculateur!ER138*Calculateur!ET138*VLOOKUP('Données projet'!$B$15,Paramètres!$A$1:$I$89,3,0)*0.475*44/12</f>
        <v>0.84128339795457463</v>
      </c>
      <c r="EX138" s="21">
        <f>EXP(-LN(2)/2)*EX137+(1-EXP(-LN(2)/2))/(LN(2)/2)*ER138*EU138*VLOOKUP('Données projet'!$B$15,Paramètres!$A$1:$I$89,3,0)*0.475*44/12</f>
        <v>1.7116990624422912E-15</v>
      </c>
      <c r="EY138" s="22">
        <f t="shared" si="129"/>
        <v>2.4595050425398712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>
        <f>FE138*VLOOKUP('Données projet'!$B$16,Paramètres!$A$1:$I$89,3,0)*VLOOKUP('Données projet'!$B$16,Paramètres!$A$1:$I$89,5,0)</f>
        <v>0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356.65981389369125</v>
      </c>
      <c r="FK138" s="59">
        <f t="shared" si="156"/>
        <v>231.92898690465887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1.0238122750896155</v>
      </c>
      <c r="FR138" s="21">
        <f>EXP(-LN(2)/25)*FR137+(1-EXP(-LN(2)/25))/(LN(2)/25)*Calculateur!FM138*Calculateur!FO138*VLOOKUP('Données projet'!$B$16,Paramètres!$A$1:$I$89,3,0)*0.475*44/12</f>
        <v>0.57102657088742514</v>
      </c>
      <c r="FS138" s="21">
        <f>EXP(-LN(2)/2)*FS137+(1-EXP(-LN(2)/2))/(LN(2)/2)*FM138*FP138*VLOOKUP('Données projet'!$B$16,Paramètres!$A$1:$I$89,3,0)*0.475*44/12</f>
        <v>1.5017775146587882E-15</v>
      </c>
      <c r="FT138" s="22">
        <f t="shared" si="132"/>
        <v>1.5948388459770422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>
        <f>FZ138*VLOOKUP('Données projet'!$B$17,Paramètres!$A$1:$I$89,3,0)*VLOOKUP('Données projet'!$B$17,Paramètres!$A$1:$I$89,5,0)</f>
        <v>0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337.76140497227715</v>
      </c>
      <c r="GF138" s="59">
        <f t="shared" si="158"/>
        <v>219.76562717496353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0.97655940085470982</v>
      </c>
      <c r="GM138" s="21">
        <f>EXP(-LN(2)/25)*GM137+(1-EXP(-LN(2)/25))/(LN(2)/25)*Calculateur!GH138*Calculateur!GJ138*VLOOKUP('Données projet'!$B$17,Paramètres!$A$1:$I$89,3,0)*0.475*44/12</f>
        <v>0.54467149838492868</v>
      </c>
      <c r="GN138" s="21">
        <f>EXP(-LN(2)/2)*GN137+(1-EXP(-LN(2)/2))/(LN(2)/2)*GH138*GK138*VLOOKUP('Données projet'!$B$17,Paramètres!$A$1:$I$89,3,0)*0.475*44/12</f>
        <v>1.4324647062899214E-15</v>
      </c>
      <c r="GO138" s="21">
        <f t="shared" si="135"/>
        <v>1.5212308992396397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312.53389584272878</v>
      </c>
      <c r="T139" s="59">
        <f t="shared" si="142"/>
        <v>203.5274665601915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0.89564130105628004</v>
      </c>
      <c r="AA139" s="21">
        <f>EXP(-LN(2)/25)*AA138+(1-EXP(-LN(2)/25))/(LN(2)/25)*Calculateur!V139*Calculateur!X139*VLOOKUP('Données projet'!$B$9,Paramètres!$A$1:$I$89,3,0)*0.475*44/12</f>
        <v>0.49559823873994568</v>
      </c>
      <c r="AB139" s="21">
        <f>EXP(-LN(2)/2)*AB138+(1-EXP(-LN(2)/2))/(LN(2)/2)*V139*Y139*VLOOKUP('Données projet'!$B$9,Paramètres!$A$1:$I$89,3,0)*0.475*44/12</f>
        <v>9.475567652003864E-16</v>
      </c>
      <c r="AC139" s="22">
        <f t="shared" si="111"/>
        <v>1.3912395397962265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5.6843418860808015E-14</v>
      </c>
      <c r="AJ139" s="13">
        <f>AI139*VLOOKUP('Données projet'!$B$10,Paramètres!$A$1:$I$89,3,0)*VLOOKUP('Données projet'!$B$10,Paramètres!$A$1:$I$89,5,0)</f>
        <v>4.9658410716801891E-14</v>
      </c>
      <c r="AK139" s="13">
        <f t="shared" si="143"/>
        <v>8.0934058173791862E-13</v>
      </c>
      <c r="AL139" s="20">
        <f t="shared" si="112"/>
        <v>1.4960899118586383E-12</v>
      </c>
      <c r="AM139" s="59">
        <f t="shared" si="113"/>
        <v>293.33333333333479</v>
      </c>
      <c r="AN139" s="59">
        <f ca="1">AVERAGE(OFFSET($AM$3,0,0,'Données projet'!$E$10+1,1))-AVERAGE(OFFSET($H$3,0,0,'Données projet'!$E$10+1,1))</f>
        <v>243.05628303465238</v>
      </c>
      <c r="AO139" s="59">
        <f t="shared" si="144"/>
        <v>352.47096767658394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0.96750308119988226</v>
      </c>
      <c r="AV139" s="21">
        <f>EXP(-LN(2)/25)*AV138+(1-EXP(-LN(2)/25))/(LN(2)/25)*Calculateur!AQ139*Calculateur!AS139*VLOOKUP('Données projet'!$B$10,Paramètres!$A$1:$I$89,3,0)*0.475*44/12</f>
        <v>0.95883728739300378</v>
      </c>
      <c r="AW139" s="21">
        <f>EXP(-LN(2)/2)*AW138+(1-EXP(-LN(2)/2))/(LN(2)/2)*AQ139*AT139*VLOOKUP('Données projet'!$B$10,Paramètres!$A$1:$I$89,3,0)*0.475*44/12</f>
        <v>1.2515730892857166E-15</v>
      </c>
      <c r="AX139" s="21">
        <f t="shared" si="114"/>
        <v>1.9263403685928875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-2.8421709430404007E-13</v>
      </c>
      <c r="BE139" s="13">
        <f>BD139*VLOOKUP('Données projet'!$B$11,Paramètres!$A$1:$I$89,3,0)*VLOOKUP('Données projet'!$B$11,Paramètres!$A$1:$I$89,5,0)</f>
        <v>-2.2612312022829427E-13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325.72928944930294</v>
      </c>
      <c r="BJ139" s="59">
        <f t="shared" si="146"/>
        <v>318.38876834819752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2.121860757955369</v>
      </c>
      <c r="BQ139" s="21">
        <f>EXP(-LN(2)/25)*BQ138+(1-EXP(-LN(2)/25))/(LN(2)/25)*Calculateur!BL139*Calculateur!BN139*VLOOKUP('Données projet'!$B$11,Paramètres!$A$1:$I$89,3,0)*0.475*44/12</f>
        <v>1.0944120114832736</v>
      </c>
      <c r="BR139" s="21">
        <f>EXP(-LN(2)/2)*BR138+(1-EXP(-LN(2)/2))/(LN(2)/2)*BL139*BO139*VLOOKUP('Données projet'!$B$11,Paramètres!$A$1:$I$89,3,0)*0.475*44/12</f>
        <v>1.3133628666932647E-15</v>
      </c>
      <c r="BS139" s="22">
        <f t="shared" si="117"/>
        <v>3.2162727694386439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-3.4106051316484809E-13</v>
      </c>
      <c r="BZ139" s="13">
        <f>BY139*VLOOKUP('Données projet'!$B$12,Paramètres!$A$1:$I$89,3,0)*VLOOKUP('Données projet'!$B$12,Paramètres!$A$1:$I$89,5,0)</f>
        <v>-1.9065282685915009E-13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475.54809021014017</v>
      </c>
      <c r="CE139" s="59">
        <f t="shared" si="148"/>
        <v>593.51433014569966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0.89967264328800611</v>
      </c>
      <c r="CL139" s="21">
        <f>EXP(-LN(2)/25)*CL138+(1-EXP(-LN(2)/25))/(LN(2)/25)*Calculateur!CG139*Calculateur!CI139*VLOOKUP('Données projet'!$B$12,Paramètres!$A$1:$I$89,3,0)*0.475*44/12</f>
        <v>2.2551062855978548</v>
      </c>
      <c r="CM139" s="21">
        <f>EXP(-LN(2)/2)*CM138+(1-EXP(-LN(2)/2))/(LN(2)/2)*CG139*CJ139*VLOOKUP('Données projet'!$B$12,Paramètres!$A$1:$I$89,3,0)*0.475*44/12</f>
        <v>1.6007148678484786E-15</v>
      </c>
      <c r="CN139" s="22">
        <f t="shared" si="120"/>
        <v>3.1547789288858628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-1.1368683772161603E-13</v>
      </c>
      <c r="CU139" s="17">
        <f>CT139*VLOOKUP('Données projet'!$B$13,Paramètres!$A$1:$I$89,3,0)*VLOOKUP('Données projet'!$B$13,Paramètres!$A$1:$I$89,5,0)</f>
        <v>-5.3205440053716299E-14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226.0452828290525</v>
      </c>
      <c r="CZ139" s="59">
        <f t="shared" si="150"/>
        <v>179.89696397462069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1.1122736291745461</v>
      </c>
      <c r="DG139" s="21">
        <f>EXP(-LN(2)/25)*DG138+(1-EXP(-LN(2)/25))/(LN(2)/25)*Calculateur!DB139*Calculateur!DD139*VLOOKUP('Données projet'!$B$13,Paramètres!$A$1:$I$89,3,0)*0.475*44/12</f>
        <v>0.59014550750848038</v>
      </c>
      <c r="DH139" s="21">
        <f>EXP(-LN(2)/2)*DH138+(1-EXP(-LN(2)/2))/(LN(2)/2)*DB139*DE139*VLOOKUP('Données projet'!$B$13,Paramètres!$A$1:$I$89,3,0)*0.475*44/12</f>
        <v>1.2260335684020566E-15</v>
      </c>
      <c r="DI139" s="22">
        <f t="shared" si="123"/>
        <v>1.7024191366830279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1.1368683772161603E-13</v>
      </c>
      <c r="DP139" s="17">
        <f>DO139*VLOOKUP('Données projet'!$B$14,Paramètres!$A$1:$I$89,3,0)*VLOOKUP('Données projet'!$B$14,Paramètres!$A$1:$I$89,5,0)</f>
        <v>6.7984728957526396E-14</v>
      </c>
      <c r="DQ139" s="13">
        <f t="shared" si="151"/>
        <v>1.0682447123141398E-12</v>
      </c>
      <c r="DR139" s="20">
        <f t="shared" si="124"/>
        <v>1.978932943548152E-12</v>
      </c>
      <c r="DS139" s="59">
        <f t="shared" si="125"/>
        <v>293.3333333333353</v>
      </c>
      <c r="DT139" s="59">
        <f ca="1">AVERAGE(OFFSET($DS$3,0,0,'Données projet'!$E$14+1,1))-AVERAGE(OFFSET($H$3,0,0,'Données projet'!$E$14+1,1))</f>
        <v>252.81045065813976</v>
      </c>
      <c r="DU139" s="59">
        <f t="shared" si="152"/>
        <v>254.36590349790589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2.2125549822094523</v>
      </c>
      <c r="EB139" s="21">
        <f>EXP(-LN(2)/25)*EB138+(1-EXP(-LN(2)/25))/(LN(2)/25)*Calculateur!DW139*Calculateur!DY139*VLOOKUP('Données projet'!$B$14,Paramètres!$A$1:$I$89,3,0)*0.475*44/12</f>
        <v>0.85341433875740802</v>
      </c>
      <c r="EC139" s="21">
        <f>EXP(-LN(2)/2)*EC138+(1-EXP(-LN(2)/2))/(LN(2)/2)*DW139*DZ139*VLOOKUP('Données projet'!$B$14,Paramètres!$A$1:$I$89,3,0)*0.475*44/12</f>
        <v>6.374216359337229E-16</v>
      </c>
      <c r="ED139" s="22">
        <f t="shared" si="126"/>
        <v>3.0659693209668606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-2.8421709430404007E-13</v>
      </c>
      <c r="EK139" s="17">
        <f>EJ139*VLOOKUP('Données projet'!$B$15,Paramètres!$A$1:$I$89,3,0)*VLOOKUP('Données projet'!$B$15,Paramètres!$A$1:$I$89,5,0)</f>
        <v>-2.0838797354372215E-13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296.91321813251051</v>
      </c>
      <c r="EP139" s="59">
        <f t="shared" si="154"/>
        <v>291.0718079639509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1.5864893051527202</v>
      </c>
      <c r="EW139" s="21">
        <f>EXP(-LN(2)/25)*EW138+(1-EXP(-LN(2)/25))/(LN(2)/25)*Calculateur!ER139*Calculateur!ET139*VLOOKUP('Données projet'!$B$15,Paramètres!$A$1:$I$89,3,0)*0.475*44/12</f>
        <v>0.81827845919633568</v>
      </c>
      <c r="EX139" s="21">
        <f>EXP(-LN(2)/2)*EX138+(1-EXP(-LN(2)/2))/(LN(2)/2)*ER139*EU139*VLOOKUP('Données projet'!$B$15,Paramètres!$A$1:$I$89,3,0)*0.475*44/12</f>
        <v>1.2103540144035998E-15</v>
      </c>
      <c r="EY139" s="22">
        <f t="shared" si="129"/>
        <v>2.404767764349057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>
        <f>FE139*VLOOKUP('Données projet'!$B$16,Paramètres!$A$1:$I$89,3,0)*VLOOKUP('Données projet'!$B$16,Paramètres!$A$1:$I$89,5,0)</f>
        <v>0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356.65981389369125</v>
      </c>
      <c r="FK139" s="59">
        <f t="shared" si="156"/>
        <v>231.92898690465887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1.0037359408389352</v>
      </c>
      <c r="FR139" s="21">
        <f>EXP(-LN(2)/25)*FR138+(1-EXP(-LN(2)/25))/(LN(2)/25)*Calculateur!FM139*Calculateur!FO139*VLOOKUP('Données projet'!$B$16,Paramètres!$A$1:$I$89,3,0)*0.475*44/12</f>
        <v>0.55541181927752625</v>
      </c>
      <c r="FS139" s="21">
        <f>EXP(-LN(2)/2)*FS138+(1-EXP(-LN(2)/2))/(LN(2)/2)*FM139*FP139*VLOOKUP('Données projet'!$B$16,Paramètres!$A$1:$I$89,3,0)*0.475*44/12</f>
        <v>1.0619170644487089E-15</v>
      </c>
      <c r="FT139" s="22">
        <f t="shared" si="132"/>
        <v>1.5591477601164627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>
        <f>FZ139*VLOOKUP('Données projet'!$B$17,Paramètres!$A$1:$I$89,3,0)*VLOOKUP('Données projet'!$B$17,Paramètres!$A$1:$I$89,5,0)</f>
        <v>0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337.76140497227715</v>
      </c>
      <c r="GF139" s="59">
        <f t="shared" si="158"/>
        <v>219.76562717496353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0.95740966664636873</v>
      </c>
      <c r="GM139" s="21">
        <f>EXP(-LN(2)/25)*GM138+(1-EXP(-LN(2)/25))/(LN(2)/25)*Calculateur!GH139*Calculateur!GJ139*VLOOKUP('Données projet'!$B$17,Paramètres!$A$1:$I$89,3,0)*0.475*44/12</f>
        <v>0.52977742761856361</v>
      </c>
      <c r="GN139" s="21">
        <f>EXP(-LN(2)/2)*GN138+(1-EXP(-LN(2)/2))/(LN(2)/2)*GH139*GK139*VLOOKUP('Données projet'!$B$17,Paramètres!$A$1:$I$89,3,0)*0.475*44/12</f>
        <v>1.0129055076279995E-15</v>
      </c>
      <c r="GO139" s="21">
        <f t="shared" si="135"/>
        <v>1.4871870942649335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312.53389584272878</v>
      </c>
      <c r="T140" s="59">
        <f t="shared" si="142"/>
        <v>203.5274665601915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0.87807832142981868</v>
      </c>
      <c r="AA140" s="21">
        <f>EXP(-LN(2)/25)*AA139+(1-EXP(-LN(2)/25))/(LN(2)/25)*Calculateur!V140*Calculateur!X140*VLOOKUP('Données projet'!$B$9,Paramètres!$A$1:$I$89,3,0)*0.475*44/12</f>
        <v>0.48204607883922318</v>
      </c>
      <c r="AB140" s="21">
        <f>EXP(-LN(2)/2)*AB139+(1-EXP(-LN(2)/2))/(LN(2)/2)*V140*Y140*VLOOKUP('Données projet'!$B$9,Paramètres!$A$1:$I$89,3,0)*0.475*44/12</f>
        <v>6.7002381423238242E-16</v>
      </c>
      <c r="AC140" s="22">
        <f t="shared" si="111"/>
        <v>1.3601244002690425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5.6843418860808015E-14</v>
      </c>
      <c r="AJ140" s="13">
        <f>AI140*VLOOKUP('Données projet'!$B$10,Paramètres!$A$1:$I$89,3,0)*VLOOKUP('Données projet'!$B$10,Paramètres!$A$1:$I$89,5,0)</f>
        <v>4.9658410716801891E-14</v>
      </c>
      <c r="AK140" s="13">
        <f t="shared" si="143"/>
        <v>8.0934058173791862E-13</v>
      </c>
      <c r="AL140" s="20">
        <f t="shared" si="112"/>
        <v>1.4960899118586383E-12</v>
      </c>
      <c r="AM140" s="59">
        <f t="shared" si="113"/>
        <v>293.33333333333479</v>
      </c>
      <c r="AN140" s="59">
        <f ca="1">AVERAGE(OFFSET($AM$3,0,0,'Données projet'!$E$10+1,1))-AVERAGE(OFFSET($H$3,0,0,'Données projet'!$E$10+1,1))</f>
        <v>243.05628303465238</v>
      </c>
      <c r="AO140" s="59">
        <f t="shared" si="144"/>
        <v>352.47096767658394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0.94853093589616277</v>
      </c>
      <c r="AV140" s="21">
        <f>EXP(-LN(2)/25)*AV139+(1-EXP(-LN(2)/25))/(LN(2)/25)*Calculateur!AQ140*Calculateur!AS140*VLOOKUP('Données projet'!$B$10,Paramètres!$A$1:$I$89,3,0)*0.475*44/12</f>
        <v>0.93261783134618059</v>
      </c>
      <c r="AW140" s="21">
        <f>EXP(-LN(2)/2)*AW139+(1-EXP(-LN(2)/2))/(LN(2)/2)*AQ140*AT140*VLOOKUP('Données projet'!$B$10,Paramètres!$A$1:$I$89,3,0)*0.475*44/12</f>
        <v>8.8499581858452661E-16</v>
      </c>
      <c r="AX140" s="21">
        <f t="shared" si="114"/>
        <v>1.8811487672423444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-2.8421709430404007E-13</v>
      </c>
      <c r="BE140" s="13">
        <f>BD140*VLOOKUP('Données projet'!$B$11,Paramètres!$A$1:$I$89,3,0)*VLOOKUP('Données projet'!$B$11,Paramètres!$A$1:$I$89,5,0)</f>
        <v>-2.2612312022829427E-13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325.72928944930294</v>
      </c>
      <c r="BJ140" s="59">
        <f t="shared" si="146"/>
        <v>318.38876834819752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2.080252362699134</v>
      </c>
      <c r="BQ140" s="21">
        <f>EXP(-LN(2)/25)*BQ139+(1-EXP(-LN(2)/25))/(LN(2)/25)*Calculateur!BL140*Calculateur!BN140*VLOOKUP('Données projet'!$B$11,Paramètres!$A$1:$I$89,3,0)*0.475*44/12</f>
        <v>1.064485257476637</v>
      </c>
      <c r="BR140" s="21">
        <f>EXP(-LN(2)/2)*BR139+(1-EXP(-LN(2)/2))/(LN(2)/2)*BL140*BO140*VLOOKUP('Données projet'!$B$11,Paramètres!$A$1:$I$89,3,0)*0.475*44/12</f>
        <v>9.2868778919741105E-16</v>
      </c>
      <c r="BS140" s="22">
        <f t="shared" si="117"/>
        <v>3.1447376201757722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-3.4106051316484809E-13</v>
      </c>
      <c r="BZ140" s="13">
        <f>BY140*VLOOKUP('Données projet'!$B$12,Paramètres!$A$1:$I$89,3,0)*VLOOKUP('Données projet'!$B$12,Paramètres!$A$1:$I$89,5,0)</f>
        <v>-1.9065282685915009E-13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475.54809021014017</v>
      </c>
      <c r="CE140" s="59">
        <f t="shared" si="148"/>
        <v>593.51433014569966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0.88203061149925654</v>
      </c>
      <c r="CL140" s="21">
        <f>EXP(-LN(2)/25)*CL139+(1-EXP(-LN(2)/25))/(LN(2)/25)*Calculateur!CG140*Calculateur!CI140*VLOOKUP('Données projet'!$B$12,Paramètres!$A$1:$I$89,3,0)*0.475*44/12</f>
        <v>2.1934402856272959</v>
      </c>
      <c r="CM140" s="21">
        <f>EXP(-LN(2)/2)*CM139+(1-EXP(-LN(2)/2))/(LN(2)/2)*CG140*CJ140*VLOOKUP('Données projet'!$B$12,Paramètres!$A$1:$I$89,3,0)*0.475*44/12</f>
        <v>1.1318763378017874E-15</v>
      </c>
      <c r="CN140" s="22">
        <f t="shared" si="120"/>
        <v>3.0754708971265536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-1.1368683772161603E-13</v>
      </c>
      <c r="CU140" s="17">
        <f>CT140*VLOOKUP('Données projet'!$B$13,Paramètres!$A$1:$I$89,3,0)*VLOOKUP('Données projet'!$B$13,Paramètres!$A$1:$I$89,5,0)</f>
        <v>-5.3205440053716299E-14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226.0452828290525</v>
      </c>
      <c r="CZ140" s="59">
        <f t="shared" si="150"/>
        <v>179.89696397462069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1.0904626217263587</v>
      </c>
      <c r="DG140" s="21">
        <f>EXP(-LN(2)/25)*DG139+(1-EXP(-LN(2)/25))/(LN(2)/25)*Calculateur!DB140*Calculateur!DD140*VLOOKUP('Données projet'!$B$13,Paramètres!$A$1:$I$89,3,0)*0.475*44/12</f>
        <v>0.5740079475712575</v>
      </c>
      <c r="DH140" s="21">
        <f>EXP(-LN(2)/2)*DH139+(1-EXP(-LN(2)/2))/(LN(2)/2)*DB140*DE140*VLOOKUP('Données projet'!$B$13,Paramètres!$A$1:$I$89,3,0)*0.475*44/12</f>
        <v>8.6693665017943514E-16</v>
      </c>
      <c r="DI140" s="22">
        <f t="shared" si="123"/>
        <v>1.6644705692976172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1.1368683772161603E-13</v>
      </c>
      <c r="DP140" s="17">
        <f>DO140*VLOOKUP('Données projet'!$B$14,Paramètres!$A$1:$I$89,3,0)*VLOOKUP('Données projet'!$B$14,Paramètres!$A$1:$I$89,5,0)</f>
        <v>6.7984728957526396E-14</v>
      </c>
      <c r="DQ140" s="13">
        <f t="shared" si="151"/>
        <v>1.0682447123141398E-12</v>
      </c>
      <c r="DR140" s="20">
        <f t="shared" si="124"/>
        <v>1.978932943548152E-12</v>
      </c>
      <c r="DS140" s="59">
        <f t="shared" si="125"/>
        <v>293.3333333333353</v>
      </c>
      <c r="DT140" s="59">
        <f ca="1">AVERAGE(OFFSET($DS$3,0,0,'Données projet'!$E$14+1,1))-AVERAGE(OFFSET($H$3,0,0,'Données projet'!$E$14+1,1))</f>
        <v>252.81045065813976</v>
      </c>
      <c r="DU140" s="59">
        <f t="shared" si="152"/>
        <v>254.36590349790589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2.1691681285336095</v>
      </c>
      <c r="EB140" s="21">
        <f>EXP(-LN(2)/25)*EB139+(1-EXP(-LN(2)/25))/(LN(2)/25)*Calculateur!DW140*Calculateur!DY140*VLOOKUP('Données projet'!$B$14,Paramètres!$A$1:$I$89,3,0)*0.475*44/12</f>
        <v>0.83007767878497718</v>
      </c>
      <c r="EC140" s="21">
        <f>EXP(-LN(2)/2)*EC139+(1-EXP(-LN(2)/2))/(LN(2)/2)*DW140*DZ140*VLOOKUP('Données projet'!$B$14,Paramètres!$A$1:$I$89,3,0)*0.475*44/12</f>
        <v>4.5072516124375815E-16</v>
      </c>
      <c r="ED140" s="22">
        <f t="shared" si="126"/>
        <v>2.9992458073185873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-2.8421709430404007E-13</v>
      </c>
      <c r="EK140" s="17">
        <f>EJ140*VLOOKUP('Données projet'!$B$15,Paramètres!$A$1:$I$89,3,0)*VLOOKUP('Données projet'!$B$15,Paramètres!$A$1:$I$89,5,0)</f>
        <v>-2.0838797354372215E-13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296.91321813251051</v>
      </c>
      <c r="EP140" s="59">
        <f t="shared" si="154"/>
        <v>291.0718079639509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1.5553792175416028</v>
      </c>
      <c r="EW140" s="21">
        <f>EXP(-LN(2)/25)*EW139+(1-EXP(-LN(2)/25))/(LN(2)/25)*Calculateur!ER140*Calculateur!ET140*VLOOKUP('Données projet'!$B$15,Paramètres!$A$1:$I$89,3,0)*0.475*44/12</f>
        <v>0.79590259169821787</v>
      </c>
      <c r="EX140" s="21">
        <f>EXP(-LN(2)/2)*EX139+(1-EXP(-LN(2)/2))/(LN(2)/2)*ER140*EU140*VLOOKUP('Données projet'!$B$15,Paramètres!$A$1:$I$89,3,0)*0.475*44/12</f>
        <v>8.5584953122114562E-16</v>
      </c>
      <c r="EY140" s="22">
        <f t="shared" si="129"/>
        <v>2.3512818092398216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>
        <f>FE140*VLOOKUP('Données projet'!$B$16,Paramètres!$A$1:$I$89,3,0)*VLOOKUP('Données projet'!$B$16,Paramètres!$A$1:$I$89,5,0)</f>
        <v>0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356.65981389369125</v>
      </c>
      <c r="FK140" s="59">
        <f t="shared" si="156"/>
        <v>231.92898690465887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0.98405329125755614</v>
      </c>
      <c r="FR140" s="21">
        <f>EXP(-LN(2)/25)*FR139+(1-EXP(-LN(2)/25))/(LN(2)/25)*Calculateur!FM140*Calculateur!FO140*VLOOKUP('Données projet'!$B$16,Paramètres!$A$1:$I$89,3,0)*0.475*44/12</f>
        <v>0.54022405387154415</v>
      </c>
      <c r="FS140" s="21">
        <f>EXP(-LN(2)/2)*FS139+(1-EXP(-LN(2)/2))/(LN(2)/2)*FM140*FP140*VLOOKUP('Données projet'!$B$16,Paramètres!$A$1:$I$89,3,0)*0.475*44/12</f>
        <v>7.5088875732939412E-16</v>
      </c>
      <c r="FT140" s="22">
        <f t="shared" si="132"/>
        <v>1.524277345129101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>
        <f>FZ140*VLOOKUP('Données projet'!$B$17,Paramètres!$A$1:$I$89,3,0)*VLOOKUP('Données projet'!$B$17,Paramètres!$A$1:$I$89,5,0)</f>
        <v>0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337.76140497227715</v>
      </c>
      <c r="GF140" s="59">
        <f t="shared" si="158"/>
        <v>219.76562717496353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0.93863544704566859</v>
      </c>
      <c r="GM140" s="21">
        <f>EXP(-LN(2)/25)*GM139+(1-EXP(-LN(2)/25))/(LN(2)/25)*Calculateur!GH140*Calculateur!GJ140*VLOOKUP('Données projet'!$B$17,Paramètres!$A$1:$I$89,3,0)*0.475*44/12</f>
        <v>0.51529063600054992</v>
      </c>
      <c r="GN140" s="21">
        <f>EXP(-LN(2)/2)*GN139+(1-EXP(-LN(2)/2))/(LN(2)/2)*GH140*GK140*VLOOKUP('Données projet'!$B$17,Paramètres!$A$1:$I$89,3,0)*0.475*44/12</f>
        <v>7.1623235314496072E-16</v>
      </c>
      <c r="GO140" s="21">
        <f t="shared" si="135"/>
        <v>1.4539260830462191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312.53389584272878</v>
      </c>
      <c r="T141" s="59">
        <f t="shared" si="142"/>
        <v>203.5274665601915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0.86085974112147234</v>
      </c>
      <c r="AA141" s="21">
        <f>EXP(-LN(2)/25)*AA140+(1-EXP(-LN(2)/25))/(LN(2)/25)*Calculateur!V141*Calculateur!X141*VLOOKUP('Données projet'!$B$9,Paramètres!$A$1:$I$89,3,0)*0.475*44/12</f>
        <v>0.46886450346366304</v>
      </c>
      <c r="AB141" s="21">
        <f>EXP(-LN(2)/2)*AB140+(1-EXP(-LN(2)/2))/(LN(2)/2)*V141*Y141*VLOOKUP('Données projet'!$B$9,Paramètres!$A$1:$I$89,3,0)*0.475*44/12</f>
        <v>4.737783826001932E-16</v>
      </c>
      <c r="AC141" s="22">
        <f t="shared" si="111"/>
        <v>1.3297242445851358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5.6843418860808015E-14</v>
      </c>
      <c r="AJ141" s="13">
        <f>AI141*VLOOKUP('Données projet'!$B$10,Paramètres!$A$1:$I$89,3,0)*VLOOKUP('Données projet'!$B$10,Paramètres!$A$1:$I$89,5,0)</f>
        <v>4.9658410716801891E-14</v>
      </c>
      <c r="AK141" s="13">
        <f t="shared" si="143"/>
        <v>8.0934058173791862E-13</v>
      </c>
      <c r="AL141" s="20">
        <f t="shared" si="112"/>
        <v>1.4960899118586383E-12</v>
      </c>
      <c r="AM141" s="59">
        <f t="shared" si="113"/>
        <v>293.33333333333479</v>
      </c>
      <c r="AN141" s="59">
        <f ca="1">AVERAGE(OFFSET($AM$3,0,0,'Données projet'!$E$10+1,1))-AVERAGE(OFFSET($H$3,0,0,'Données projet'!$E$10+1,1))</f>
        <v>243.05628303465238</v>
      </c>
      <c r="AO141" s="59">
        <f t="shared" si="144"/>
        <v>352.47096767658394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0.92993082278998318</v>
      </c>
      <c r="AV141" s="21">
        <f>EXP(-LN(2)/25)*AV140+(1-EXP(-LN(2)/25))/(LN(2)/25)*Calculateur!AQ141*Calculateur!AS141*VLOOKUP('Données projet'!$B$10,Paramètres!$A$1:$I$89,3,0)*0.475*44/12</f>
        <v>0.90711534770377911</v>
      </c>
      <c r="AW141" s="21">
        <f>EXP(-LN(2)/2)*AW140+(1-EXP(-LN(2)/2))/(LN(2)/2)*AQ141*AT141*VLOOKUP('Données projet'!$B$10,Paramètres!$A$1:$I$89,3,0)*0.475*44/12</f>
        <v>6.257865446428584E-16</v>
      </c>
      <c r="AX141" s="21">
        <f t="shared" si="114"/>
        <v>1.8370461704937628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-2.8421709430404007E-13</v>
      </c>
      <c r="BE141" s="13">
        <f>BD141*VLOOKUP('Données projet'!$B$11,Paramètres!$A$1:$I$89,3,0)*VLOOKUP('Données projet'!$B$11,Paramètres!$A$1:$I$89,5,0)</f>
        <v>-2.2612312022829427E-13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325.72928944930294</v>
      </c>
      <c r="BJ141" s="59">
        <f t="shared" si="146"/>
        <v>318.38876834819752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2.039459882695259</v>
      </c>
      <c r="BQ141" s="21">
        <f>EXP(-LN(2)/25)*BQ140+(1-EXP(-LN(2)/25))/(LN(2)/25)*Calculateur!BL141*Calculateur!BN141*VLOOKUP('Données projet'!$B$11,Paramètres!$A$1:$I$89,3,0)*0.475*44/12</f>
        <v>1.0353768521320916</v>
      </c>
      <c r="BR141" s="21">
        <f>EXP(-LN(2)/2)*BR140+(1-EXP(-LN(2)/2))/(LN(2)/2)*BL141*BO141*VLOOKUP('Données projet'!$B$11,Paramètres!$A$1:$I$89,3,0)*0.475*44/12</f>
        <v>6.5668143334663234E-16</v>
      </c>
      <c r="BS141" s="22">
        <f t="shared" si="117"/>
        <v>3.0748367348273509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-3.4106051316484809E-13</v>
      </c>
      <c r="BZ141" s="13">
        <f>BY141*VLOOKUP('Données projet'!$B$12,Paramètres!$A$1:$I$89,3,0)*VLOOKUP('Données projet'!$B$12,Paramètres!$A$1:$I$89,5,0)</f>
        <v>-1.9065282685915009E-13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475.54809021014017</v>
      </c>
      <c r="CE141" s="59">
        <f t="shared" si="148"/>
        <v>593.51433014569966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0.86473452919330751</v>
      </c>
      <c r="CL141" s="21">
        <f>EXP(-LN(2)/25)*CL140+(1-EXP(-LN(2)/25))/(LN(2)/25)*Calculateur!CG141*Calculateur!CI141*VLOOKUP('Données projet'!$B$12,Paramètres!$A$1:$I$89,3,0)*0.475*44/12</f>
        <v>2.1334605456688061</v>
      </c>
      <c r="CM141" s="21">
        <f>EXP(-LN(2)/2)*CM140+(1-EXP(-LN(2)/2))/(LN(2)/2)*CG141*CJ141*VLOOKUP('Données projet'!$B$12,Paramètres!$A$1:$I$89,3,0)*0.475*44/12</f>
        <v>8.0035743392423928E-16</v>
      </c>
      <c r="CN141" s="22">
        <f t="shared" si="120"/>
        <v>2.9981950748621147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-1.1368683772161603E-13</v>
      </c>
      <c r="CU141" s="17">
        <f>CT141*VLOOKUP('Données projet'!$B$13,Paramètres!$A$1:$I$89,3,0)*VLOOKUP('Données projet'!$B$13,Paramètres!$A$1:$I$89,5,0)</f>
        <v>-5.3205440053716299E-14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226.0452828290525</v>
      </c>
      <c r="CZ141" s="59">
        <f t="shared" si="150"/>
        <v>179.89696397462069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1.0690793148308293</v>
      </c>
      <c r="DG141" s="21">
        <f>EXP(-LN(2)/25)*DG140+(1-EXP(-LN(2)/25))/(LN(2)/25)*Calculateur!DB141*Calculateur!DD141*VLOOKUP('Données projet'!$B$13,Paramètres!$A$1:$I$89,3,0)*0.475*44/12</f>
        <v>0.55831167005915538</v>
      </c>
      <c r="DH141" s="21">
        <f>EXP(-LN(2)/2)*DH140+(1-EXP(-LN(2)/2))/(LN(2)/2)*DB141*DE141*VLOOKUP('Données projet'!$B$13,Paramètres!$A$1:$I$89,3,0)*0.475*44/12</f>
        <v>6.130167842010284E-16</v>
      </c>
      <c r="DI141" s="22">
        <f t="shared" si="123"/>
        <v>1.6273909848899855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1.1368683772161603E-13</v>
      </c>
      <c r="DP141" s="17">
        <f>DO141*VLOOKUP('Données projet'!$B$14,Paramètres!$A$1:$I$89,3,0)*VLOOKUP('Données projet'!$B$14,Paramètres!$A$1:$I$89,5,0)</f>
        <v>6.7984728957526396E-14</v>
      </c>
      <c r="DQ141" s="13">
        <f t="shared" si="151"/>
        <v>1.0682447123141398E-12</v>
      </c>
      <c r="DR141" s="20">
        <f t="shared" si="124"/>
        <v>1.978932943548152E-12</v>
      </c>
      <c r="DS141" s="59">
        <f t="shared" si="125"/>
        <v>293.3333333333353</v>
      </c>
      <c r="DT141" s="59">
        <f ca="1">AVERAGE(OFFSET($DS$3,0,0,'Données projet'!$E$14+1,1))-AVERAGE(OFFSET($H$3,0,0,'Données projet'!$E$14+1,1))</f>
        <v>252.81045065813976</v>
      </c>
      <c r="DU141" s="59">
        <f t="shared" si="152"/>
        <v>254.36590349790589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2.1266320645949821</v>
      </c>
      <c r="EB141" s="21">
        <f>EXP(-LN(2)/25)*EB140+(1-EXP(-LN(2)/25))/(LN(2)/25)*Calculateur!DW141*Calculateur!DY141*VLOOKUP('Données projet'!$B$14,Paramètres!$A$1:$I$89,3,0)*0.475*44/12</f>
        <v>0.80737916100671403</v>
      </c>
      <c r="EC141" s="21">
        <f>EXP(-LN(2)/2)*EC140+(1-EXP(-LN(2)/2))/(LN(2)/2)*DW141*DZ141*VLOOKUP('Données projet'!$B$14,Paramètres!$A$1:$I$89,3,0)*0.475*44/12</f>
        <v>3.1871081796686145E-16</v>
      </c>
      <c r="ED141" s="22">
        <f t="shared" si="126"/>
        <v>2.9340112256016968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-2.8421709430404007E-13</v>
      </c>
      <c r="EK141" s="17">
        <f>EJ141*VLOOKUP('Données projet'!$B$15,Paramètres!$A$1:$I$89,3,0)*VLOOKUP('Données projet'!$B$15,Paramètres!$A$1:$I$89,5,0)</f>
        <v>-2.0838797354372215E-13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296.91321813251051</v>
      </c>
      <c r="EP141" s="59">
        <f t="shared" si="154"/>
        <v>291.0718079639509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1.5248791797732595</v>
      </c>
      <c r="EW141" s="21">
        <f>EXP(-LN(2)/25)*EW140+(1-EXP(-LN(2)/25))/(LN(2)/25)*Calculateur!ER141*Calculateur!ET141*VLOOKUP('Données projet'!$B$15,Paramètres!$A$1:$I$89,3,0)*0.475*44/12</f>
        <v>0.77413859347353187</v>
      </c>
      <c r="EX141" s="21">
        <f>EXP(-LN(2)/2)*EX140+(1-EXP(-LN(2)/2))/(LN(2)/2)*ER141*EU141*VLOOKUP('Données projet'!$B$15,Paramètres!$A$1:$I$89,3,0)*0.475*44/12</f>
        <v>6.0517700720179988E-16</v>
      </c>
      <c r="EY141" s="22">
        <f t="shared" si="129"/>
        <v>2.2990177732467916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>
        <f>FE141*VLOOKUP('Données projet'!$B$16,Paramètres!$A$1:$I$89,3,0)*VLOOKUP('Données projet'!$B$16,Paramètres!$A$1:$I$89,5,0)</f>
        <v>0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356.65981389369125</v>
      </c>
      <c r="FK141" s="59">
        <f t="shared" si="156"/>
        <v>231.92898690465887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0.964756606429237</v>
      </c>
      <c r="FR141" s="21">
        <f>EXP(-LN(2)/25)*FR140+(1-EXP(-LN(2)/25))/(LN(2)/25)*Calculateur!FM141*Calculateur!FO141*VLOOKUP('Données projet'!$B$16,Paramètres!$A$1:$I$89,3,0)*0.475*44/12</f>
        <v>0.52545159870927849</v>
      </c>
      <c r="FS141" s="21">
        <f>EXP(-LN(2)/2)*FS140+(1-EXP(-LN(2)/2))/(LN(2)/2)*FM141*FP141*VLOOKUP('Données projet'!$B$16,Paramètres!$A$1:$I$89,3,0)*0.475*44/12</f>
        <v>5.3095853222435447E-16</v>
      </c>
      <c r="FT141" s="22">
        <f t="shared" si="132"/>
        <v>1.4902082051385159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>
        <f>FZ141*VLOOKUP('Données projet'!$B$17,Paramètres!$A$1:$I$89,3,0)*VLOOKUP('Données projet'!$B$17,Paramètres!$A$1:$I$89,5,0)</f>
        <v>0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337.76140497227715</v>
      </c>
      <c r="GF141" s="59">
        <f t="shared" si="158"/>
        <v>219.76562717496353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0.92022937844019492</v>
      </c>
      <c r="GM141" s="21">
        <f>EXP(-LN(2)/25)*GM140+(1-EXP(-LN(2)/25))/(LN(2)/25)*Calculateur!GH141*Calculateur!GJ141*VLOOKUP('Données projet'!$B$17,Paramètres!$A$1:$I$89,3,0)*0.475*44/12</f>
        <v>0.50119998646115804</v>
      </c>
      <c r="GN141" s="21">
        <f>EXP(-LN(2)/2)*GN140+(1-EXP(-LN(2)/2))/(LN(2)/2)*GH141*GK141*VLOOKUP('Données projet'!$B$17,Paramètres!$A$1:$I$89,3,0)*0.475*44/12</f>
        <v>5.0645275381399977E-16</v>
      </c>
      <c r="GO141" s="21">
        <f t="shared" si="135"/>
        <v>1.4214293649013534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312.53389584272878</v>
      </c>
      <c r="T142" s="59">
        <f t="shared" si="142"/>
        <v>203.5274665601915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0.84397880667067571</v>
      </c>
      <c r="AA142" s="21">
        <f>EXP(-LN(2)/25)*AA141+(1-EXP(-LN(2)/25))/(LN(2)/25)*Calculateur!V142*Calculateur!X142*VLOOKUP('Données projet'!$B$9,Paramètres!$A$1:$I$89,3,0)*0.475*44/12</f>
        <v>0.45604337895993652</v>
      </c>
      <c r="AB142" s="21">
        <f>EXP(-LN(2)/2)*AB141+(1-EXP(-LN(2)/2))/(LN(2)/2)*V142*Y142*VLOOKUP('Données projet'!$B$9,Paramètres!$A$1:$I$89,3,0)*0.475*44/12</f>
        <v>3.3501190711619121E-16</v>
      </c>
      <c r="AC142" s="22">
        <f t="shared" si="111"/>
        <v>1.3000221856306127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5.6843418860808015E-14</v>
      </c>
      <c r="AJ142" s="13">
        <f>AI142*VLOOKUP('Données projet'!$B$10,Paramètres!$A$1:$I$89,3,0)*VLOOKUP('Données projet'!$B$10,Paramètres!$A$1:$I$89,5,0)</f>
        <v>4.9658410716801891E-14</v>
      </c>
      <c r="AK142" s="13">
        <f t="shared" si="143"/>
        <v>8.0934058173791862E-13</v>
      </c>
      <c r="AL142" s="20">
        <f t="shared" si="112"/>
        <v>1.4960899118586383E-12</v>
      </c>
      <c r="AM142" s="59">
        <f t="shared" si="113"/>
        <v>293.33333333333479</v>
      </c>
      <c r="AN142" s="59">
        <f ca="1">AVERAGE(OFFSET($AM$3,0,0,'Données projet'!$E$10+1,1))-AVERAGE(OFFSET($H$3,0,0,'Données projet'!$E$10+1,1))</f>
        <v>243.05628303465238</v>
      </c>
      <c r="AO142" s="59">
        <f t="shared" si="144"/>
        <v>352.47096767658394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0.91169544655686696</v>
      </c>
      <c r="AV142" s="21">
        <f>EXP(-LN(2)/25)*AV141+(1-EXP(-LN(2)/25))/(LN(2)/25)*Calculateur!AQ142*Calculateur!AS142*VLOOKUP('Données projet'!$B$10,Paramètres!$A$1:$I$89,3,0)*0.475*44/12</f>
        <v>0.88231023081769633</v>
      </c>
      <c r="AW142" s="21">
        <f>EXP(-LN(2)/2)*AW141+(1-EXP(-LN(2)/2))/(LN(2)/2)*AQ142*AT142*VLOOKUP('Données projet'!$B$10,Paramètres!$A$1:$I$89,3,0)*0.475*44/12</f>
        <v>4.4249790929226335E-16</v>
      </c>
      <c r="AX142" s="21">
        <f t="shared" si="114"/>
        <v>1.7940056773745638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-2.8421709430404007E-13</v>
      </c>
      <c r="BE142" s="13">
        <f>BD142*VLOOKUP('Données projet'!$B$11,Paramètres!$A$1:$I$89,3,0)*VLOOKUP('Données projet'!$B$11,Paramètres!$A$1:$I$89,5,0)</f>
        <v>-2.2612312022829427E-13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325.72928944930294</v>
      </c>
      <c r="BJ142" s="59">
        <f t="shared" si="146"/>
        <v>318.38876834819752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1.9994673183433038</v>
      </c>
      <c r="BQ142" s="21">
        <f>EXP(-LN(2)/25)*BQ141+(1-EXP(-LN(2)/25))/(LN(2)/25)*Calculateur!BL142*Calculateur!BN142*VLOOKUP('Données projet'!$B$11,Paramètres!$A$1:$I$89,3,0)*0.475*44/12</f>
        <v>1.0070644176624373</v>
      </c>
      <c r="BR142" s="21">
        <f>EXP(-LN(2)/2)*BR141+(1-EXP(-LN(2)/2))/(LN(2)/2)*BL142*BO142*VLOOKUP('Données projet'!$B$11,Paramètres!$A$1:$I$89,3,0)*0.475*44/12</f>
        <v>4.6434389459870553E-16</v>
      </c>
      <c r="BS142" s="22">
        <f t="shared" si="117"/>
        <v>3.0065317360057415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-3.4106051316484809E-13</v>
      </c>
      <c r="BZ142" s="13">
        <f>BY142*VLOOKUP('Données projet'!$B$12,Paramètres!$A$1:$I$89,3,0)*VLOOKUP('Données projet'!$B$12,Paramètres!$A$1:$I$89,5,0)</f>
        <v>-1.9065282685915009E-13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475.54809021014017</v>
      </c>
      <c r="CE142" s="59">
        <f t="shared" si="148"/>
        <v>593.51433014569966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0.84777761251180961</v>
      </c>
      <c r="CL142" s="21">
        <f>EXP(-LN(2)/25)*CL141+(1-EXP(-LN(2)/25))/(LN(2)/25)*Calculateur!CG142*Calculateur!CI142*VLOOKUP('Données projet'!$B$12,Paramètres!$A$1:$I$89,3,0)*0.475*44/12</f>
        <v>2.0751209548536784</v>
      </c>
      <c r="CM142" s="21">
        <f>EXP(-LN(2)/2)*CM141+(1-EXP(-LN(2)/2))/(LN(2)/2)*CG142*CJ142*VLOOKUP('Données projet'!$B$12,Paramètres!$A$1:$I$89,3,0)*0.475*44/12</f>
        <v>5.6593816890089372E-16</v>
      </c>
      <c r="CN142" s="22">
        <f t="shared" si="120"/>
        <v>2.9228985673654884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-1.1368683772161603E-13</v>
      </c>
      <c r="CU142" s="17">
        <f>CT142*VLOOKUP('Données projet'!$B$13,Paramètres!$A$1:$I$89,3,0)*VLOOKUP('Données projet'!$B$13,Paramètres!$A$1:$I$89,5,0)</f>
        <v>-5.3205440053716299E-14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226.0452828290525</v>
      </c>
      <c r="CZ142" s="59">
        <f t="shared" si="150"/>
        <v>179.89696397462069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1.0481153215409917</v>
      </c>
      <c r="DG142" s="21">
        <f>EXP(-LN(2)/25)*DG141+(1-EXP(-LN(2)/25))/(LN(2)/25)*Calculateur!DB142*Calculateur!DD142*VLOOKUP('Données projet'!$B$13,Paramètres!$A$1:$I$89,3,0)*0.475*44/12</f>
        <v>0.54304460808105304</v>
      </c>
      <c r="DH142" s="21">
        <f>EXP(-LN(2)/2)*DH141+(1-EXP(-LN(2)/2))/(LN(2)/2)*DB142*DE142*VLOOKUP('Données projet'!$B$13,Paramètres!$A$1:$I$89,3,0)*0.475*44/12</f>
        <v>4.3346832508971762E-16</v>
      </c>
      <c r="DI142" s="22">
        <f t="shared" si="123"/>
        <v>1.5911599296220453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1.1368683772161603E-13</v>
      </c>
      <c r="DP142" s="17">
        <f>DO142*VLOOKUP('Données projet'!$B$14,Paramètres!$A$1:$I$89,3,0)*VLOOKUP('Données projet'!$B$14,Paramètres!$A$1:$I$89,5,0)</f>
        <v>6.7984728957526396E-14</v>
      </c>
      <c r="DQ142" s="13">
        <f t="shared" si="151"/>
        <v>1.0682447123141398E-12</v>
      </c>
      <c r="DR142" s="20">
        <f t="shared" si="124"/>
        <v>1.978932943548152E-12</v>
      </c>
      <c r="DS142" s="59">
        <f t="shared" si="125"/>
        <v>293.3333333333353</v>
      </c>
      <c r="DT142" s="59">
        <f ca="1">AVERAGE(OFFSET($DS$3,0,0,'Données projet'!$E$14+1,1))-AVERAGE(OFFSET($H$3,0,0,'Données projet'!$E$14+1,1))</f>
        <v>252.81045065813976</v>
      </c>
      <c r="DU142" s="59">
        <f t="shared" si="152"/>
        <v>254.36590349790589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2.084930106925754</v>
      </c>
      <c r="EB142" s="21">
        <f>EXP(-LN(2)/25)*EB141+(1-EXP(-LN(2)/25))/(LN(2)/25)*Calculateur!DW142*Calculateur!DY142*VLOOKUP('Données projet'!$B$14,Paramètres!$A$1:$I$89,3,0)*0.475*44/12</f>
        <v>0.78530133539076064</v>
      </c>
      <c r="EC142" s="21">
        <f>EXP(-LN(2)/2)*EC141+(1-EXP(-LN(2)/2))/(LN(2)/2)*DW142*DZ142*VLOOKUP('Données projet'!$B$14,Paramètres!$A$1:$I$89,3,0)*0.475*44/12</f>
        <v>2.2536258062187908E-16</v>
      </c>
      <c r="ED142" s="22">
        <f t="shared" si="126"/>
        <v>2.8702314423165149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-2.8421709430404007E-13</v>
      </c>
      <c r="EK142" s="17">
        <f>EJ142*VLOOKUP('Données projet'!$B$15,Paramètres!$A$1:$I$89,3,0)*VLOOKUP('Données projet'!$B$15,Paramètres!$A$1:$I$89,5,0)</f>
        <v>-2.0838797354372215E-13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296.91321813251051</v>
      </c>
      <c r="EP142" s="59">
        <f t="shared" si="154"/>
        <v>291.0718079639509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1.4949772291423673</v>
      </c>
      <c r="EW142" s="21">
        <f>EXP(-LN(2)/25)*EW141+(1-EXP(-LN(2)/25))/(LN(2)/25)*Calculateur!ER142*Calculateur!ET142*VLOOKUP('Données projet'!$B$15,Paramètres!$A$1:$I$89,3,0)*0.475*44/12</f>
        <v>0.75296973292481884</v>
      </c>
      <c r="EX142" s="21">
        <f>EXP(-LN(2)/2)*EX141+(1-EXP(-LN(2)/2))/(LN(2)/2)*ER142*EU142*VLOOKUP('Données projet'!$B$15,Paramètres!$A$1:$I$89,3,0)*0.475*44/12</f>
        <v>4.2792476561057281E-16</v>
      </c>
      <c r="EY142" s="22">
        <f t="shared" si="129"/>
        <v>2.2479469620671866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>
        <f>FE142*VLOOKUP('Données projet'!$B$16,Paramètres!$A$1:$I$89,3,0)*VLOOKUP('Données projet'!$B$16,Paramètres!$A$1:$I$89,5,0)</f>
        <v>0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356.65981389369125</v>
      </c>
      <c r="FK142" s="59">
        <f t="shared" si="156"/>
        <v>231.92898690465887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0.94583831782058558</v>
      </c>
      <c r="FR142" s="21">
        <f>EXP(-LN(2)/25)*FR141+(1-EXP(-LN(2)/25))/(LN(2)/25)*Calculateur!FM142*Calculateur!FO142*VLOOKUP('Données projet'!$B$16,Paramètres!$A$1:$I$89,3,0)*0.475*44/12</f>
        <v>0.51108309711027466</v>
      </c>
      <c r="FS142" s="21">
        <f>EXP(-LN(2)/2)*FS141+(1-EXP(-LN(2)/2))/(LN(2)/2)*FM142*FP142*VLOOKUP('Données projet'!$B$16,Paramètres!$A$1:$I$89,3,0)*0.475*44/12</f>
        <v>3.7544437866469706E-16</v>
      </c>
      <c r="FT142" s="22">
        <f t="shared" si="132"/>
        <v>1.4569214149308607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>
        <f>FZ142*VLOOKUP('Données projet'!$B$17,Paramètres!$A$1:$I$89,3,0)*VLOOKUP('Données projet'!$B$17,Paramètres!$A$1:$I$89,5,0)</f>
        <v>0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337.76140497227715</v>
      </c>
      <c r="GF142" s="59">
        <f t="shared" si="158"/>
        <v>219.76562717496353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0.90218424161348132</v>
      </c>
      <c r="GM142" s="21">
        <f>EXP(-LN(2)/25)*GM141+(1-EXP(-LN(2)/25))/(LN(2)/25)*Calculateur!GH142*Calculateur!GJ142*VLOOKUP('Données projet'!$B$17,Paramètres!$A$1:$I$89,3,0)*0.475*44/12</f>
        <v>0.48749464647441587</v>
      </c>
      <c r="GN142" s="21">
        <f>EXP(-LN(2)/2)*GN141+(1-EXP(-LN(2)/2))/(LN(2)/2)*GH142*GK142*VLOOKUP('Données projet'!$B$17,Paramètres!$A$1:$I$89,3,0)*0.475*44/12</f>
        <v>3.5811617657248036E-16</v>
      </c>
      <c r="GO142" s="21">
        <f t="shared" si="135"/>
        <v>1.3896788880878976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312.53389584272878</v>
      </c>
      <c r="T143" s="59">
        <f t="shared" si="142"/>
        <v>203.5274665601915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0.82742889704810585</v>
      </c>
      <c r="AA143" s="21">
        <f>EXP(-LN(2)/25)*AA142+(1-EXP(-LN(2)/25))/(LN(2)/25)*Calculateur!V143*Calculateur!X143*VLOOKUP('Données projet'!$B$9,Paramètres!$A$1:$I$89,3,0)*0.475*44/12</f>
        <v>0.44357284877999803</v>
      </c>
      <c r="AB143" s="21">
        <f>EXP(-LN(2)/2)*AB142+(1-EXP(-LN(2)/2))/(LN(2)/2)*V143*Y143*VLOOKUP('Données projet'!$B$9,Paramètres!$A$1:$I$89,3,0)*0.475*44/12</f>
        <v>2.368891913000966E-16</v>
      </c>
      <c r="AC143" s="22">
        <f t="shared" si="111"/>
        <v>1.271001745828104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5.6843418860808015E-14</v>
      </c>
      <c r="AJ143" s="13">
        <f>AI143*VLOOKUP('Données projet'!$B$10,Paramètres!$A$1:$I$89,3,0)*VLOOKUP('Données projet'!$B$10,Paramètres!$A$1:$I$89,5,0)</f>
        <v>4.9658410716801891E-14</v>
      </c>
      <c r="AK143" s="13">
        <f t="shared" si="143"/>
        <v>8.0934058173791862E-13</v>
      </c>
      <c r="AL143" s="20">
        <f t="shared" si="112"/>
        <v>1.4960899118586383E-12</v>
      </c>
      <c r="AM143" s="59">
        <f t="shared" si="113"/>
        <v>293.33333333333479</v>
      </c>
      <c r="AN143" s="59">
        <f ca="1">AVERAGE(OFFSET($AM$3,0,0,'Données projet'!$E$10+1,1))-AVERAGE(OFFSET($H$3,0,0,'Données projet'!$E$10+1,1))</f>
        <v>243.05628303465238</v>
      </c>
      <c r="AO143" s="59">
        <f t="shared" si="144"/>
        <v>352.47096767658394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0.89381765492920096</v>
      </c>
      <c r="AV143" s="21">
        <f>EXP(-LN(2)/25)*AV142+(1-EXP(-LN(2)/25))/(LN(2)/25)*Calculateur!AQ143*Calculateur!AS143*VLOOKUP('Données projet'!$B$10,Paramètres!$A$1:$I$89,3,0)*0.475*44/12</f>
        <v>0.8581834111573079</v>
      </c>
      <c r="AW143" s="21">
        <f>EXP(-LN(2)/2)*AW142+(1-EXP(-LN(2)/2))/(LN(2)/2)*AQ143*AT143*VLOOKUP('Données projet'!$B$10,Paramètres!$A$1:$I$89,3,0)*0.475*44/12</f>
        <v>3.1289327232142925E-16</v>
      </c>
      <c r="AX143" s="21">
        <f t="shared" si="114"/>
        <v>1.7520010660865091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-2.8421709430404007E-13</v>
      </c>
      <c r="BE143" s="13">
        <f>BD143*VLOOKUP('Données projet'!$B$11,Paramètres!$A$1:$I$89,3,0)*VLOOKUP('Données projet'!$B$11,Paramètres!$A$1:$I$89,5,0)</f>
        <v>-2.2612312022829427E-13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325.72928944930294</v>
      </c>
      <c r="BJ143" s="59">
        <f t="shared" si="146"/>
        <v>318.38876834819752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1.9602589837852349</v>
      </c>
      <c r="BQ143" s="21">
        <f>EXP(-LN(2)/25)*BQ142+(1-EXP(-LN(2)/25))/(LN(2)/25)*Calculateur!BL143*Calculateur!BN143*VLOOKUP('Données projet'!$B$11,Paramètres!$A$1:$I$89,3,0)*0.475*44/12</f>
        <v>0.97952618820224191</v>
      </c>
      <c r="BR143" s="21">
        <f>EXP(-LN(2)/2)*BR142+(1-EXP(-LN(2)/2))/(LN(2)/2)*BL143*BO143*VLOOKUP('Données projet'!$B$11,Paramètres!$A$1:$I$89,3,0)*0.475*44/12</f>
        <v>3.2834071667331617E-16</v>
      </c>
      <c r="BS143" s="22">
        <f t="shared" si="117"/>
        <v>2.9397851719874772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-3.4106051316484809E-13</v>
      </c>
      <c r="BZ143" s="13">
        <f>BY143*VLOOKUP('Données projet'!$B$12,Paramètres!$A$1:$I$89,3,0)*VLOOKUP('Données projet'!$B$12,Paramètres!$A$1:$I$89,5,0)</f>
        <v>-1.9065282685915009E-13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475.54809021014017</v>
      </c>
      <c r="CE143" s="59">
        <f t="shared" si="148"/>
        <v>593.51433014569966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0.83115321062373793</v>
      </c>
      <c r="CL143" s="21">
        <f>EXP(-LN(2)/25)*CL142+(1-EXP(-LN(2)/25))/(LN(2)/25)*Calculateur!CG143*Calculateur!CI143*VLOOKUP('Données projet'!$B$12,Paramètres!$A$1:$I$89,3,0)*0.475*44/12</f>
        <v>2.0183766632173361</v>
      </c>
      <c r="CM143" s="21">
        <f>EXP(-LN(2)/2)*CM142+(1-EXP(-LN(2)/2))/(LN(2)/2)*CG143*CJ143*VLOOKUP('Données projet'!$B$12,Paramètres!$A$1:$I$89,3,0)*0.475*44/12</f>
        <v>4.0017871696211964E-16</v>
      </c>
      <c r="CN143" s="22">
        <f t="shared" si="120"/>
        <v>2.8495298738410746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-1.1368683772161603E-13</v>
      </c>
      <c r="CU143" s="17">
        <f>CT143*VLOOKUP('Données projet'!$B$13,Paramètres!$A$1:$I$89,3,0)*VLOOKUP('Données projet'!$B$13,Paramètres!$A$1:$I$89,5,0)</f>
        <v>-5.3205440053716299E-14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226.0452828290525</v>
      </c>
      <c r="CZ143" s="59">
        <f t="shared" si="150"/>
        <v>179.89696397462069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1.0275624193727946</v>
      </c>
      <c r="DG143" s="21">
        <f>EXP(-LN(2)/25)*DG142+(1-EXP(-LN(2)/25))/(LN(2)/25)*Calculateur!DB143*Calculateur!DD143*VLOOKUP('Données projet'!$B$13,Paramètres!$A$1:$I$89,3,0)*0.475*44/12</f>
        <v>0.52819502471560187</v>
      </c>
      <c r="DH143" s="21">
        <f>EXP(-LN(2)/2)*DH142+(1-EXP(-LN(2)/2))/(LN(2)/2)*DB143*DE143*VLOOKUP('Données projet'!$B$13,Paramètres!$A$1:$I$89,3,0)*0.475*44/12</f>
        <v>3.0650839210051425E-16</v>
      </c>
      <c r="DI143" s="22">
        <f t="shared" si="123"/>
        <v>1.5557574440883968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1.1368683772161603E-13</v>
      </c>
      <c r="DP143" s="17">
        <f>DO143*VLOOKUP('Données projet'!$B$14,Paramètres!$A$1:$I$89,3,0)*VLOOKUP('Données projet'!$B$14,Paramètres!$A$1:$I$89,5,0)</f>
        <v>6.7984728957526396E-14</v>
      </c>
      <c r="DQ143" s="13">
        <f t="shared" si="151"/>
        <v>1.0682447123141398E-12</v>
      </c>
      <c r="DR143" s="20">
        <f t="shared" si="124"/>
        <v>1.978932943548152E-12</v>
      </c>
      <c r="DS143" s="59">
        <f t="shared" si="125"/>
        <v>293.3333333333353</v>
      </c>
      <c r="DT143" s="59">
        <f ca="1">AVERAGE(OFFSET($DS$3,0,0,'Données projet'!$E$14+1,1))-AVERAGE(OFFSET($H$3,0,0,'Données projet'!$E$14+1,1))</f>
        <v>252.81045065813976</v>
      </c>
      <c r="DU143" s="59">
        <f t="shared" si="152"/>
        <v>254.36590349790589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2.0440458992107371</v>
      </c>
      <c r="EB143" s="21">
        <f>EXP(-LN(2)/25)*EB142+(1-EXP(-LN(2)/25))/(LN(2)/25)*Calculateur!DW143*Calculateur!DY143*VLOOKUP('Données projet'!$B$14,Paramètres!$A$1:$I$89,3,0)*0.475*44/12</f>
        <v>0.76382722907729794</v>
      </c>
      <c r="EC143" s="21">
        <f>EXP(-LN(2)/2)*EC142+(1-EXP(-LN(2)/2))/(LN(2)/2)*DW143*DZ143*VLOOKUP('Données projet'!$B$14,Paramètres!$A$1:$I$89,3,0)*0.475*44/12</f>
        <v>1.5935540898343072E-16</v>
      </c>
      <c r="ED143" s="22">
        <f t="shared" si="126"/>
        <v>2.8078731282880351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-2.8421709430404007E-13</v>
      </c>
      <c r="EK143" s="17">
        <f>EJ143*VLOOKUP('Données projet'!$B$15,Paramètres!$A$1:$I$89,3,0)*VLOOKUP('Données projet'!$B$15,Paramètres!$A$1:$I$89,5,0)</f>
        <v>-2.0838797354372215E-13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296.91321813251051</v>
      </c>
      <c r="EP143" s="59">
        <f t="shared" si="154"/>
        <v>291.0718079639509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1.465661637524958</v>
      </c>
      <c r="EW143" s="21">
        <f>EXP(-LN(2)/25)*EW142+(1-EXP(-LN(2)/25))/(LN(2)/25)*Calculateur!ER143*Calculateur!ET143*VLOOKUP('Données projet'!$B$15,Paramètres!$A$1:$I$89,3,0)*0.475*44/12</f>
        <v>0.73237973598103234</v>
      </c>
      <c r="EX143" s="21">
        <f>EXP(-LN(2)/2)*EX142+(1-EXP(-LN(2)/2))/(LN(2)/2)*ER143*EU143*VLOOKUP('Données projet'!$B$15,Paramètres!$A$1:$I$89,3,0)*0.475*44/12</f>
        <v>3.0258850360089994E-16</v>
      </c>
      <c r="EY143" s="22">
        <f t="shared" si="129"/>
        <v>2.1980413735059909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>
        <f>FE143*VLOOKUP('Données projet'!$B$16,Paramètres!$A$1:$I$89,3,0)*VLOOKUP('Données projet'!$B$16,Paramètres!$A$1:$I$89,5,0)</f>
        <v>0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356.65981389369125</v>
      </c>
      <c r="FK143" s="59">
        <f t="shared" si="156"/>
        <v>231.92898690465887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0.92729100531253317</v>
      </c>
      <c r="FR143" s="21">
        <f>EXP(-LN(2)/25)*FR142+(1-EXP(-LN(2)/25))/(LN(2)/25)*Calculateur!FM143*Calculateur!FO143*VLOOKUP('Données projet'!$B$16,Paramètres!$A$1:$I$89,3,0)*0.475*44/12</f>
        <v>0.49710750294310224</v>
      </c>
      <c r="FS143" s="21">
        <f>EXP(-LN(2)/2)*FS142+(1-EXP(-LN(2)/2))/(LN(2)/2)*FM143*FP143*VLOOKUP('Données projet'!$B$16,Paramètres!$A$1:$I$89,3,0)*0.475*44/12</f>
        <v>2.6547926611217723E-16</v>
      </c>
      <c r="FT143" s="22">
        <f t="shared" si="132"/>
        <v>1.4243985082556356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>
        <f>FZ143*VLOOKUP('Données projet'!$B$17,Paramètres!$A$1:$I$89,3,0)*VLOOKUP('Données projet'!$B$17,Paramètres!$A$1:$I$89,5,0)</f>
        <v>0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337.76140497227715</v>
      </c>
      <c r="GF143" s="59">
        <f t="shared" si="158"/>
        <v>219.76562717496353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0.88449295891349289</v>
      </c>
      <c r="GM143" s="21">
        <f>EXP(-LN(2)/25)*GM142+(1-EXP(-LN(2)/25))/(LN(2)/25)*Calculateur!GH143*Calculateur!GJ143*VLOOKUP('Données projet'!$B$17,Paramètres!$A$1:$I$89,3,0)*0.475*44/12</f>
        <v>0.47416407973034369</v>
      </c>
      <c r="GN143" s="21">
        <f>EXP(-LN(2)/2)*GN142+(1-EXP(-LN(2)/2))/(LN(2)/2)*GH143*GK143*VLOOKUP('Données projet'!$B$17,Paramètres!$A$1:$I$89,3,0)*0.475*44/12</f>
        <v>2.5322637690699988E-16</v>
      </c>
      <c r="GO143" s="21">
        <f t="shared" si="135"/>
        <v>1.3586570386438368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312.53389584272878</v>
      </c>
      <c r="T144" s="59">
        <f t="shared" si="142"/>
        <v>203.5274665601915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0.81120352105878646</v>
      </c>
      <c r="AA144" s="21">
        <f>EXP(-LN(2)/25)*AA143+(1-EXP(-LN(2)/25))/(LN(2)/25)*Calculateur!V144*Calculateur!X144*VLOOKUP('Données projet'!$B$9,Paramètres!$A$1:$I$89,3,0)*0.475*44/12</f>
        <v>0.43144332590362666</v>
      </c>
      <c r="AB144" s="21">
        <f>EXP(-LN(2)/2)*AB143+(1-EXP(-LN(2)/2))/(LN(2)/2)*V144*Y144*VLOOKUP('Données projet'!$B$9,Paramètres!$A$1:$I$89,3,0)*0.475*44/12</f>
        <v>1.6750595355809561E-16</v>
      </c>
      <c r="AC144" s="22">
        <f t="shared" si="111"/>
        <v>1.2426468469624135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5.6843418860808015E-14</v>
      </c>
      <c r="AJ144" s="13">
        <f>AI144*VLOOKUP('Données projet'!$B$10,Paramètres!$A$1:$I$89,3,0)*VLOOKUP('Données projet'!$B$10,Paramètres!$A$1:$I$89,5,0)</f>
        <v>4.9658410716801891E-14</v>
      </c>
      <c r="AK144" s="13">
        <f t="shared" si="143"/>
        <v>8.0934058173791862E-13</v>
      </c>
      <c r="AL144" s="20">
        <f t="shared" si="112"/>
        <v>1.4960899118586383E-12</v>
      </c>
      <c r="AM144" s="59">
        <f t="shared" si="113"/>
        <v>293.33333333333479</v>
      </c>
      <c r="AN144" s="59">
        <f ca="1">AVERAGE(OFFSET($AM$3,0,0,'Données projet'!$E$10+1,1))-AVERAGE(OFFSET($H$3,0,0,'Données projet'!$E$10+1,1))</f>
        <v>243.05628303465238</v>
      </c>
      <c r="AO144" s="59">
        <f t="shared" si="144"/>
        <v>352.47096767658394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0.87629043589097733</v>
      </c>
      <c r="AV144" s="21">
        <f>EXP(-LN(2)/25)*AV143+(1-EXP(-LN(2)/25))/(LN(2)/25)*Calculateur!AQ144*Calculateur!AS144*VLOOKUP('Données projet'!$B$10,Paramètres!$A$1:$I$89,3,0)*0.475*44/12</f>
        <v>0.83471634064930711</v>
      </c>
      <c r="AW144" s="21">
        <f>EXP(-LN(2)/2)*AW143+(1-EXP(-LN(2)/2))/(LN(2)/2)*AQ144*AT144*VLOOKUP('Données projet'!$B$10,Paramètres!$A$1:$I$89,3,0)*0.475*44/12</f>
        <v>2.212489546461317E-16</v>
      </c>
      <c r="AX144" s="21">
        <f t="shared" si="114"/>
        <v>1.7110067765402845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-2.8421709430404007E-13</v>
      </c>
      <c r="BE144" s="13">
        <f>BD144*VLOOKUP('Données projet'!$B$11,Paramètres!$A$1:$I$89,3,0)*VLOOKUP('Données projet'!$B$11,Paramètres!$A$1:$I$89,5,0)</f>
        <v>-2.2612312022829427E-13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325.72928944930294</v>
      </c>
      <c r="BJ144" s="59">
        <f t="shared" si="146"/>
        <v>318.38876834819752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1.9218195007531269</v>
      </c>
      <c r="BQ144" s="21">
        <f>EXP(-LN(2)/25)*BQ143+(1-EXP(-LN(2)/25))/(LN(2)/25)*Calculateur!BL144*Calculateur!BN144*VLOOKUP('Données projet'!$B$11,Paramètres!$A$1:$I$89,3,0)*0.475*44/12</f>
        <v>0.95274099307480808</v>
      </c>
      <c r="BR144" s="21">
        <f>EXP(-LN(2)/2)*BR143+(1-EXP(-LN(2)/2))/(LN(2)/2)*BL144*BO144*VLOOKUP('Données projet'!$B$11,Paramètres!$A$1:$I$89,3,0)*0.475*44/12</f>
        <v>2.3217194729935276E-16</v>
      </c>
      <c r="BS144" s="22">
        <f t="shared" si="117"/>
        <v>2.8745604938279352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-3.4106051316484809E-13</v>
      </c>
      <c r="BZ144" s="13">
        <f>BY144*VLOOKUP('Données projet'!$B$12,Paramètres!$A$1:$I$89,3,0)*VLOOKUP('Données projet'!$B$12,Paramètres!$A$1:$I$89,5,0)</f>
        <v>-1.9065282685915009E-13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475.54809021014017</v>
      </c>
      <c r="CE144" s="59">
        <f t="shared" si="148"/>
        <v>593.51433014569966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0.81485480311680747</v>
      </c>
      <c r="CL144" s="21">
        <f>EXP(-LN(2)/25)*CL143+(1-EXP(-LN(2)/25))/(LN(2)/25)*Calculateur!CG144*Calculateur!CI144*VLOOKUP('Données projet'!$B$12,Paramètres!$A$1:$I$89,3,0)*0.475*44/12</f>
        <v>1.9631840472198423</v>
      </c>
      <c r="CM144" s="21">
        <f>EXP(-LN(2)/2)*CM143+(1-EXP(-LN(2)/2))/(LN(2)/2)*CG144*CJ144*VLOOKUP('Données projet'!$B$12,Paramètres!$A$1:$I$89,3,0)*0.475*44/12</f>
        <v>2.8296908445044686E-16</v>
      </c>
      <c r="CN144" s="22">
        <f t="shared" si="120"/>
        <v>2.77803885033665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-1.1368683772161603E-13</v>
      </c>
      <c r="CU144" s="17">
        <f>CT144*VLOOKUP('Données projet'!$B$13,Paramètres!$A$1:$I$89,3,0)*VLOOKUP('Données projet'!$B$13,Paramètres!$A$1:$I$89,5,0)</f>
        <v>-5.3205440053716299E-14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226.0452828290525</v>
      </c>
      <c r="CZ144" s="59">
        <f t="shared" si="150"/>
        <v>179.89696397462069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1.0074125470800834</v>
      </c>
      <c r="DG144" s="21">
        <f>EXP(-LN(2)/25)*DG143+(1-EXP(-LN(2)/25))/(LN(2)/25)*Calculateur!DB144*Calculateur!DD144*VLOOKUP('Données projet'!$B$13,Paramètres!$A$1:$I$89,3,0)*0.475*44/12</f>
        <v>0.51375150398818459</v>
      </c>
      <c r="DH144" s="21">
        <f>EXP(-LN(2)/2)*DH143+(1-EXP(-LN(2)/2))/(LN(2)/2)*DB144*DE144*VLOOKUP('Données projet'!$B$13,Paramètres!$A$1:$I$89,3,0)*0.475*44/12</f>
        <v>2.1673416254485886E-16</v>
      </c>
      <c r="DI144" s="22">
        <f t="shared" si="123"/>
        <v>1.5211640510682682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1.1368683772161603E-13</v>
      </c>
      <c r="DP144" s="17">
        <f>DO144*VLOOKUP('Données projet'!$B$14,Paramètres!$A$1:$I$89,3,0)*VLOOKUP('Données projet'!$B$14,Paramètres!$A$1:$I$89,5,0)</f>
        <v>6.7984728957526396E-14</v>
      </c>
      <c r="DQ144" s="13">
        <f t="shared" si="151"/>
        <v>1.0682447123141398E-12</v>
      </c>
      <c r="DR144" s="20">
        <f t="shared" si="124"/>
        <v>1.978932943548152E-12</v>
      </c>
      <c r="DS144" s="59">
        <f t="shared" si="125"/>
        <v>293.3333333333353</v>
      </c>
      <c r="DT144" s="59">
        <f ca="1">AVERAGE(OFFSET($DS$3,0,0,'Données projet'!$E$14+1,1))-AVERAGE(OFFSET($H$3,0,0,'Données projet'!$E$14+1,1))</f>
        <v>252.81045065813976</v>
      </c>
      <c r="DU144" s="59">
        <f t="shared" si="152"/>
        <v>254.36590349790589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2.0039634058721072</v>
      </c>
      <c r="EB144" s="21">
        <f>EXP(-LN(2)/25)*EB143+(1-EXP(-LN(2)/25))/(LN(2)/25)*Calculateur!DW144*Calculateur!DY144*VLOOKUP('Données projet'!$B$14,Paramètres!$A$1:$I$89,3,0)*0.475*44/12</f>
        <v>0.742940333330251</v>
      </c>
      <c r="EC144" s="21">
        <f>EXP(-LN(2)/2)*EC143+(1-EXP(-LN(2)/2))/(LN(2)/2)*DW144*DZ144*VLOOKUP('Données projet'!$B$14,Paramètres!$A$1:$I$89,3,0)*0.475*44/12</f>
        <v>1.1268129031093954E-16</v>
      </c>
      <c r="ED144" s="22">
        <f t="shared" si="126"/>
        <v>2.7469037392023581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-2.8421709430404007E-13</v>
      </c>
      <c r="EK144" s="17">
        <f>EJ144*VLOOKUP('Données projet'!$B$15,Paramètres!$A$1:$I$89,3,0)*VLOOKUP('Données projet'!$B$15,Paramètres!$A$1:$I$89,5,0)</f>
        <v>-2.0838797354372215E-13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296.91321813251051</v>
      </c>
      <c r="EP144" s="59">
        <f t="shared" si="154"/>
        <v>291.0718079639509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1.4369209067784208</v>
      </c>
      <c r="EW144" s="21">
        <f>EXP(-LN(2)/25)*EW143+(1-EXP(-LN(2)/25))/(LN(2)/25)*Calculateur!ER144*Calculateur!ET144*VLOOKUP('Données projet'!$B$15,Paramètres!$A$1:$I$89,3,0)*0.475*44/12</f>
        <v>0.71235277358645455</v>
      </c>
      <c r="EX144" s="21">
        <f>EXP(-LN(2)/2)*EX143+(1-EXP(-LN(2)/2))/(LN(2)/2)*ER144*EU144*VLOOKUP('Données projet'!$B$15,Paramètres!$A$1:$I$89,3,0)*0.475*44/12</f>
        <v>2.139623828052864E-16</v>
      </c>
      <c r="EY144" s="22">
        <f t="shared" si="129"/>
        <v>2.1492736803648755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>
        <f>FE144*VLOOKUP('Données projet'!$B$16,Paramètres!$A$1:$I$89,3,0)*VLOOKUP('Données projet'!$B$16,Paramètres!$A$1:$I$89,5,0)</f>
        <v>0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356.65981389369125</v>
      </c>
      <c r="FK144" s="59">
        <f t="shared" si="156"/>
        <v>231.92898690465887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0.90910739429002008</v>
      </c>
      <c r="FR144" s="21">
        <f>EXP(-LN(2)/25)*FR143+(1-EXP(-LN(2)/25))/(LN(2)/25)*Calculateur!FM144*Calculateur!FO144*VLOOKUP('Données projet'!$B$16,Paramètres!$A$1:$I$89,3,0)*0.475*44/12</f>
        <v>0.48351407213337566</v>
      </c>
      <c r="FS144" s="21">
        <f>EXP(-LN(2)/2)*FS143+(1-EXP(-LN(2)/2))/(LN(2)/2)*FM144*FP144*VLOOKUP('Données projet'!$B$16,Paramètres!$A$1:$I$89,3,0)*0.475*44/12</f>
        <v>1.8772218933234853E-16</v>
      </c>
      <c r="FT144" s="22">
        <f t="shared" si="132"/>
        <v>1.392621466423396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>
        <f>FZ144*VLOOKUP('Données projet'!$B$17,Paramètres!$A$1:$I$89,3,0)*VLOOKUP('Données projet'!$B$17,Paramètres!$A$1:$I$89,5,0)</f>
        <v>0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337.76140497227715</v>
      </c>
      <c r="GF144" s="59">
        <f t="shared" si="158"/>
        <v>219.76562717496353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0.86714859147663426</v>
      </c>
      <c r="GM144" s="21">
        <f>EXP(-LN(2)/25)*GM143+(1-EXP(-LN(2)/25))/(LN(2)/25)*Calculateur!GH144*Calculateur!GJ144*VLOOKUP('Données projet'!$B$17,Paramètres!$A$1:$I$89,3,0)*0.475*44/12</f>
        <v>0.46119803803491222</v>
      </c>
      <c r="GN144" s="21">
        <f>EXP(-LN(2)/2)*GN143+(1-EXP(-LN(2)/2))/(LN(2)/2)*GH144*GK144*VLOOKUP('Données projet'!$B$17,Paramètres!$A$1:$I$89,3,0)*0.475*44/12</f>
        <v>1.7905808828624018E-16</v>
      </c>
      <c r="GO144" s="21">
        <f t="shared" si="135"/>
        <v>1.3283466295115467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312.53389584272878</v>
      </c>
      <c r="T145" s="59">
        <f t="shared" si="142"/>
        <v>203.5274665601915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0.79529631479611551</v>
      </c>
      <c r="AA145" s="21">
        <f>EXP(-LN(2)/25)*AA144+(1-EXP(-LN(2)/25))/(LN(2)/25)*Calculateur!V145*Calculateur!X145*VLOOKUP('Données projet'!$B$9,Paramètres!$A$1:$I$89,3,0)*0.475*44/12</f>
        <v>0.41964548546817354</v>
      </c>
      <c r="AB145" s="21">
        <f>EXP(-LN(2)/2)*AB144+(1-EXP(-LN(2)/2))/(LN(2)/2)*V145*Y145*VLOOKUP('Données projet'!$B$9,Paramètres!$A$1:$I$89,3,0)*0.475*44/12</f>
        <v>1.184445956500483E-16</v>
      </c>
      <c r="AC145" s="22">
        <f t="shared" si="111"/>
        <v>1.2149418002642893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5.6843418860808015E-14</v>
      </c>
      <c r="AJ145" s="13">
        <f>AI145*VLOOKUP('Données projet'!$B$10,Paramètres!$A$1:$I$89,3,0)*VLOOKUP('Données projet'!$B$10,Paramètres!$A$1:$I$89,5,0)</f>
        <v>4.9658410716801891E-14</v>
      </c>
      <c r="AK145" s="13">
        <f t="shared" si="143"/>
        <v>8.0934058173791862E-13</v>
      </c>
      <c r="AL145" s="20">
        <f t="shared" si="112"/>
        <v>1.4960899118586383E-12</v>
      </c>
      <c r="AM145" s="59">
        <f t="shared" si="113"/>
        <v>293.33333333333479</v>
      </c>
      <c r="AN145" s="59">
        <f ca="1">AVERAGE(OFFSET($AM$3,0,0,'Données projet'!$E$10+1,1))-AVERAGE(OFFSET($H$3,0,0,'Données projet'!$E$10+1,1))</f>
        <v>243.05628303465238</v>
      </c>
      <c r="AO145" s="59">
        <f t="shared" si="144"/>
        <v>352.47096767658394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0.85910691492754521</v>
      </c>
      <c r="AV145" s="21">
        <f>EXP(-LN(2)/25)*AV144+(1-EXP(-LN(2)/25))/(LN(2)/25)*Calculateur!AQ145*Calculateur!AS145*VLOOKUP('Données projet'!$B$10,Paramètres!$A$1:$I$89,3,0)*0.475*44/12</f>
        <v>0.81189097841842717</v>
      </c>
      <c r="AW145" s="21">
        <f>EXP(-LN(2)/2)*AW144+(1-EXP(-LN(2)/2))/(LN(2)/2)*AQ145*AT145*VLOOKUP('Données projet'!$B$10,Paramètres!$A$1:$I$89,3,0)*0.475*44/12</f>
        <v>1.5644663616071465E-16</v>
      </c>
      <c r="AX145" s="21">
        <f t="shared" si="114"/>
        <v>1.6709978933459726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-2.8421709430404007E-13</v>
      </c>
      <c r="BE145" s="13">
        <f>BD145*VLOOKUP('Données projet'!$B$11,Paramètres!$A$1:$I$89,3,0)*VLOOKUP('Données projet'!$B$11,Paramètres!$A$1:$I$89,5,0)</f>
        <v>-2.2612312022829427E-13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325.72928944930294</v>
      </c>
      <c r="BJ145" s="59">
        <f t="shared" si="146"/>
        <v>318.38876834819752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1.884133792537509</v>
      </c>
      <c r="BQ145" s="21">
        <f>EXP(-LN(2)/25)*BQ144+(1-EXP(-LN(2)/25))/(LN(2)/25)*Calculateur!BL145*Calculateur!BN145*VLOOKUP('Données projet'!$B$11,Paramètres!$A$1:$I$89,3,0)*0.475*44/12</f>
        <v>0.92668824051670617</v>
      </c>
      <c r="BR145" s="21">
        <f>EXP(-LN(2)/2)*BR144+(1-EXP(-LN(2)/2))/(LN(2)/2)*BL145*BO145*VLOOKUP('Données projet'!$B$11,Paramètres!$A$1:$I$89,3,0)*0.475*44/12</f>
        <v>1.6417035833665808E-16</v>
      </c>
      <c r="BS145" s="22">
        <f t="shared" si="117"/>
        <v>2.8108220330542153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-3.4106051316484809E-13</v>
      </c>
      <c r="BZ145" s="13">
        <f>BY145*VLOOKUP('Données projet'!$B$12,Paramètres!$A$1:$I$89,3,0)*VLOOKUP('Données projet'!$B$12,Paramètres!$A$1:$I$89,5,0)</f>
        <v>-1.9065282685915009E-13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475.54809021014017</v>
      </c>
      <c r="CE145" s="59">
        <f t="shared" si="148"/>
        <v>593.51433014569966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0.7988759974400409</v>
      </c>
      <c r="CL145" s="21">
        <f>EXP(-LN(2)/25)*CL144+(1-EXP(-LN(2)/25))/(LN(2)/25)*Calculateur!CG145*Calculateur!CI145*VLOOKUP('Données projet'!$B$12,Paramètres!$A$1:$I$89,3,0)*0.475*44/12</f>
        <v>1.9095006762092537</v>
      </c>
      <c r="CM145" s="21">
        <f>EXP(-LN(2)/2)*CM144+(1-EXP(-LN(2)/2))/(LN(2)/2)*CG145*CJ145*VLOOKUP('Données projet'!$B$12,Paramètres!$A$1:$I$89,3,0)*0.475*44/12</f>
        <v>2.0008935848105982E-16</v>
      </c>
      <c r="CN145" s="22">
        <f t="shared" si="120"/>
        <v>2.7083766736492945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-1.1368683772161603E-13</v>
      </c>
      <c r="CU145" s="17">
        <f>CT145*VLOOKUP('Données projet'!$B$13,Paramètres!$A$1:$I$89,3,0)*VLOOKUP('Données projet'!$B$13,Paramètres!$A$1:$I$89,5,0)</f>
        <v>-5.3205440053716299E-14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226.0452828290525</v>
      </c>
      <c r="CZ145" s="59">
        <f t="shared" si="150"/>
        <v>179.89696397462069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0.98765780149282378</v>
      </c>
      <c r="DG145" s="21">
        <f>EXP(-LN(2)/25)*DG144+(1-EXP(-LN(2)/25))/(LN(2)/25)*Calculateur!DB145*Calculateur!DD145*VLOOKUP('Données projet'!$B$13,Paramètres!$A$1:$I$89,3,0)*0.475*44/12</f>
        <v>0.4997029420946103</v>
      </c>
      <c r="DH145" s="21">
        <f>EXP(-LN(2)/2)*DH144+(1-EXP(-LN(2)/2))/(LN(2)/2)*DB145*DE145*VLOOKUP('Données projet'!$B$13,Paramètres!$A$1:$I$89,3,0)*0.475*44/12</f>
        <v>1.5325419605025715E-16</v>
      </c>
      <c r="DI145" s="22">
        <f t="shared" si="123"/>
        <v>1.4873607435874343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1.1368683772161603E-13</v>
      </c>
      <c r="DP145" s="17">
        <f>DO145*VLOOKUP('Données projet'!$B$14,Paramètres!$A$1:$I$89,3,0)*VLOOKUP('Données projet'!$B$14,Paramètres!$A$1:$I$89,5,0)</f>
        <v>6.7984728957526396E-14</v>
      </c>
      <c r="DQ145" s="13">
        <f t="shared" si="151"/>
        <v>1.0682447123141398E-12</v>
      </c>
      <c r="DR145" s="20">
        <f t="shared" si="124"/>
        <v>1.978932943548152E-12</v>
      </c>
      <c r="DS145" s="59">
        <f t="shared" si="125"/>
        <v>293.3333333333353</v>
      </c>
      <c r="DT145" s="59">
        <f ca="1">AVERAGE(OFFSET($DS$3,0,0,'Données projet'!$E$14+1,1))-AVERAGE(OFFSET($H$3,0,0,'Données projet'!$E$14+1,1))</f>
        <v>252.81045065813976</v>
      </c>
      <c r="DU145" s="59">
        <f t="shared" si="152"/>
        <v>254.36590349790589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1.9646669057799409</v>
      </c>
      <c r="EB145" s="21">
        <f>EXP(-LN(2)/25)*EB144+(1-EXP(-LN(2)/25))/(LN(2)/25)*Calculateur!DW145*Calculateur!DY145*VLOOKUP('Données projet'!$B$14,Paramètres!$A$1:$I$89,3,0)*0.475*44/12</f>
        <v>0.72262459084580122</v>
      </c>
      <c r="EC145" s="21">
        <f>EXP(-LN(2)/2)*EC144+(1-EXP(-LN(2)/2))/(LN(2)/2)*DW145*DZ145*VLOOKUP('Données projet'!$B$14,Paramètres!$A$1:$I$89,3,0)*0.475*44/12</f>
        <v>7.9677704491715362E-17</v>
      </c>
      <c r="ED145" s="22">
        <f t="shared" si="126"/>
        <v>2.687291496625742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-2.8421709430404007E-13</v>
      </c>
      <c r="EK145" s="17">
        <f>EJ145*VLOOKUP('Données projet'!$B$15,Paramètres!$A$1:$I$89,3,0)*VLOOKUP('Données projet'!$B$15,Paramètres!$A$1:$I$89,5,0)</f>
        <v>-2.0838797354372215E-13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296.91321813251051</v>
      </c>
      <c r="EP145" s="59">
        <f t="shared" si="154"/>
        <v>291.0718079639509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1.4087437642317082</v>
      </c>
      <c r="EW145" s="21">
        <f>EXP(-LN(2)/25)*EW144+(1-EXP(-LN(2)/25))/(LN(2)/25)*Calculateur!ER145*Calculateur!ET145*VLOOKUP('Données projet'!$B$15,Paramètres!$A$1:$I$89,3,0)*0.475*44/12</f>
        <v>0.69287344953172869</v>
      </c>
      <c r="EX145" s="21">
        <f>EXP(-LN(2)/2)*EX144+(1-EXP(-LN(2)/2))/(LN(2)/2)*ER145*EU145*VLOOKUP('Données projet'!$B$15,Paramètres!$A$1:$I$89,3,0)*0.475*44/12</f>
        <v>1.5129425180044997E-16</v>
      </c>
      <c r="EY145" s="22">
        <f t="shared" si="129"/>
        <v>2.1016172137634368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>
        <f>FE145*VLOOKUP('Données projet'!$B$16,Paramètres!$A$1:$I$89,3,0)*VLOOKUP('Données projet'!$B$16,Paramètres!$A$1:$I$89,5,0)</f>
        <v>0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356.65981389369125</v>
      </c>
      <c r="FK145" s="59">
        <f t="shared" si="156"/>
        <v>231.92898690465887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0.89128035278875095</v>
      </c>
      <c r="FR145" s="21">
        <f>EXP(-LN(2)/25)*FR144+(1-EXP(-LN(2)/25))/(LN(2)/25)*Calculateur!FM145*Calculateur!FO145*VLOOKUP('Données projet'!$B$16,Paramètres!$A$1:$I$89,3,0)*0.475*44/12</f>
        <v>0.47029235440398853</v>
      </c>
      <c r="FS145" s="21">
        <f>EXP(-LN(2)/2)*FS144+(1-EXP(-LN(2)/2))/(LN(2)/2)*FM145*FP145*VLOOKUP('Données projet'!$B$16,Paramètres!$A$1:$I$89,3,0)*0.475*44/12</f>
        <v>1.3273963305608862E-16</v>
      </c>
      <c r="FT145" s="22">
        <f t="shared" si="132"/>
        <v>1.3615727071927397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>
        <f>FZ145*VLOOKUP('Données projet'!$B$17,Paramètres!$A$1:$I$89,3,0)*VLOOKUP('Données projet'!$B$17,Paramètres!$A$1:$I$89,5,0)</f>
        <v>0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337.76140497227715</v>
      </c>
      <c r="GF145" s="59">
        <f t="shared" si="158"/>
        <v>219.76562717496353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0.85014433650619292</v>
      </c>
      <c r="GM145" s="21">
        <f>EXP(-LN(2)/25)*GM144+(1-EXP(-LN(2)/25))/(LN(2)/25)*Calculateur!GH145*Calculateur!GJ145*VLOOKUP('Données projet'!$B$17,Paramètres!$A$1:$I$89,3,0)*0.475*44/12</f>
        <v>0.44858655343149678</v>
      </c>
      <c r="GN145" s="21">
        <f>EXP(-LN(2)/2)*GN144+(1-EXP(-LN(2)/2))/(LN(2)/2)*GH145*GK145*VLOOKUP('Données projet'!$B$17,Paramètres!$A$1:$I$89,3,0)*0.475*44/12</f>
        <v>1.2661318845349994E-16</v>
      </c>
      <c r="GO145" s="21">
        <f t="shared" si="135"/>
        <v>1.2987308899376899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312.53389584272878</v>
      </c>
      <c r="T146" s="59">
        <f t="shared" si="142"/>
        <v>203.5274665601915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0.77970103914581779</v>
      </c>
      <c r="AA146" s="21">
        <f>EXP(-LN(2)/25)*AA145+(1-EXP(-LN(2)/25))/(LN(2)/25)*Calculateur!V146*Calculateur!X146*VLOOKUP('Données projet'!$B$9,Paramètres!$A$1:$I$89,3,0)*0.475*44/12</f>
        <v>0.40817025759984937</v>
      </c>
      <c r="AB146" s="21">
        <f>EXP(-LN(2)/2)*AB145+(1-EXP(-LN(2)/2))/(LN(2)/2)*V146*Y146*VLOOKUP('Données projet'!$B$9,Paramètres!$A$1:$I$89,3,0)*0.475*44/12</f>
        <v>8.3752976779047803E-17</v>
      </c>
      <c r="AC146" s="22">
        <f t="shared" si="111"/>
        <v>1.187871296745667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5.6843418860808015E-14</v>
      </c>
      <c r="AJ146" s="13">
        <f>AI146*VLOOKUP('Données projet'!$B$10,Paramètres!$A$1:$I$89,3,0)*VLOOKUP('Données projet'!$B$10,Paramètres!$A$1:$I$89,5,0)</f>
        <v>4.9658410716801891E-14</v>
      </c>
      <c r="AK146" s="13">
        <f t="shared" si="143"/>
        <v>8.0934058173791862E-13</v>
      </c>
      <c r="AL146" s="20">
        <f t="shared" si="112"/>
        <v>1.4960899118586383E-12</v>
      </c>
      <c r="AM146" s="59">
        <f t="shared" si="113"/>
        <v>293.33333333333479</v>
      </c>
      <c r="AN146" s="59">
        <f ca="1">AVERAGE(OFFSET($AM$3,0,0,'Données projet'!$E$10+1,1))-AVERAGE(OFFSET($H$3,0,0,'Données projet'!$E$10+1,1))</f>
        <v>243.05628303465238</v>
      </c>
      <c r="AO146" s="59">
        <f t="shared" si="144"/>
        <v>352.47096767658394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0.84226035232929308</v>
      </c>
      <c r="AV146" s="21">
        <f>EXP(-LN(2)/25)*AV145+(1-EXP(-LN(2)/25))/(LN(2)/25)*Calculateur!AQ146*Calculateur!AS146*VLOOKUP('Données projet'!$B$10,Paramètres!$A$1:$I$89,3,0)*0.475*44/12</f>
        <v>0.78968977691808429</v>
      </c>
      <c r="AW146" s="21">
        <f>EXP(-LN(2)/2)*AW145+(1-EXP(-LN(2)/2))/(LN(2)/2)*AQ146*AT146*VLOOKUP('Données projet'!$B$10,Paramètres!$A$1:$I$89,3,0)*0.475*44/12</f>
        <v>1.1062447732306588E-16</v>
      </c>
      <c r="AX146" s="21">
        <f t="shared" si="114"/>
        <v>1.6319501292473775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-2.8421709430404007E-13</v>
      </c>
      <c r="BE146" s="13">
        <f>BD146*VLOOKUP('Données projet'!$B$11,Paramètres!$A$1:$I$89,3,0)*VLOOKUP('Données projet'!$B$11,Paramètres!$A$1:$I$89,5,0)</f>
        <v>-2.2612312022829427E-13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325.72928944930294</v>
      </c>
      <c r="BJ146" s="59">
        <f t="shared" si="146"/>
        <v>318.38876834819752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1.847187078073987</v>
      </c>
      <c r="BQ146" s="21">
        <f>EXP(-LN(2)/25)*BQ145+(1-EXP(-LN(2)/25))/(LN(2)/25)*Calculateur!BL146*Calculateur!BN146*VLOOKUP('Données projet'!$B$11,Paramètres!$A$1:$I$89,3,0)*0.475*44/12</f>
        <v>0.90134790184736024</v>
      </c>
      <c r="BR146" s="21">
        <f>EXP(-LN(2)/2)*BR145+(1-EXP(-LN(2)/2))/(LN(2)/2)*BL146*BO146*VLOOKUP('Données projet'!$B$11,Paramètres!$A$1:$I$89,3,0)*0.475*44/12</f>
        <v>1.1608597364967638E-16</v>
      </c>
      <c r="BS146" s="22">
        <f t="shared" si="117"/>
        <v>2.748534979921347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-3.4106051316484809E-13</v>
      </c>
      <c r="BZ146" s="13">
        <f>BY146*VLOOKUP('Données projet'!$B$12,Paramètres!$A$1:$I$89,3,0)*VLOOKUP('Données projet'!$B$12,Paramètres!$A$1:$I$89,5,0)</f>
        <v>-1.9065282685915009E-13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475.54809021014017</v>
      </c>
      <c r="CE146" s="59">
        <f t="shared" si="148"/>
        <v>593.51433014569966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0.78321052639648658</v>
      </c>
      <c r="CL146" s="21">
        <f>EXP(-LN(2)/25)*CL145+(1-EXP(-LN(2)/25))/(LN(2)/25)*Calculateur!CG146*Calculateur!CI146*VLOOKUP('Données projet'!$B$12,Paramètres!$A$1:$I$89,3,0)*0.475*44/12</f>
        <v>1.8572852798020354</v>
      </c>
      <c r="CM146" s="21">
        <f>EXP(-LN(2)/2)*CM145+(1-EXP(-LN(2)/2))/(LN(2)/2)*CG146*CJ146*VLOOKUP('Données projet'!$B$12,Paramètres!$A$1:$I$89,3,0)*0.475*44/12</f>
        <v>1.4148454222522343E-16</v>
      </c>
      <c r="CN146" s="22">
        <f t="shared" si="120"/>
        <v>2.6404958061985218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-1.1368683772161603E-13</v>
      </c>
      <c r="CU146" s="17">
        <f>CT146*VLOOKUP('Données projet'!$B$13,Paramètres!$A$1:$I$89,3,0)*VLOOKUP('Données projet'!$B$13,Paramètres!$A$1:$I$89,5,0)</f>
        <v>-5.3205440053716299E-14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226.0452828290525</v>
      </c>
      <c r="CZ146" s="59">
        <f t="shared" si="150"/>
        <v>179.89696397462069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0.96829043441732521</v>
      </c>
      <c r="DG146" s="21">
        <f>EXP(-LN(2)/25)*DG145+(1-EXP(-LN(2)/25))/(LN(2)/25)*Calculateur!DB146*Calculateur!DD146*VLOOKUP('Données projet'!$B$13,Paramètres!$A$1:$I$89,3,0)*0.475*44/12</f>
        <v>0.48603853886479753</v>
      </c>
      <c r="DH146" s="21">
        <f>EXP(-LN(2)/2)*DH145+(1-EXP(-LN(2)/2))/(LN(2)/2)*DB146*DE146*VLOOKUP('Données projet'!$B$13,Paramètres!$A$1:$I$89,3,0)*0.475*44/12</f>
        <v>1.0836708127242944E-16</v>
      </c>
      <c r="DI146" s="22">
        <f t="shared" si="123"/>
        <v>1.4543289732821227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1.1368683772161603E-13</v>
      </c>
      <c r="DP146" s="17">
        <f>DO146*VLOOKUP('Données projet'!$B$14,Paramètres!$A$1:$I$89,3,0)*VLOOKUP('Données projet'!$B$14,Paramètres!$A$1:$I$89,5,0)</f>
        <v>6.7984728957526396E-14</v>
      </c>
      <c r="DQ146" s="13">
        <f t="shared" si="151"/>
        <v>1.0682447123141398E-12</v>
      </c>
      <c r="DR146" s="20">
        <f t="shared" si="124"/>
        <v>1.978932943548152E-12</v>
      </c>
      <c r="DS146" s="59">
        <f t="shared" si="125"/>
        <v>293.3333333333353</v>
      </c>
      <c r="DT146" s="59">
        <f ca="1">AVERAGE(OFFSET($DS$3,0,0,'Données projet'!$E$14+1,1))-AVERAGE(OFFSET($H$3,0,0,'Données projet'!$E$14+1,1))</f>
        <v>252.81045065813976</v>
      </c>
      <c r="DU146" s="59">
        <f t="shared" si="152"/>
        <v>254.36590349790589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1.9261409860860836</v>
      </c>
      <c r="EB146" s="21">
        <f>EXP(-LN(2)/25)*EB145+(1-EXP(-LN(2)/25))/(LN(2)/25)*Calculateur!DW146*Calculateur!DY146*VLOOKUP('Données projet'!$B$14,Paramètres!$A$1:$I$89,3,0)*0.475*44/12</f>
        <v>0.7028643834079471</v>
      </c>
      <c r="EC146" s="21">
        <f>EXP(-LN(2)/2)*EC145+(1-EXP(-LN(2)/2))/(LN(2)/2)*DW146*DZ146*VLOOKUP('Données projet'!$B$14,Paramètres!$A$1:$I$89,3,0)*0.475*44/12</f>
        <v>5.6340645155469769E-17</v>
      </c>
      <c r="ED146" s="22">
        <f t="shared" si="126"/>
        <v>2.6290053694940307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-2.8421709430404007E-13</v>
      </c>
      <c r="EK146" s="17">
        <f>EJ146*VLOOKUP('Données projet'!$B$15,Paramètres!$A$1:$I$89,3,0)*VLOOKUP('Données projet'!$B$15,Paramètres!$A$1:$I$89,5,0)</f>
        <v>-2.0838797354372215E-13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296.91321813251051</v>
      </c>
      <c r="EP146" s="59">
        <f t="shared" si="154"/>
        <v>291.0718079639509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1.3811191582639768</v>
      </c>
      <c r="EW146" s="21">
        <f>EXP(-LN(2)/25)*EW145+(1-EXP(-LN(2)/25))/(LN(2)/25)*Calculateur!ER146*Calculateur!ET146*VLOOKUP('Données projet'!$B$15,Paramètres!$A$1:$I$89,3,0)*0.475*44/12</f>
        <v>0.67392678861765243</v>
      </c>
      <c r="EX146" s="21">
        <f>EXP(-LN(2)/2)*EX145+(1-EXP(-LN(2)/2))/(LN(2)/2)*ER146*EU146*VLOOKUP('Données projet'!$B$15,Paramètres!$A$1:$I$89,3,0)*0.475*44/12</f>
        <v>1.069811914026432E-16</v>
      </c>
      <c r="EY146" s="22">
        <f t="shared" si="129"/>
        <v>2.0550459468816293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>
        <f>FE146*VLOOKUP('Données projet'!$B$16,Paramètres!$A$1:$I$89,3,0)*VLOOKUP('Données projet'!$B$16,Paramètres!$A$1:$I$89,5,0)</f>
        <v>0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356.65981389369125</v>
      </c>
      <c r="FK146" s="59">
        <f t="shared" si="156"/>
        <v>231.92898690465887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0.87380288869790002</v>
      </c>
      <c r="FR146" s="21">
        <f>EXP(-LN(2)/25)*FR145+(1-EXP(-LN(2)/25))/(LN(2)/25)*Calculateur!FM146*Calculateur!FO146*VLOOKUP('Données projet'!$B$16,Paramètres!$A$1:$I$89,3,0)*0.475*44/12</f>
        <v>0.45743218524121143</v>
      </c>
      <c r="FS146" s="21">
        <f>EXP(-LN(2)/2)*FS145+(1-EXP(-LN(2)/2))/(LN(2)/2)*FM146*FP146*VLOOKUP('Données projet'!$B$16,Paramètres!$A$1:$I$89,3,0)*0.475*44/12</f>
        <v>9.3861094666174265E-17</v>
      </c>
      <c r="FT146" s="22">
        <f t="shared" si="132"/>
        <v>1.3312350739391114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>
        <f>FZ146*VLOOKUP('Données projet'!$B$17,Paramètres!$A$1:$I$89,3,0)*VLOOKUP('Données projet'!$B$17,Paramètres!$A$1:$I$89,5,0)</f>
        <v>0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337.76140497227715</v>
      </c>
      <c r="GF146" s="59">
        <f t="shared" si="158"/>
        <v>219.76562717496353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0.83347352460415047</v>
      </c>
      <c r="GM146" s="21">
        <f>EXP(-LN(2)/25)*GM145+(1-EXP(-LN(2)/25))/(LN(2)/25)*Calculateur!GH146*Calculateur!GJ146*VLOOKUP('Données projet'!$B$17,Paramètres!$A$1:$I$89,3,0)*0.475*44/12</f>
        <v>0.43631993053777091</v>
      </c>
      <c r="GN146" s="21">
        <f>EXP(-LN(2)/2)*GN145+(1-EXP(-LN(2)/2))/(LN(2)/2)*GH146*GK146*VLOOKUP('Données projet'!$B$17,Paramètres!$A$1:$I$89,3,0)*0.475*44/12</f>
        <v>8.952904414312009E-17</v>
      </c>
      <c r="GO146" s="21">
        <f t="shared" si="135"/>
        <v>1.2697934551419214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312.53389584272878</v>
      </c>
      <c r="T147" s="59">
        <f t="shared" si="142"/>
        <v>203.5274665601915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0.76441157733884346</v>
      </c>
      <c r="AA147" s="21">
        <f>EXP(-LN(2)/25)*AA146+(1-EXP(-LN(2)/25))/(LN(2)/25)*Calculateur!V147*Calculateur!X147*VLOOKUP('Données projet'!$B$9,Paramètres!$A$1:$I$89,3,0)*0.475*44/12</f>
        <v>0.39700882044104052</v>
      </c>
      <c r="AB147" s="21">
        <f>EXP(-LN(2)/2)*AB146+(1-EXP(-LN(2)/2))/(LN(2)/2)*V147*Y147*VLOOKUP('Données projet'!$B$9,Paramètres!$A$1:$I$89,3,0)*0.475*44/12</f>
        <v>5.922229782502415E-17</v>
      </c>
      <c r="AC147" s="22">
        <f t="shared" si="111"/>
        <v>1.161420397779884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5.6843418860808015E-14</v>
      </c>
      <c r="AJ147" s="13">
        <f>AI147*VLOOKUP('Données projet'!$B$10,Paramètres!$A$1:$I$89,3,0)*VLOOKUP('Données projet'!$B$10,Paramètres!$A$1:$I$89,5,0)</f>
        <v>4.9658410716801891E-14</v>
      </c>
      <c r="AK147" s="13">
        <f t="shared" si="143"/>
        <v>8.0934058173791862E-13</v>
      </c>
      <c r="AL147" s="20">
        <f t="shared" si="112"/>
        <v>1.4960899118586383E-12</v>
      </c>
      <c r="AM147" s="59">
        <f t="shared" si="113"/>
        <v>293.33333333333479</v>
      </c>
      <c r="AN147" s="59">
        <f ca="1">AVERAGE(OFFSET($AM$3,0,0,'Données projet'!$E$10+1,1))-AVERAGE(OFFSET($H$3,0,0,'Données projet'!$E$10+1,1))</f>
        <v>243.05628303465238</v>
      </c>
      <c r="AO147" s="59">
        <f t="shared" si="144"/>
        <v>352.47096767658394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0.82574414054820411</v>
      </c>
      <c r="AV147" s="21">
        <f>EXP(-LN(2)/25)*AV146+(1-EXP(-LN(2)/25))/(LN(2)/25)*Calculateur!AQ147*Calculateur!AS147*VLOOKUP('Données projet'!$B$10,Paramètres!$A$1:$I$89,3,0)*0.475*44/12</f>
        <v>0.76809566844027877</v>
      </c>
      <c r="AW147" s="21">
        <f>EXP(-LN(2)/2)*AW146+(1-EXP(-LN(2)/2))/(LN(2)/2)*AQ147*AT147*VLOOKUP('Données projet'!$B$10,Paramètres!$A$1:$I$89,3,0)*0.475*44/12</f>
        <v>7.8223318080357337E-17</v>
      </c>
      <c r="AX147" s="21">
        <f t="shared" si="114"/>
        <v>1.5938398089884829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-2.8421709430404007E-13</v>
      </c>
      <c r="BE147" s="13">
        <f>BD147*VLOOKUP('Données projet'!$B$11,Paramètres!$A$1:$I$89,3,0)*VLOOKUP('Données projet'!$B$11,Paramètres!$A$1:$I$89,5,0)</f>
        <v>-2.2612312022829427E-13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325.72928944930294</v>
      </c>
      <c r="BJ147" s="59">
        <f t="shared" si="146"/>
        <v>318.38876834819752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1.810964866145824</v>
      </c>
      <c r="BQ147" s="21">
        <f>EXP(-LN(2)/25)*BQ146+(1-EXP(-LN(2)/25))/(LN(2)/25)*Calculateur!BL147*Calculateur!BN147*VLOOKUP('Données projet'!$B$11,Paramètres!$A$1:$I$89,3,0)*0.475*44/12</f>
        <v>0.87670049607151812</v>
      </c>
      <c r="BR147" s="21">
        <f>EXP(-LN(2)/2)*BR146+(1-EXP(-LN(2)/2))/(LN(2)/2)*BL147*BO147*VLOOKUP('Données projet'!$B$11,Paramètres!$A$1:$I$89,3,0)*0.475*44/12</f>
        <v>8.2085179168329042E-17</v>
      </c>
      <c r="BS147" s="22">
        <f t="shared" si="117"/>
        <v>2.6876653622173423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-3.4106051316484809E-13</v>
      </c>
      <c r="BZ147" s="13">
        <f>BY147*VLOOKUP('Données projet'!$B$12,Paramètres!$A$1:$I$89,3,0)*VLOOKUP('Données projet'!$B$12,Paramètres!$A$1:$I$89,5,0)</f>
        <v>-1.9065282685915009E-13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475.54809021014017</v>
      </c>
      <c r="CE147" s="59">
        <f t="shared" si="148"/>
        <v>593.51433014569966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0.76785224568510246</v>
      </c>
      <c r="CL147" s="21">
        <f>EXP(-LN(2)/25)*CL146+(1-EXP(-LN(2)/25))/(LN(2)/25)*Calculateur!CG147*Calculateur!CI147*VLOOKUP('Données projet'!$B$12,Paramètres!$A$1:$I$89,3,0)*0.475*44/12</f>
        <v>1.8064977161554607</v>
      </c>
      <c r="CM147" s="21">
        <f>EXP(-LN(2)/2)*CM146+(1-EXP(-LN(2)/2))/(LN(2)/2)*CG147*CJ147*VLOOKUP('Données projet'!$B$12,Paramètres!$A$1:$I$89,3,0)*0.475*44/12</f>
        <v>1.0004467924052991E-16</v>
      </c>
      <c r="CN147" s="22">
        <f t="shared" si="120"/>
        <v>2.5743499618405634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-1.1368683772161603E-13</v>
      </c>
      <c r="CU147" s="17">
        <f>CT147*VLOOKUP('Données projet'!$B$13,Paramètres!$A$1:$I$89,3,0)*VLOOKUP('Données projet'!$B$13,Paramètres!$A$1:$I$89,5,0)</f>
        <v>-5.3205440053716299E-14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226.0452828290525</v>
      </c>
      <c r="CZ147" s="59">
        <f t="shared" si="150"/>
        <v>179.89696397462069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0.94930284959724964</v>
      </c>
      <c r="DG147" s="21">
        <f>EXP(-LN(2)/25)*DG146+(1-EXP(-LN(2)/25))/(LN(2)/25)*Calculateur!DB147*Calculateur!DD147*VLOOKUP('Données projet'!$B$13,Paramètres!$A$1:$I$89,3,0)*0.475*44/12</f>
        <v>0.47274778945988372</v>
      </c>
      <c r="DH147" s="21">
        <f>EXP(-LN(2)/2)*DH146+(1-EXP(-LN(2)/2))/(LN(2)/2)*DB147*DE147*VLOOKUP('Données projet'!$B$13,Paramètres!$A$1:$I$89,3,0)*0.475*44/12</f>
        <v>7.6627098025128587E-17</v>
      </c>
      <c r="DI147" s="22">
        <f t="shared" si="123"/>
        <v>1.4220506390571335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1.1368683772161603E-13</v>
      </c>
      <c r="DP147" s="17">
        <f>DO147*VLOOKUP('Données projet'!$B$14,Paramètres!$A$1:$I$89,3,0)*VLOOKUP('Données projet'!$B$14,Paramètres!$A$1:$I$89,5,0)</f>
        <v>6.7984728957526396E-14</v>
      </c>
      <c r="DQ147" s="13">
        <f t="shared" si="151"/>
        <v>1.0682447123141398E-12</v>
      </c>
      <c r="DR147" s="20">
        <f t="shared" si="124"/>
        <v>1.978932943548152E-12</v>
      </c>
      <c r="DS147" s="59">
        <f t="shared" si="125"/>
        <v>293.3333333333353</v>
      </c>
      <c r="DT147" s="59">
        <f ca="1">AVERAGE(OFFSET($DS$3,0,0,'Données projet'!$E$14+1,1))-AVERAGE(OFFSET($H$3,0,0,'Données projet'!$E$14+1,1))</f>
        <v>252.81045065813976</v>
      </c>
      <c r="DU147" s="59">
        <f t="shared" si="152"/>
        <v>254.36590349790589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1.8883705361789322</v>
      </c>
      <c r="EB147" s="21">
        <f>EXP(-LN(2)/25)*EB146+(1-EXP(-LN(2)/25))/(LN(2)/25)*Calculateur!DW147*Calculateur!DY147*VLOOKUP('Données projet'!$B$14,Paramètres!$A$1:$I$89,3,0)*0.475*44/12</f>
        <v>0.68364451988162533</v>
      </c>
      <c r="EC147" s="21">
        <f>EXP(-LN(2)/2)*EC146+(1-EXP(-LN(2)/2))/(LN(2)/2)*DW147*DZ147*VLOOKUP('Données projet'!$B$14,Paramètres!$A$1:$I$89,3,0)*0.475*44/12</f>
        <v>3.9838852245857681E-17</v>
      </c>
      <c r="ED147" s="22">
        <f t="shared" si="126"/>
        <v>2.5720150560605575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-2.8421709430404007E-13</v>
      </c>
      <c r="EK147" s="17">
        <f>EJ147*VLOOKUP('Données projet'!$B$15,Paramètres!$A$1:$I$89,3,0)*VLOOKUP('Données projet'!$B$15,Paramètres!$A$1:$I$89,5,0)</f>
        <v>-2.0838797354372215E-13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296.91321813251051</v>
      </c>
      <c r="EP147" s="59">
        <f t="shared" si="154"/>
        <v>291.0718079639509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1.3540362539699267</v>
      </c>
      <c r="EW147" s="21">
        <f>EXP(-LN(2)/25)*EW146+(1-EXP(-LN(2)/25))/(LN(2)/25)*Calculateur!ER147*Calculateur!ET147*VLOOKUP('Données projet'!$B$15,Paramètres!$A$1:$I$89,3,0)*0.475*44/12</f>
        <v>0.65549822514263323</v>
      </c>
      <c r="EX147" s="21">
        <f>EXP(-LN(2)/2)*EX146+(1-EXP(-LN(2)/2))/(LN(2)/2)*ER147*EU147*VLOOKUP('Données projet'!$B$15,Paramètres!$A$1:$I$89,3,0)*0.475*44/12</f>
        <v>7.5647125900224985E-17</v>
      </c>
      <c r="EY147" s="22">
        <f t="shared" si="129"/>
        <v>2.0095344791125598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>
        <f>FE147*VLOOKUP('Données projet'!$B$16,Paramètres!$A$1:$I$89,3,0)*VLOOKUP('Données projet'!$B$16,Paramètres!$A$1:$I$89,5,0)</f>
        <v>0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356.65981389369125</v>
      </c>
      <c r="FK147" s="59">
        <f t="shared" si="156"/>
        <v>231.92898690465887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0.85666814701767013</v>
      </c>
      <c r="FR147" s="21">
        <f>EXP(-LN(2)/25)*FR146+(1-EXP(-LN(2)/25))/(LN(2)/25)*Calculateur!FM147*Calculateur!FO147*VLOOKUP('Données projet'!$B$16,Paramètres!$A$1:$I$89,3,0)*0.475*44/12</f>
        <v>0.44492367808047734</v>
      </c>
      <c r="FS147" s="21">
        <f>EXP(-LN(2)/2)*FS146+(1-EXP(-LN(2)/2))/(LN(2)/2)*FM147*FP147*VLOOKUP('Données projet'!$B$16,Paramètres!$A$1:$I$89,3,0)*0.475*44/12</f>
        <v>6.6369816528044309E-17</v>
      </c>
      <c r="FT147" s="22">
        <f t="shared" si="132"/>
        <v>1.3015918250981475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>
        <f>FZ147*VLOOKUP('Données projet'!$B$17,Paramètres!$A$1:$I$89,3,0)*VLOOKUP('Données projet'!$B$17,Paramètres!$A$1:$I$89,5,0)</f>
        <v>0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337.76140497227715</v>
      </c>
      <c r="GF147" s="59">
        <f t="shared" si="158"/>
        <v>219.76562717496353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0.81712961715531585</v>
      </c>
      <c r="GM147" s="21">
        <f>EXP(-LN(2)/25)*GM146+(1-EXP(-LN(2)/25))/(LN(2)/25)*Calculateur!GH147*Calculateur!GJ147*VLOOKUP('Données projet'!$B$17,Paramètres!$A$1:$I$89,3,0)*0.475*44/12</f>
        <v>0.42438873909214764</v>
      </c>
      <c r="GN147" s="21">
        <f>EXP(-LN(2)/2)*GN146+(1-EXP(-LN(2)/2))/(LN(2)/2)*GH147*GK147*VLOOKUP('Données projet'!$B$17,Paramètres!$A$1:$I$89,3,0)*0.475*44/12</f>
        <v>6.3306594226749971E-17</v>
      </c>
      <c r="GO147" s="21">
        <f t="shared" si="135"/>
        <v>1.2415183562474634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312.53389584272878</v>
      </c>
      <c r="T148" s="59">
        <f t="shared" si="142"/>
        <v>203.5274665601915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0.74942193255225309</v>
      </c>
      <c r="AA148" s="21">
        <f>EXP(-LN(2)/25)*AA147+(1-EXP(-LN(2)/25))/(LN(2)/25)*Calculateur!V148*Calculateur!X148*VLOOKUP('Données projet'!$B$9,Paramètres!$A$1:$I$89,3,0)*0.475*44/12</f>
        <v>0.38615259336829377</v>
      </c>
      <c r="AB148" s="21">
        <f>EXP(-LN(2)/2)*AB147+(1-EXP(-LN(2)/2))/(LN(2)/2)*V148*Y148*VLOOKUP('Données projet'!$B$9,Paramètres!$A$1:$I$89,3,0)*0.475*44/12</f>
        <v>4.1876488389523901E-17</v>
      </c>
      <c r="AC148" s="22">
        <f t="shared" si="111"/>
        <v>1.1355745259205468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5.6843418860808015E-14</v>
      </c>
      <c r="AJ148" s="13">
        <f>AI148*VLOOKUP('Données projet'!$B$10,Paramètres!$A$1:$I$89,3,0)*VLOOKUP('Données projet'!$B$10,Paramètres!$A$1:$I$89,5,0)</f>
        <v>4.9658410716801891E-14</v>
      </c>
      <c r="AK148" s="13">
        <f t="shared" si="143"/>
        <v>8.0934058173791862E-13</v>
      </c>
      <c r="AL148" s="20">
        <f t="shared" si="112"/>
        <v>1.4960899118586383E-12</v>
      </c>
      <c r="AM148" s="59">
        <f t="shared" si="113"/>
        <v>293.33333333333479</v>
      </c>
      <c r="AN148" s="59">
        <f ca="1">AVERAGE(OFFSET($AM$3,0,0,'Données projet'!$E$10+1,1))-AVERAGE(OFFSET($H$3,0,0,'Données projet'!$E$10+1,1))</f>
        <v>243.05628303465238</v>
      </c>
      <c r="AO148" s="59">
        <f t="shared" si="144"/>
        <v>352.47096767658394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0.80955180160624785</v>
      </c>
      <c r="AV148" s="21">
        <f>EXP(-LN(2)/25)*AV147+(1-EXP(-LN(2)/25))/(LN(2)/25)*Calculateur!AQ148*Calculateur!AS148*VLOOKUP('Données projet'!$B$10,Paramètres!$A$1:$I$89,3,0)*0.475*44/12</f>
        <v>0.74709205199438367</v>
      </c>
      <c r="AW148" s="21">
        <f>EXP(-LN(2)/2)*AW147+(1-EXP(-LN(2)/2))/(LN(2)/2)*AQ148*AT148*VLOOKUP('Données projet'!$B$10,Paramètres!$A$1:$I$89,3,0)*0.475*44/12</f>
        <v>5.5312238661532944E-17</v>
      </c>
      <c r="AX148" s="21">
        <f t="shared" si="114"/>
        <v>1.5566438536006315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-2.8421709430404007E-13</v>
      </c>
      <c r="BE148" s="13">
        <f>BD148*VLOOKUP('Données projet'!$B$11,Paramètres!$A$1:$I$89,3,0)*VLOOKUP('Données projet'!$B$11,Paramètres!$A$1:$I$89,5,0)</f>
        <v>-2.2612312022829427E-13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325.72928944930294</v>
      </c>
      <c r="BJ148" s="59">
        <f t="shared" si="146"/>
        <v>318.38876834819752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1.7754529497002045</v>
      </c>
      <c r="BQ148" s="21">
        <f>EXP(-LN(2)/25)*BQ147+(1-EXP(-LN(2)/25))/(LN(2)/25)*Calculateur!BL148*Calculateur!BN148*VLOOKUP('Données projet'!$B$11,Paramètres!$A$1:$I$89,3,0)*0.475*44/12</f>
        <v>0.85272707490276711</v>
      </c>
      <c r="BR148" s="21">
        <f>EXP(-LN(2)/2)*BR147+(1-EXP(-LN(2)/2))/(LN(2)/2)*BL148*BO148*VLOOKUP('Données projet'!$B$11,Paramètres!$A$1:$I$89,3,0)*0.475*44/12</f>
        <v>5.8042986824838191E-17</v>
      </c>
      <c r="BS148" s="22">
        <f t="shared" si="117"/>
        <v>2.6281800246029716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-3.4106051316484809E-13</v>
      </c>
      <c r="BZ148" s="13">
        <f>BY148*VLOOKUP('Données projet'!$B$12,Paramètres!$A$1:$I$89,3,0)*VLOOKUP('Données projet'!$B$12,Paramètres!$A$1:$I$89,5,0)</f>
        <v>-1.9065282685915009E-13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475.54809021014017</v>
      </c>
      <c r="CE148" s="59">
        <f t="shared" si="148"/>
        <v>593.51433014569966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0.75279513149084243</v>
      </c>
      <c r="CL148" s="21">
        <f>EXP(-LN(2)/25)*CL147+(1-EXP(-LN(2)/25))/(LN(2)/25)*Calculateur!CG148*Calculateur!CI148*VLOOKUP('Données projet'!$B$12,Paramètres!$A$1:$I$89,3,0)*0.475*44/12</f>
        <v>1.7570989411076037</v>
      </c>
      <c r="CM148" s="21">
        <f>EXP(-LN(2)/2)*CM147+(1-EXP(-LN(2)/2))/(LN(2)/2)*CG148*CJ148*VLOOKUP('Données projet'!$B$12,Paramètres!$A$1:$I$89,3,0)*0.475*44/12</f>
        <v>7.0742271112611716E-17</v>
      </c>
      <c r="CN148" s="22">
        <f t="shared" si="120"/>
        <v>2.509894072598446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-1.1368683772161603E-13</v>
      </c>
      <c r="CU148" s="17">
        <f>CT148*VLOOKUP('Données projet'!$B$13,Paramètres!$A$1:$I$89,3,0)*VLOOKUP('Données projet'!$B$13,Paramètres!$A$1:$I$89,5,0)</f>
        <v>-5.3205440053716299E-14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226.0452828290525</v>
      </c>
      <c r="CZ148" s="59">
        <f t="shared" si="150"/>
        <v>179.89696397462069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0.93068759973421256</v>
      </c>
      <c r="DG148" s="21">
        <f>EXP(-LN(2)/25)*DG147+(1-EXP(-LN(2)/25))/(LN(2)/25)*Calculateur!DB148*Calculateur!DD148*VLOOKUP('Données projet'!$B$13,Paramètres!$A$1:$I$89,3,0)*0.475*44/12</f>
        <v>0.4598204762963774</v>
      </c>
      <c r="DH148" s="21">
        <f>EXP(-LN(2)/2)*DH147+(1-EXP(-LN(2)/2))/(LN(2)/2)*DB148*DE148*VLOOKUP('Données projet'!$B$13,Paramètres!$A$1:$I$89,3,0)*0.475*44/12</f>
        <v>5.4183540636214733E-17</v>
      </c>
      <c r="DI148" s="22">
        <f t="shared" si="123"/>
        <v>1.3905080760305899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1.1368683772161603E-13</v>
      </c>
      <c r="DP148" s="17">
        <f>DO148*VLOOKUP('Données projet'!$B$14,Paramètres!$A$1:$I$89,3,0)*VLOOKUP('Données projet'!$B$14,Paramètres!$A$1:$I$89,5,0)</f>
        <v>6.7984728957526396E-14</v>
      </c>
      <c r="DQ148" s="13">
        <f t="shared" si="151"/>
        <v>1.0682447123141398E-12</v>
      </c>
      <c r="DR148" s="20">
        <f t="shared" si="124"/>
        <v>1.978932943548152E-12</v>
      </c>
      <c r="DS148" s="59">
        <f t="shared" si="125"/>
        <v>293.3333333333353</v>
      </c>
      <c r="DT148" s="59">
        <f ca="1">AVERAGE(OFFSET($DS$3,0,0,'Données projet'!$E$14+1,1))-AVERAGE(OFFSET($H$3,0,0,'Données projet'!$E$14+1,1))</f>
        <v>252.81045065813976</v>
      </c>
      <c r="DU148" s="59">
        <f t="shared" si="152"/>
        <v>254.36590349790589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1.8513407417567604</v>
      </c>
      <c r="EB148" s="21">
        <f>EXP(-LN(2)/25)*EB147+(1-EXP(-LN(2)/25))/(LN(2)/25)*Calculateur!DW148*Calculateur!DY148*VLOOKUP('Données projet'!$B$14,Paramètres!$A$1:$I$89,3,0)*0.475*44/12</f>
        <v>0.66495022453415953</v>
      </c>
      <c r="EC148" s="21">
        <f>EXP(-LN(2)/2)*EC147+(1-EXP(-LN(2)/2))/(LN(2)/2)*DW148*DZ148*VLOOKUP('Données projet'!$B$14,Paramètres!$A$1:$I$89,3,0)*0.475*44/12</f>
        <v>2.8170322577734884E-17</v>
      </c>
      <c r="ED148" s="22">
        <f t="shared" si="126"/>
        <v>2.5162909662909199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-2.8421709430404007E-13</v>
      </c>
      <c r="EK148" s="17">
        <f>EJ148*VLOOKUP('Données projet'!$B$15,Paramètres!$A$1:$I$89,3,0)*VLOOKUP('Données projet'!$B$15,Paramètres!$A$1:$I$89,5,0)</f>
        <v>-2.0838797354372215E-13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296.91321813251051</v>
      </c>
      <c r="EP148" s="59">
        <f t="shared" si="154"/>
        <v>291.0718079639509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1.3274844289101424</v>
      </c>
      <c r="EW148" s="21">
        <f>EXP(-LN(2)/25)*EW147+(1-EXP(-LN(2)/25))/(LN(2)/25)*Calculateur!ER148*Calculateur!ET148*VLOOKUP('Données projet'!$B$15,Paramètres!$A$1:$I$89,3,0)*0.475*44/12</f>
        <v>0.63757359170495442</v>
      </c>
      <c r="EX148" s="21">
        <f>EXP(-LN(2)/2)*EX147+(1-EXP(-LN(2)/2))/(LN(2)/2)*ER148*EU148*VLOOKUP('Données projet'!$B$15,Paramètres!$A$1:$I$89,3,0)*0.475*44/12</f>
        <v>5.3490595701321601E-17</v>
      </c>
      <c r="EY148" s="22">
        <f t="shared" si="129"/>
        <v>1.9650580206150967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>
        <f>FE148*VLOOKUP('Données projet'!$B$16,Paramètres!$A$1:$I$89,3,0)*VLOOKUP('Données projet'!$B$16,Paramètres!$A$1:$I$89,5,0)</f>
        <v>0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356.65981389369125</v>
      </c>
      <c r="FK148" s="59">
        <f t="shared" si="156"/>
        <v>231.92898690465887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0.83986940717062919</v>
      </c>
      <c r="FR148" s="21">
        <f>EXP(-LN(2)/25)*FR147+(1-EXP(-LN(2)/25))/(LN(2)/25)*Calculateur!FM148*Calculateur!FO148*VLOOKUP('Données projet'!$B$16,Paramètres!$A$1:$I$89,3,0)*0.475*44/12</f>
        <v>0.43275721670584733</v>
      </c>
      <c r="FS148" s="21">
        <f>EXP(-LN(2)/2)*FS147+(1-EXP(-LN(2)/2))/(LN(2)/2)*FM148*FP148*VLOOKUP('Données projet'!$B$16,Paramètres!$A$1:$I$89,3,0)*0.475*44/12</f>
        <v>4.6930547333087133E-17</v>
      </c>
      <c r="FT148" s="22">
        <f t="shared" si="132"/>
        <v>1.2726266238764765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>
        <f>FZ148*VLOOKUP('Données projet'!$B$17,Paramètres!$A$1:$I$89,3,0)*VLOOKUP('Données projet'!$B$17,Paramètres!$A$1:$I$89,5,0)</f>
        <v>0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337.76140497227715</v>
      </c>
      <c r="GF148" s="59">
        <f t="shared" si="158"/>
        <v>219.76562717496353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0.80110620376275365</v>
      </c>
      <c r="GM148" s="21">
        <f>EXP(-LN(2)/25)*GM147+(1-EXP(-LN(2)/25))/(LN(2)/25)*Calculateur!GH148*Calculateur!GJ148*VLOOKUP('Données projet'!$B$17,Paramètres!$A$1:$I$89,3,0)*0.475*44/12</f>
        <v>0.41278380670403902</v>
      </c>
      <c r="GN148" s="21">
        <f>EXP(-LN(2)/2)*GN147+(1-EXP(-LN(2)/2))/(LN(2)/2)*GH148*GK148*VLOOKUP('Données projet'!$B$17,Paramètres!$A$1:$I$89,3,0)*0.475*44/12</f>
        <v>4.4764522071560045E-17</v>
      </c>
      <c r="GO148" s="21">
        <f t="shared" si="135"/>
        <v>1.2138900104667927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312.53389584272878</v>
      </c>
      <c r="T149" s="59">
        <f t="shared" si="142"/>
        <v>203.5274665601915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0.73472622555714717</v>
      </c>
      <c r="AA149" s="21">
        <f>EXP(-LN(2)/25)*AA148+(1-EXP(-LN(2)/25))/(LN(2)/25)*Calculateur!V149*Calculateur!X149*VLOOKUP('Données projet'!$B$9,Paramètres!$A$1:$I$89,3,0)*0.475*44/12</f>
        <v>0.37559323039575548</v>
      </c>
      <c r="AB149" s="21">
        <f>EXP(-LN(2)/2)*AB148+(1-EXP(-LN(2)/2))/(LN(2)/2)*V149*Y149*VLOOKUP('Données projet'!$B$9,Paramètres!$A$1:$I$89,3,0)*0.475*44/12</f>
        <v>2.9611148912512075E-17</v>
      </c>
      <c r="AC149" s="22">
        <f t="shared" si="111"/>
        <v>1.1103194559529026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5.6843418860808015E-14</v>
      </c>
      <c r="AJ149" s="13">
        <f>AI149*VLOOKUP('Données projet'!$B$10,Paramètres!$A$1:$I$89,3,0)*VLOOKUP('Données projet'!$B$10,Paramètres!$A$1:$I$89,5,0)</f>
        <v>4.9658410716801891E-14</v>
      </c>
      <c r="AK149" s="13">
        <f t="shared" si="143"/>
        <v>8.0934058173791862E-13</v>
      </c>
      <c r="AL149" s="20">
        <f t="shared" si="112"/>
        <v>1.4960899118586383E-12</v>
      </c>
      <c r="AM149" s="59">
        <f t="shared" si="113"/>
        <v>293.33333333333479</v>
      </c>
      <c r="AN149" s="59">
        <f ca="1">AVERAGE(OFFSET($AM$3,0,0,'Données projet'!$E$10+1,1))-AVERAGE(OFFSET($H$3,0,0,'Données projet'!$E$10+1,1))</f>
        <v>243.05628303465238</v>
      </c>
      <c r="AO149" s="59">
        <f t="shared" si="144"/>
        <v>352.47096767658394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0.79367698455459179</v>
      </c>
      <c r="AV149" s="21">
        <f>EXP(-LN(2)/25)*AV148+(1-EXP(-LN(2)/25))/(LN(2)/25)*Calculateur!AQ149*Calculateur!AS149*VLOOKUP('Données projet'!$B$10,Paramètres!$A$1:$I$89,3,0)*0.475*44/12</f>
        <v>0.72666278054473377</v>
      </c>
      <c r="AW149" s="21">
        <f>EXP(-LN(2)/2)*AW148+(1-EXP(-LN(2)/2))/(LN(2)/2)*AQ149*AT149*VLOOKUP('Données projet'!$B$10,Paramètres!$A$1:$I$89,3,0)*0.475*44/12</f>
        <v>3.9111659040178675E-17</v>
      </c>
      <c r="AX149" s="21">
        <f t="shared" si="114"/>
        <v>1.5203397650993256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-2.8421709430404007E-13</v>
      </c>
      <c r="BE149" s="13">
        <f>BD149*VLOOKUP('Données projet'!$B$11,Paramètres!$A$1:$I$89,3,0)*VLOOKUP('Données projet'!$B$11,Paramètres!$A$1:$I$89,5,0)</f>
        <v>-2.2612312022829427E-13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325.72928944930294</v>
      </c>
      <c r="BJ149" s="59">
        <f t="shared" si="146"/>
        <v>318.38876834819752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1.7406374002759535</v>
      </c>
      <c r="BQ149" s="21">
        <f>EXP(-LN(2)/25)*BQ148+(1-EXP(-LN(2)/25))/(LN(2)/25)*Calculateur!BL149*Calculateur!BN149*VLOOKUP('Données projet'!$B$11,Paramètres!$A$1:$I$89,3,0)*0.475*44/12</f>
        <v>0.82940920819658304</v>
      </c>
      <c r="BR149" s="21">
        <f>EXP(-LN(2)/2)*BR148+(1-EXP(-LN(2)/2))/(LN(2)/2)*BL149*BO149*VLOOKUP('Données projet'!$B$11,Paramètres!$A$1:$I$89,3,0)*0.475*44/12</f>
        <v>4.1042589584164521E-17</v>
      </c>
      <c r="BS149" s="22">
        <f t="shared" si="117"/>
        <v>2.5700466084725364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-3.4106051316484809E-13</v>
      </c>
      <c r="BZ149" s="13">
        <f>BY149*VLOOKUP('Données projet'!$B$12,Paramètres!$A$1:$I$89,3,0)*VLOOKUP('Données projet'!$B$12,Paramètres!$A$1:$I$89,5,0)</f>
        <v>-1.9065282685915009E-13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475.54809021014017</v>
      </c>
      <c r="CE149" s="59">
        <f t="shared" si="148"/>
        <v>593.51433014569966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0.73803327812199893</v>
      </c>
      <c r="CL149" s="21">
        <f>EXP(-LN(2)/25)*CL148+(1-EXP(-LN(2)/25))/(LN(2)/25)*Calculateur!CG149*Calculateur!CI149*VLOOKUP('Données projet'!$B$12,Paramètres!$A$1:$I$89,3,0)*0.475*44/12</f>
        <v>1.7090509781611989</v>
      </c>
      <c r="CM149" s="21">
        <f>EXP(-LN(2)/2)*CM148+(1-EXP(-LN(2)/2))/(LN(2)/2)*CG149*CJ149*VLOOKUP('Données projet'!$B$12,Paramètres!$A$1:$I$89,3,0)*0.475*44/12</f>
        <v>5.0022339620264955E-17</v>
      </c>
      <c r="CN149" s="22">
        <f t="shared" si="120"/>
        <v>2.4470842562831976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-1.1368683772161603E-13</v>
      </c>
      <c r="CU149" s="17">
        <f>CT149*VLOOKUP('Données projet'!$B$13,Paramètres!$A$1:$I$89,3,0)*VLOOKUP('Données projet'!$B$13,Paramètres!$A$1:$I$89,5,0)</f>
        <v>-5.3205440053716299E-14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226.0452828290525</v>
      </c>
      <c r="CZ149" s="59">
        <f t="shared" si="150"/>
        <v>179.89696397462069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0.91243738356680837</v>
      </c>
      <c r="DG149" s="21">
        <f>EXP(-LN(2)/25)*DG148+(1-EXP(-LN(2)/25))/(LN(2)/25)*Calculateur!DB149*Calculateur!DD149*VLOOKUP('Données projet'!$B$13,Paramètres!$A$1:$I$89,3,0)*0.475*44/12</f>
        <v>0.44724666119114503</v>
      </c>
      <c r="DH149" s="21">
        <f>EXP(-LN(2)/2)*DH148+(1-EXP(-LN(2)/2))/(LN(2)/2)*DB149*DE149*VLOOKUP('Données projet'!$B$13,Paramètres!$A$1:$I$89,3,0)*0.475*44/12</f>
        <v>3.83135490125643E-17</v>
      </c>
      <c r="DI149" s="22">
        <f t="shared" si="123"/>
        <v>1.3596840447579535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1.1368683772161603E-13</v>
      </c>
      <c r="DP149" s="17">
        <f>DO149*VLOOKUP('Données projet'!$B$14,Paramètres!$A$1:$I$89,3,0)*VLOOKUP('Données projet'!$B$14,Paramètres!$A$1:$I$89,5,0)</f>
        <v>6.7984728957526396E-14</v>
      </c>
      <c r="DQ149" s="13">
        <f t="shared" si="151"/>
        <v>1.0682447123141398E-12</v>
      </c>
      <c r="DR149" s="20">
        <f t="shared" si="124"/>
        <v>1.978932943548152E-12</v>
      </c>
      <c r="DS149" s="59">
        <f t="shared" si="125"/>
        <v>293.3333333333353</v>
      </c>
      <c r="DT149" s="59">
        <f ca="1">AVERAGE(OFFSET($DS$3,0,0,'Données projet'!$E$14+1,1))-AVERAGE(OFFSET($H$3,0,0,'Données projet'!$E$14+1,1))</f>
        <v>252.81045065813976</v>
      </c>
      <c r="DU149" s="59">
        <f t="shared" si="152"/>
        <v>254.36590349790589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1.815037079017263</v>
      </c>
      <c r="EB149" s="21">
        <f>EXP(-LN(2)/25)*EB148+(1-EXP(-LN(2)/25))/(LN(2)/25)*Calculateur!DW149*Calculateur!DY149*VLOOKUP('Données projet'!$B$14,Paramètres!$A$1:$I$89,3,0)*0.475*44/12</f>
        <v>0.64676712567606043</v>
      </c>
      <c r="EC149" s="21">
        <f>EXP(-LN(2)/2)*EC148+(1-EXP(-LN(2)/2))/(LN(2)/2)*DW149*DZ149*VLOOKUP('Données projet'!$B$14,Paramètres!$A$1:$I$89,3,0)*0.475*44/12</f>
        <v>1.9919426122928841E-17</v>
      </c>
      <c r="ED149" s="22">
        <f t="shared" si="126"/>
        <v>2.4618042046933235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-2.8421709430404007E-13</v>
      </c>
      <c r="EK149" s="17">
        <f>EJ149*VLOOKUP('Données projet'!$B$15,Paramètres!$A$1:$I$89,3,0)*VLOOKUP('Données projet'!$B$15,Paramètres!$A$1:$I$89,5,0)</f>
        <v>-2.0838797354372215E-13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296.91321813251051</v>
      </c>
      <c r="EP149" s="59">
        <f t="shared" si="154"/>
        <v>291.0718079639509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1.3014532689447664</v>
      </c>
      <c r="EW149" s="21">
        <f>EXP(-LN(2)/25)*EW148+(1-EXP(-LN(2)/25))/(LN(2)/25)*Calculateur!ER149*Calculateur!ET149*VLOOKUP('Données projet'!$B$15,Paramètres!$A$1:$I$89,3,0)*0.475*44/12</f>
        <v>0.62013910831124441</v>
      </c>
      <c r="EX149" s="21">
        <f>EXP(-LN(2)/2)*EX148+(1-EXP(-LN(2)/2))/(LN(2)/2)*ER149*EU149*VLOOKUP('Données projet'!$B$15,Paramètres!$A$1:$I$89,3,0)*0.475*44/12</f>
        <v>3.7823562950112492E-17</v>
      </c>
      <c r="EY149" s="22">
        <f t="shared" si="129"/>
        <v>1.9215923772560108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>
        <f>FE149*VLOOKUP('Données projet'!$B$16,Paramètres!$A$1:$I$89,3,0)*VLOOKUP('Données projet'!$B$16,Paramètres!$A$1:$I$89,5,0)</f>
        <v>0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356.65981389369125</v>
      </c>
      <c r="FK149" s="59">
        <f t="shared" si="156"/>
        <v>231.92898690465887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0.82340008036576906</v>
      </c>
      <c r="FR149" s="21">
        <f>EXP(-LN(2)/25)*FR148+(1-EXP(-LN(2)/25))/(LN(2)/25)*Calculateur!FM149*Calculateur!FO149*VLOOKUP('Données projet'!$B$16,Paramètres!$A$1:$I$89,3,0)*0.475*44/12</f>
        <v>0.420923447857313</v>
      </c>
      <c r="FS149" s="21">
        <f>EXP(-LN(2)/2)*FS148+(1-EXP(-LN(2)/2))/(LN(2)/2)*FM149*FP149*VLOOKUP('Données projet'!$B$16,Paramètres!$A$1:$I$89,3,0)*0.475*44/12</f>
        <v>3.3184908264022154E-17</v>
      </c>
      <c r="FT149" s="22">
        <f t="shared" si="132"/>
        <v>1.244323528223082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>
        <f>FZ149*VLOOKUP('Données projet'!$B$17,Paramètres!$A$1:$I$89,3,0)*VLOOKUP('Données projet'!$B$17,Paramètres!$A$1:$I$89,5,0)</f>
        <v>0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337.76140497227715</v>
      </c>
      <c r="GF149" s="59">
        <f t="shared" si="158"/>
        <v>219.76562717496353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0.78539699973350252</v>
      </c>
      <c r="GM149" s="21">
        <f>EXP(-LN(2)/25)*GM148+(1-EXP(-LN(2)/25))/(LN(2)/25)*Calculateur!GH149*Calculateur!GJ149*VLOOKUP('Données projet'!$B$17,Paramètres!$A$1:$I$89,3,0)*0.475*44/12</f>
        <v>0.40149621180236011</v>
      </c>
      <c r="GN149" s="21">
        <f>EXP(-LN(2)/2)*GN148+(1-EXP(-LN(2)/2))/(LN(2)/2)*GH149*GK149*VLOOKUP('Données projet'!$B$17,Paramètres!$A$1:$I$89,3,0)*0.475*44/12</f>
        <v>3.1653297113374985E-17</v>
      </c>
      <c r="GO149" s="21">
        <f t="shared" si="135"/>
        <v>1.1868932115358626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312.53389584272878</v>
      </c>
      <c r="T150" s="59">
        <f t="shared" si="142"/>
        <v>203.5274665601915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0.72031869241271906</v>
      </c>
      <c r="AA150" s="21">
        <f>EXP(-LN(2)/25)*AA149+(1-EXP(-LN(2)/25))/(LN(2)/25)*Calculateur!V150*Calculateur!X150*VLOOKUP('Données projet'!$B$9,Paramètres!$A$1:$I$89,3,0)*0.475*44/12</f>
        <v>0.365322613758994</v>
      </c>
      <c r="AB150" s="21">
        <f>EXP(-LN(2)/2)*AB149+(1-EXP(-LN(2)/2))/(LN(2)/2)*V150*Y150*VLOOKUP('Données projet'!$B$9,Paramètres!$A$1:$I$89,3,0)*0.475*44/12</f>
        <v>2.0938244194761951E-17</v>
      </c>
      <c r="AC150" s="22">
        <f t="shared" si="111"/>
        <v>1.0856413061717132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5.6843418860808015E-14</v>
      </c>
      <c r="AJ150" s="13">
        <f>AI150*VLOOKUP('Données projet'!$B$10,Paramètres!$A$1:$I$89,3,0)*VLOOKUP('Données projet'!$B$10,Paramètres!$A$1:$I$89,5,0)</f>
        <v>4.9658410716801891E-14</v>
      </c>
      <c r="AK150" s="13">
        <f t="shared" si="143"/>
        <v>8.0934058173791862E-13</v>
      </c>
      <c r="AL150" s="20">
        <f t="shared" si="112"/>
        <v>1.4960899118586383E-12</v>
      </c>
      <c r="AM150" s="59">
        <f t="shared" si="113"/>
        <v>293.33333333333479</v>
      </c>
      <c r="AN150" s="59">
        <f ca="1">AVERAGE(OFFSET($AM$3,0,0,'Données projet'!$E$10+1,1))-AVERAGE(OFFSET($H$3,0,0,'Données projet'!$E$10+1,1))</f>
        <v>243.05628303465238</v>
      </c>
      <c r="AO150" s="59">
        <f t="shared" si="144"/>
        <v>352.47096767658394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0.77811346298263639</v>
      </c>
      <c r="AV150" s="21">
        <f>EXP(-LN(2)/25)*AV149+(1-EXP(-LN(2)/25))/(LN(2)/25)*Calculateur!AQ150*Calculateur!AS150*VLOOKUP('Données projet'!$B$10,Paramètres!$A$1:$I$89,3,0)*0.475*44/12</f>
        <v>0.70679214859720318</v>
      </c>
      <c r="AW150" s="21">
        <f>EXP(-LN(2)/2)*AW149+(1-EXP(-LN(2)/2))/(LN(2)/2)*AQ150*AT150*VLOOKUP('Données projet'!$B$10,Paramètres!$A$1:$I$89,3,0)*0.475*44/12</f>
        <v>2.7656119330766478E-17</v>
      </c>
      <c r="AX150" s="21">
        <f t="shared" si="114"/>
        <v>1.4849056115798396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-2.8421709430404007E-13</v>
      </c>
      <c r="BE150" s="13">
        <f>BD150*VLOOKUP('Données projet'!$B$11,Paramètres!$A$1:$I$89,3,0)*VLOOKUP('Données projet'!$B$11,Paramètres!$A$1:$I$89,5,0)</f>
        <v>-2.2612312022829427E-13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325.72928944930294</v>
      </c>
      <c r="BJ150" s="59">
        <f t="shared" si="146"/>
        <v>318.38876834819752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1.7065045625405235</v>
      </c>
      <c r="BQ150" s="21">
        <f>EXP(-LN(2)/25)*BQ149+(1-EXP(-LN(2)/25))/(LN(2)/25)*Calculateur!BL150*Calculateur!BN150*VLOOKUP('Données projet'!$B$11,Paramètres!$A$1:$I$89,3,0)*0.475*44/12</f>
        <v>0.80672896978171282</v>
      </c>
      <c r="BR150" s="21">
        <f>EXP(-LN(2)/2)*BR149+(1-EXP(-LN(2)/2))/(LN(2)/2)*BL150*BO150*VLOOKUP('Données projet'!$B$11,Paramètres!$A$1:$I$89,3,0)*0.475*44/12</f>
        <v>2.9021493412419095E-17</v>
      </c>
      <c r="BS150" s="22">
        <f t="shared" si="117"/>
        <v>2.5132335323222366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-3.4106051316484809E-13</v>
      </c>
      <c r="BZ150" s="13">
        <f>BY150*VLOOKUP('Données projet'!$B$12,Paramètres!$A$1:$I$89,3,0)*VLOOKUP('Données projet'!$B$12,Paramètres!$A$1:$I$89,5,0)</f>
        <v>-1.9065282685915009E-13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475.54809021014017</v>
      </c>
      <c r="CE150" s="59">
        <f t="shared" si="148"/>
        <v>593.51433014569966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0.72356089569387694</v>
      </c>
      <c r="CL150" s="21">
        <f>EXP(-LN(2)/25)*CL149+(1-EXP(-LN(2)/25))/(LN(2)/25)*Calculateur!CG150*Calculateur!CI150*VLOOKUP('Données projet'!$B$12,Paramètres!$A$1:$I$89,3,0)*0.475*44/12</f>
        <v>1.662316889288296</v>
      </c>
      <c r="CM150" s="21">
        <f>EXP(-LN(2)/2)*CM149+(1-EXP(-LN(2)/2))/(LN(2)/2)*CG150*CJ150*VLOOKUP('Données projet'!$B$12,Paramètres!$A$1:$I$89,3,0)*0.475*44/12</f>
        <v>3.5371135556305858E-17</v>
      </c>
      <c r="CN150" s="22">
        <f t="shared" si="120"/>
        <v>2.3858777849821728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-1.1368683772161603E-13</v>
      </c>
      <c r="CU150" s="17">
        <f>CT150*VLOOKUP('Données projet'!$B$13,Paramètres!$A$1:$I$89,3,0)*VLOOKUP('Données projet'!$B$13,Paramètres!$A$1:$I$89,5,0)</f>
        <v>-5.3205440053716299E-14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226.0452828290525</v>
      </c>
      <c r="CZ150" s="59">
        <f t="shared" si="150"/>
        <v>179.89696397462069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0.89454504300691429</v>
      </c>
      <c r="DG150" s="21">
        <f>EXP(-LN(2)/25)*DG149+(1-EXP(-LN(2)/25))/(LN(2)/25)*Calculateur!DB150*Calculateur!DD150*VLOOKUP('Données projet'!$B$13,Paramètres!$A$1:$I$89,3,0)*0.475*44/12</f>
        <v>0.43501667772119346</v>
      </c>
      <c r="DH150" s="21">
        <f>EXP(-LN(2)/2)*DH149+(1-EXP(-LN(2)/2))/(LN(2)/2)*DB150*DE150*VLOOKUP('Données projet'!$B$13,Paramètres!$A$1:$I$89,3,0)*0.475*44/12</f>
        <v>2.709177031810737E-17</v>
      </c>
      <c r="DI150" s="22">
        <f t="shared" si="123"/>
        <v>1.3295617207281079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1.1368683772161603E-13</v>
      </c>
      <c r="DP150" s="17">
        <f>DO150*VLOOKUP('Données projet'!$B$14,Paramètres!$A$1:$I$89,3,0)*VLOOKUP('Données projet'!$B$14,Paramètres!$A$1:$I$89,5,0)</f>
        <v>6.7984728957526396E-14</v>
      </c>
      <c r="DQ150" s="13">
        <f t="shared" si="151"/>
        <v>1.0682447123141398E-12</v>
      </c>
      <c r="DR150" s="20">
        <f t="shared" si="124"/>
        <v>1.978932943548152E-12</v>
      </c>
      <c r="DS150" s="59">
        <f t="shared" si="125"/>
        <v>293.3333333333353</v>
      </c>
      <c r="DT150" s="59">
        <f ca="1">AVERAGE(OFFSET($DS$3,0,0,'Données projet'!$E$14+1,1))-AVERAGE(OFFSET($H$3,0,0,'Données projet'!$E$14+1,1))</f>
        <v>252.81045065813976</v>
      </c>
      <c r="DU150" s="59">
        <f t="shared" si="152"/>
        <v>254.36590349790589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1.7794453089610391</v>
      </c>
      <c r="EB150" s="21">
        <f>EXP(-LN(2)/25)*EB149+(1-EXP(-LN(2)/25))/(LN(2)/25)*Calculateur!DW150*Calculateur!DY150*VLOOKUP('Données projet'!$B$14,Paramètres!$A$1:$I$89,3,0)*0.475*44/12</f>
        <v>0.62908124461244364</v>
      </c>
      <c r="EC150" s="21">
        <f>EXP(-LN(2)/2)*EC149+(1-EXP(-LN(2)/2))/(LN(2)/2)*DW150*DZ150*VLOOKUP('Données projet'!$B$14,Paramètres!$A$1:$I$89,3,0)*0.475*44/12</f>
        <v>1.4085161288867442E-17</v>
      </c>
      <c r="ED150" s="22">
        <f t="shared" si="126"/>
        <v>2.4085265535734828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-2.8421709430404007E-13</v>
      </c>
      <c r="EK150" s="17">
        <f>EJ150*VLOOKUP('Données projet'!$B$15,Paramètres!$A$1:$I$89,3,0)*VLOOKUP('Données projet'!$B$15,Paramètres!$A$1:$I$89,5,0)</f>
        <v>-2.0838797354372215E-13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296.91321813251051</v>
      </c>
      <c r="EP150" s="59">
        <f t="shared" si="154"/>
        <v>291.0718079639509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1.2759325641488717</v>
      </c>
      <c r="EW150" s="21">
        <f>EXP(-LN(2)/25)*EW149+(1-EXP(-LN(2)/25))/(LN(2)/25)*Calculateur!ER150*Calculateur!ET150*VLOOKUP('Données projet'!$B$15,Paramètres!$A$1:$I$89,3,0)*0.475*44/12</f>
        <v>0.60318137178277509</v>
      </c>
      <c r="EX150" s="21">
        <f>EXP(-LN(2)/2)*EX149+(1-EXP(-LN(2)/2))/(LN(2)/2)*ER150*EU150*VLOOKUP('Données projet'!$B$15,Paramètres!$A$1:$I$89,3,0)*0.475*44/12</f>
        <v>2.6745297850660801E-17</v>
      </c>
      <c r="EY150" s="22">
        <f t="shared" si="129"/>
        <v>1.8791139359316467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>
        <f>FE150*VLOOKUP('Données projet'!$B$16,Paramètres!$A$1:$I$89,3,0)*VLOOKUP('Données projet'!$B$16,Paramètres!$A$1:$I$89,5,0)</f>
        <v>0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356.65981389369125</v>
      </c>
      <c r="FK150" s="59">
        <f t="shared" si="156"/>
        <v>231.92898690465887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0.80725370701425481</v>
      </c>
      <c r="FR150" s="21">
        <f>EXP(-LN(2)/25)*FR149+(1-EXP(-LN(2)/25))/(LN(2)/25)*Calculateur!FM150*Calculateur!FO150*VLOOKUP('Données projet'!$B$16,Paramètres!$A$1:$I$89,3,0)*0.475*44/12</f>
        <v>0.40941327404025268</v>
      </c>
      <c r="FS150" s="21">
        <f>EXP(-LN(2)/2)*FS149+(1-EXP(-LN(2)/2))/(LN(2)/2)*FM150*FP150*VLOOKUP('Données projet'!$B$16,Paramètres!$A$1:$I$89,3,0)*0.475*44/12</f>
        <v>2.3465273666543566E-17</v>
      </c>
      <c r="FT150" s="22">
        <f t="shared" si="132"/>
        <v>1.2166669810545074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>
        <f>FZ150*VLOOKUP('Données projet'!$B$17,Paramètres!$A$1:$I$89,3,0)*VLOOKUP('Données projet'!$B$17,Paramètres!$A$1:$I$89,5,0)</f>
        <v>0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337.76140497227715</v>
      </c>
      <c r="GF150" s="59">
        <f t="shared" si="158"/>
        <v>219.76562717496353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0.76999584361359663</v>
      </c>
      <c r="GM150" s="21">
        <f>EXP(-LN(2)/25)*GM149+(1-EXP(-LN(2)/25))/(LN(2)/25)*Calculateur!GH150*Calculateur!GJ150*VLOOKUP('Données projet'!$B$17,Paramètres!$A$1:$I$89,3,0)*0.475*44/12</f>
        <v>0.39051727677685644</v>
      </c>
      <c r="GN150" s="21">
        <f>EXP(-LN(2)/2)*GN149+(1-EXP(-LN(2)/2))/(LN(2)/2)*GH150*GK150*VLOOKUP('Données projet'!$B$17,Paramètres!$A$1:$I$89,3,0)*0.475*44/12</f>
        <v>2.2382261035780023E-17</v>
      </c>
      <c r="GO150" s="21">
        <f t="shared" si="135"/>
        <v>1.1605131203904531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312.53389584272878</v>
      </c>
      <c r="T151" s="59">
        <f t="shared" si="142"/>
        <v>203.5274665601915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0.7061936822055257</v>
      </c>
      <c r="AA151" s="21">
        <f>EXP(-LN(2)/25)*AA150+(1-EXP(-LN(2)/25))/(LN(2)/25)*Calculateur!V151*Calculateur!X151*VLOOKUP('Données projet'!$B$9,Paramètres!$A$1:$I$89,3,0)*0.475*44/12</f>
        <v>0.35533284767427298</v>
      </c>
      <c r="AB151" s="21">
        <f>EXP(-LN(2)/2)*AB150+(1-EXP(-LN(2)/2))/(LN(2)/2)*V151*Y151*VLOOKUP('Données projet'!$B$9,Paramètres!$A$1:$I$89,3,0)*0.475*44/12</f>
        <v>1.4805574456256037E-17</v>
      </c>
      <c r="AC151" s="22">
        <f t="shared" si="111"/>
        <v>1.0615265298797987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5.6843418860808015E-14</v>
      </c>
      <c r="AJ151" s="13">
        <f>AI151*VLOOKUP('Données projet'!$B$10,Paramètres!$A$1:$I$89,3,0)*VLOOKUP('Données projet'!$B$10,Paramètres!$A$1:$I$89,5,0)</f>
        <v>4.9658410716801891E-14</v>
      </c>
      <c r="AK151" s="13">
        <f t="shared" si="143"/>
        <v>8.0934058173791862E-13</v>
      </c>
      <c r="AL151" s="20">
        <f t="shared" si="112"/>
        <v>1.4960899118586383E-12</v>
      </c>
      <c r="AM151" s="59">
        <f t="shared" si="113"/>
        <v>293.33333333333479</v>
      </c>
      <c r="AN151" s="59">
        <f ca="1">AVERAGE(OFFSET($AM$3,0,0,'Données projet'!$E$10+1,1))-AVERAGE(OFFSET($H$3,0,0,'Données projet'!$E$10+1,1))</f>
        <v>243.05628303465238</v>
      </c>
      <c r="AO151" s="59">
        <f t="shared" si="144"/>
        <v>352.47096767658394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0.76285513257589621</v>
      </c>
      <c r="AV151" s="21">
        <f>EXP(-LN(2)/25)*AV150+(1-EXP(-LN(2)/25))/(LN(2)/25)*Calculateur!AQ151*Calculateur!AS151*VLOOKUP('Données projet'!$B$10,Paramètres!$A$1:$I$89,3,0)*0.475*44/12</f>
        <v>0.68746488012522899</v>
      </c>
      <c r="AW151" s="21">
        <f>EXP(-LN(2)/2)*AW150+(1-EXP(-LN(2)/2))/(LN(2)/2)*AQ151*AT151*VLOOKUP('Données projet'!$B$10,Paramètres!$A$1:$I$89,3,0)*0.475*44/12</f>
        <v>1.955582952008934E-17</v>
      </c>
      <c r="AX151" s="21">
        <f t="shared" si="114"/>
        <v>1.4503200127011251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-2.8421709430404007E-13</v>
      </c>
      <c r="BE151" s="13">
        <f>BD151*VLOOKUP('Données projet'!$B$11,Paramètres!$A$1:$I$89,3,0)*VLOOKUP('Données projet'!$B$11,Paramètres!$A$1:$I$89,5,0)</f>
        <v>-2.2612312022829427E-13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325.72928944930294</v>
      </c>
      <c r="BJ151" s="59">
        <f t="shared" si="146"/>
        <v>318.38876834819752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1.6730410489341101</v>
      </c>
      <c r="BQ151" s="21">
        <f>EXP(-LN(2)/25)*BQ150+(1-EXP(-LN(2)/25))/(LN(2)/25)*Calculateur!BL151*Calculateur!BN151*VLOOKUP('Données projet'!$B$11,Paramètres!$A$1:$I$89,3,0)*0.475*44/12</f>
        <v>0.78466892367899921</v>
      </c>
      <c r="BR151" s="21">
        <f>EXP(-LN(2)/2)*BR150+(1-EXP(-LN(2)/2))/(LN(2)/2)*BL151*BO151*VLOOKUP('Données projet'!$B$11,Paramètres!$A$1:$I$89,3,0)*0.475*44/12</f>
        <v>2.0521294792082261E-17</v>
      </c>
      <c r="BS151" s="22">
        <f t="shared" si="117"/>
        <v>2.4577099726131095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-3.4106051316484809E-13</v>
      </c>
      <c r="BZ151" s="13">
        <f>BY151*VLOOKUP('Données projet'!$B$12,Paramètres!$A$1:$I$89,3,0)*VLOOKUP('Données projet'!$B$12,Paramètres!$A$1:$I$89,5,0)</f>
        <v>-1.9065282685915009E-13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475.54809021014017</v>
      </c>
      <c r="CE151" s="59">
        <f t="shared" si="148"/>
        <v>593.51433014569966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0.70937230785788885</v>
      </c>
      <c r="CL151" s="21">
        <f>EXP(-LN(2)/25)*CL150+(1-EXP(-LN(2)/25))/(LN(2)/25)*Calculateur!CG151*Calculateur!CI151*VLOOKUP('Données projet'!$B$12,Paramètres!$A$1:$I$89,3,0)*0.475*44/12</f>
        <v>1.6168607465332616</v>
      </c>
      <c r="CM151" s="21">
        <f>EXP(-LN(2)/2)*CM150+(1-EXP(-LN(2)/2))/(LN(2)/2)*CG151*CJ151*VLOOKUP('Données projet'!$B$12,Paramètres!$A$1:$I$89,3,0)*0.475*44/12</f>
        <v>2.5011169810132477E-17</v>
      </c>
      <c r="CN151" s="22">
        <f t="shared" si="120"/>
        <v>2.3262330543911505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-1.1368683772161603E-13</v>
      </c>
      <c r="CU151" s="17">
        <f>CT151*VLOOKUP('Données projet'!$B$13,Paramètres!$A$1:$I$89,3,0)*VLOOKUP('Données projet'!$B$13,Paramètres!$A$1:$I$89,5,0)</f>
        <v>-5.3205440053716299E-14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226.0452828290525</v>
      </c>
      <c r="CZ151" s="59">
        <f t="shared" si="150"/>
        <v>179.89696397462069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0.87700356033214955</v>
      </c>
      <c r="DG151" s="21">
        <f>EXP(-LN(2)/25)*DG150+(1-EXP(-LN(2)/25))/(LN(2)/25)*Calculateur!DB151*Calculateur!DD151*VLOOKUP('Données projet'!$B$13,Paramètres!$A$1:$I$89,3,0)*0.475*44/12</f>
        <v>0.4231211237923746</v>
      </c>
      <c r="DH151" s="21">
        <f>EXP(-LN(2)/2)*DH150+(1-EXP(-LN(2)/2))/(LN(2)/2)*DB151*DE151*VLOOKUP('Données projet'!$B$13,Paramètres!$A$1:$I$89,3,0)*0.475*44/12</f>
        <v>1.9156774506282153E-17</v>
      </c>
      <c r="DI151" s="22">
        <f t="shared" si="123"/>
        <v>1.3001246841245242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1.1368683772161603E-13</v>
      </c>
      <c r="DP151" s="17">
        <f>DO151*VLOOKUP('Données projet'!$B$14,Paramètres!$A$1:$I$89,3,0)*VLOOKUP('Données projet'!$B$14,Paramètres!$A$1:$I$89,5,0)</f>
        <v>6.7984728957526396E-14</v>
      </c>
      <c r="DQ151" s="13">
        <f t="shared" si="151"/>
        <v>1.0682447123141398E-12</v>
      </c>
      <c r="DR151" s="20">
        <f t="shared" si="124"/>
        <v>1.978932943548152E-12</v>
      </c>
      <c r="DS151" s="59">
        <f t="shared" si="125"/>
        <v>293.3333333333353</v>
      </c>
      <c r="DT151" s="59">
        <f ca="1">AVERAGE(OFFSET($DS$3,0,0,'Données projet'!$E$14+1,1))-AVERAGE(OFFSET($H$3,0,0,'Données projet'!$E$14+1,1))</f>
        <v>252.81045065813976</v>
      </c>
      <c r="DU151" s="59">
        <f t="shared" si="152"/>
        <v>254.36590349790589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1.7445514718067818</v>
      </c>
      <c r="EB151" s="21">
        <f>EXP(-LN(2)/25)*EB150+(1-EXP(-LN(2)/25))/(LN(2)/25)*Calculateur!DW151*Calculateur!DY151*VLOOKUP('Données projet'!$B$14,Paramètres!$A$1:$I$89,3,0)*0.475*44/12</f>
        <v>0.61187898489657144</v>
      </c>
      <c r="EC151" s="21">
        <f>EXP(-LN(2)/2)*EC150+(1-EXP(-LN(2)/2))/(LN(2)/2)*DW151*DZ151*VLOOKUP('Données projet'!$B$14,Paramètres!$A$1:$I$89,3,0)*0.475*44/12</f>
        <v>9.9597130614644203E-18</v>
      </c>
      <c r="ED151" s="22">
        <f t="shared" si="126"/>
        <v>2.3564304567033534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-2.8421709430404007E-13</v>
      </c>
      <c r="EK151" s="17">
        <f>EJ151*VLOOKUP('Données projet'!$B$15,Paramètres!$A$1:$I$89,3,0)*VLOOKUP('Données projet'!$B$15,Paramètres!$A$1:$I$89,5,0)</f>
        <v>-2.0838797354372215E-13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296.91321813251051</v>
      </c>
      <c r="EP151" s="59">
        <f t="shared" si="154"/>
        <v>291.0718079639509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1.2509123048079314</v>
      </c>
      <c r="EW151" s="21">
        <f>EXP(-LN(2)/25)*EW150+(1-EXP(-LN(2)/25))/(LN(2)/25)*Calculateur!ER151*Calculateur!ET151*VLOOKUP('Données projet'!$B$15,Paramètres!$A$1:$I$89,3,0)*0.475*44/12</f>
        <v>0.5866873454514453</v>
      </c>
      <c r="EX151" s="21">
        <f>EXP(-LN(2)/2)*EX150+(1-EXP(-LN(2)/2))/(LN(2)/2)*ER151*EU151*VLOOKUP('Données projet'!$B$15,Paramètres!$A$1:$I$89,3,0)*0.475*44/12</f>
        <v>1.8911781475056246E-17</v>
      </c>
      <c r="EY151" s="22">
        <f t="shared" si="129"/>
        <v>1.8375996502593765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>
        <f>FE151*VLOOKUP('Données projet'!$B$16,Paramètres!$A$1:$I$89,3,0)*VLOOKUP('Données projet'!$B$16,Paramètres!$A$1:$I$89,5,0)</f>
        <v>0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356.65981389369125</v>
      </c>
      <c r="FK151" s="59">
        <f t="shared" si="156"/>
        <v>231.92898690465887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0.79142395419584843</v>
      </c>
      <c r="FR151" s="21">
        <f>EXP(-LN(2)/25)*FR150+(1-EXP(-LN(2)/25))/(LN(2)/25)*Calculateur!FM151*Calculateur!FO151*VLOOKUP('Données projet'!$B$16,Paramètres!$A$1:$I$89,3,0)*0.475*44/12</f>
        <v>0.3982178465315136</v>
      </c>
      <c r="FS151" s="21">
        <f>EXP(-LN(2)/2)*FS150+(1-EXP(-LN(2)/2))/(LN(2)/2)*FM151*FP151*VLOOKUP('Données projet'!$B$16,Paramètres!$A$1:$I$89,3,0)*0.475*44/12</f>
        <v>1.6592454132011077E-17</v>
      </c>
      <c r="FT151" s="22">
        <f t="shared" si="132"/>
        <v>1.1896418007273621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>
        <f>FZ151*VLOOKUP('Données projet'!$B$17,Paramètres!$A$1:$I$89,3,0)*VLOOKUP('Données projet'!$B$17,Paramètres!$A$1:$I$89,5,0)</f>
        <v>0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337.76140497227715</v>
      </c>
      <c r="GF151" s="59">
        <f t="shared" si="158"/>
        <v>219.76562717496353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0.7548966947714244</v>
      </c>
      <c r="GM151" s="21">
        <f>EXP(-LN(2)/25)*GM150+(1-EXP(-LN(2)/25))/(LN(2)/25)*Calculateur!GH151*Calculateur!GJ151*VLOOKUP('Données projet'!$B$17,Paramètres!$A$1:$I$89,3,0)*0.475*44/12</f>
        <v>0.37983856130698224</v>
      </c>
      <c r="GN151" s="21">
        <f>EXP(-LN(2)/2)*GN150+(1-EXP(-LN(2)/2))/(LN(2)/2)*GH151*GK151*VLOOKUP('Données projet'!$B$17,Paramètres!$A$1:$I$89,3,0)*0.475*44/12</f>
        <v>1.5826648556687493E-17</v>
      </c>
      <c r="GO151" s="21">
        <f t="shared" si="135"/>
        <v>1.1347352560784065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312.53389584272878</v>
      </c>
      <c r="T152" s="59">
        <f t="shared" si="142"/>
        <v>203.5274665601915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0.69234565483308985</v>
      </c>
      <c r="AA152" s="21">
        <f>EXP(-LN(2)/25)*AA151+(1-EXP(-LN(2)/25))/(LN(2)/25)*Calculateur!V152*Calculateur!X152*VLOOKUP('Données projet'!$B$9,Paramètres!$A$1:$I$89,3,0)*0.475*44/12</f>
        <v>0.34561625226847764</v>
      </c>
      <c r="AB152" s="21">
        <f>EXP(-LN(2)/2)*AB151+(1-EXP(-LN(2)/2))/(LN(2)/2)*V152*Y152*VLOOKUP('Données projet'!$B$9,Paramètres!$A$1:$I$89,3,0)*0.475*44/12</f>
        <v>1.0469122097380975E-17</v>
      </c>
      <c r="AC152" s="22">
        <f t="shared" si="111"/>
        <v>1.0379619071015675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5.6843418860808015E-14</v>
      </c>
      <c r="AJ152" s="13">
        <f>AI152*VLOOKUP('Données projet'!$B$10,Paramètres!$A$1:$I$89,3,0)*VLOOKUP('Données projet'!$B$10,Paramètres!$A$1:$I$89,5,0)</f>
        <v>4.9658410716801891E-14</v>
      </c>
      <c r="AK152" s="13">
        <f t="shared" si="143"/>
        <v>8.0934058173791862E-13</v>
      </c>
      <c r="AL152" s="20">
        <f t="shared" si="112"/>
        <v>1.4960899118586383E-12</v>
      </c>
      <c r="AM152" s="59">
        <f t="shared" si="113"/>
        <v>293.33333333333479</v>
      </c>
      <c r="AN152" s="59">
        <f ca="1">AVERAGE(OFFSET($AM$3,0,0,'Données projet'!$E$10+1,1))-AVERAGE(OFFSET($H$3,0,0,'Données projet'!$E$10+1,1))</f>
        <v>243.05628303465238</v>
      </c>
      <c r="AO152" s="59">
        <f t="shared" si="144"/>
        <v>352.47096767658394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0.74789600872176965</v>
      </c>
      <c r="AV152" s="21">
        <f>EXP(-LN(2)/25)*AV151+(1-EXP(-LN(2)/25))/(LN(2)/25)*Calculateur!AQ152*Calculateur!AS152*VLOOKUP('Données projet'!$B$10,Paramètres!$A$1:$I$89,3,0)*0.475*44/12</f>
        <v>0.66866611682599775</v>
      </c>
      <c r="AW152" s="21">
        <f>EXP(-LN(2)/2)*AW151+(1-EXP(-LN(2)/2))/(LN(2)/2)*AQ152*AT152*VLOOKUP('Données projet'!$B$10,Paramètres!$A$1:$I$89,3,0)*0.475*44/12</f>
        <v>1.3828059665383241E-17</v>
      </c>
      <c r="AX152" s="21">
        <f t="shared" si="114"/>
        <v>1.4165621255477674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-2.8421709430404007E-13</v>
      </c>
      <c r="BE152" s="13">
        <f>BD152*VLOOKUP('Données projet'!$B$11,Paramètres!$A$1:$I$89,3,0)*VLOOKUP('Données projet'!$B$11,Paramètres!$A$1:$I$89,5,0)</f>
        <v>-2.2612312022829427E-13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325.72928944930294</v>
      </c>
      <c r="BJ152" s="59">
        <f t="shared" si="146"/>
        <v>318.38876834819752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1.6402337344187905</v>
      </c>
      <c r="BQ152" s="21">
        <f>EXP(-LN(2)/25)*BQ151+(1-EXP(-LN(2)/25))/(LN(2)/25)*Calculateur!BL152*Calculateur!BN152*VLOOKUP('Données projet'!$B$11,Paramètres!$A$1:$I$89,3,0)*0.475*44/12</f>
        <v>0.76321211069705164</v>
      </c>
      <c r="BR152" s="21">
        <f>EXP(-LN(2)/2)*BR151+(1-EXP(-LN(2)/2))/(LN(2)/2)*BL152*BO152*VLOOKUP('Données projet'!$B$11,Paramètres!$A$1:$I$89,3,0)*0.475*44/12</f>
        <v>1.4510746706209548E-17</v>
      </c>
      <c r="BS152" s="22">
        <f t="shared" si="117"/>
        <v>2.4034458451158422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-3.4106051316484809E-13</v>
      </c>
      <c r="BZ152" s="13">
        <f>BY152*VLOOKUP('Données projet'!$B$12,Paramètres!$A$1:$I$89,3,0)*VLOOKUP('Données projet'!$B$12,Paramètres!$A$1:$I$89,5,0)</f>
        <v>-1.9065282685915009E-13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475.54809021014017</v>
      </c>
      <c r="CE152" s="59">
        <f t="shared" si="148"/>
        <v>593.51433014569966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0.69546194957518037</v>
      </c>
      <c r="CL152" s="21">
        <f>EXP(-LN(2)/25)*CL151+(1-EXP(-LN(2)/25))/(LN(2)/25)*Calculateur!CG152*Calculateur!CI152*VLOOKUP('Données projet'!$B$12,Paramètres!$A$1:$I$89,3,0)*0.475*44/12</f>
        <v>1.5726476043922983</v>
      </c>
      <c r="CM152" s="21">
        <f>EXP(-LN(2)/2)*CM151+(1-EXP(-LN(2)/2))/(LN(2)/2)*CG152*CJ152*VLOOKUP('Données projet'!$B$12,Paramètres!$A$1:$I$89,3,0)*0.475*44/12</f>
        <v>1.7685567778152929E-17</v>
      </c>
      <c r="CN152" s="22">
        <f t="shared" si="120"/>
        <v>2.2681095539674789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-1.1368683772161603E-13</v>
      </c>
      <c r="CU152" s="17">
        <f>CT152*VLOOKUP('Données projet'!$B$13,Paramètres!$A$1:$I$89,3,0)*VLOOKUP('Données projet'!$B$13,Paramètres!$A$1:$I$89,5,0)</f>
        <v>-5.3205440053716299E-14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226.0452828290525</v>
      </c>
      <c r="CZ152" s="59">
        <f t="shared" si="150"/>
        <v>179.89696397462069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0.85980605543338895</v>
      </c>
      <c r="DG152" s="21">
        <f>EXP(-LN(2)/25)*DG151+(1-EXP(-LN(2)/25))/(LN(2)/25)*Calculateur!DB152*Calculateur!DD152*VLOOKUP('Données projet'!$B$13,Paramètres!$A$1:$I$89,3,0)*0.475*44/12</f>
        <v>0.41155085441129929</v>
      </c>
      <c r="DH152" s="21">
        <f>EXP(-LN(2)/2)*DH151+(1-EXP(-LN(2)/2))/(LN(2)/2)*DB152*DE152*VLOOKUP('Données projet'!$B$13,Paramètres!$A$1:$I$89,3,0)*0.475*44/12</f>
        <v>1.3545885159053686E-17</v>
      </c>
      <c r="DI152" s="22">
        <f t="shared" si="123"/>
        <v>1.2713569098446882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1.1368683772161603E-13</v>
      </c>
      <c r="DP152" s="17">
        <f>DO152*VLOOKUP('Données projet'!$B$14,Paramètres!$A$1:$I$89,3,0)*VLOOKUP('Données projet'!$B$14,Paramètres!$A$1:$I$89,5,0)</f>
        <v>6.7984728957526396E-14</v>
      </c>
      <c r="DQ152" s="13">
        <f t="shared" si="151"/>
        <v>1.0682447123141398E-12</v>
      </c>
      <c r="DR152" s="20">
        <f t="shared" si="124"/>
        <v>1.978932943548152E-12</v>
      </c>
      <c r="DS152" s="59">
        <f t="shared" si="125"/>
        <v>293.3333333333353</v>
      </c>
      <c r="DT152" s="59">
        <f ca="1">AVERAGE(OFFSET($DS$3,0,0,'Données projet'!$E$14+1,1))-AVERAGE(OFFSET($H$3,0,0,'Données projet'!$E$14+1,1))</f>
        <v>252.81045065813976</v>
      </c>
      <c r="DU152" s="59">
        <f t="shared" si="152"/>
        <v>254.36590349790589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1.7103418815159803</v>
      </c>
      <c r="EB152" s="21">
        <f>EXP(-LN(2)/25)*EB151+(1-EXP(-LN(2)/25))/(LN(2)/25)*Calculateur!DW152*Calculateur!DY152*VLOOKUP('Données projet'!$B$14,Paramètres!$A$1:$I$89,3,0)*0.475*44/12</f>
        <v>0.59514712187725738</v>
      </c>
      <c r="EC152" s="21">
        <f>EXP(-LN(2)/2)*EC151+(1-EXP(-LN(2)/2))/(LN(2)/2)*DW152*DZ152*VLOOKUP('Données projet'!$B$14,Paramètres!$A$1:$I$89,3,0)*0.475*44/12</f>
        <v>7.0425806444337211E-18</v>
      </c>
      <c r="ED152" s="22">
        <f t="shared" si="126"/>
        <v>2.3054890033932378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-2.8421709430404007E-13</v>
      </c>
      <c r="EK152" s="17">
        <f>EJ152*VLOOKUP('Données projet'!$B$15,Paramètres!$A$1:$I$89,3,0)*VLOOKUP('Données projet'!$B$15,Paramètres!$A$1:$I$89,5,0)</f>
        <v>-2.0838797354372215E-13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296.91321813251051</v>
      </c>
      <c r="EP152" s="59">
        <f t="shared" si="154"/>
        <v>291.0718079639509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1.2263826774918156</v>
      </c>
      <c r="EW152" s="21">
        <f>EXP(-LN(2)/25)*EW151+(1-EXP(-LN(2)/25))/(LN(2)/25)*Calculateur!ER152*Calculateur!ET152*VLOOKUP('Données projet'!$B$15,Paramètres!$A$1:$I$89,3,0)*0.475*44/12</f>
        <v>0.57064434913752893</v>
      </c>
      <c r="EX152" s="21">
        <f>EXP(-LN(2)/2)*EX151+(1-EXP(-LN(2)/2))/(LN(2)/2)*ER152*EU152*VLOOKUP('Données projet'!$B$15,Paramètres!$A$1:$I$89,3,0)*0.475*44/12</f>
        <v>1.33726489253304E-17</v>
      </c>
      <c r="EY152" s="22">
        <f t="shared" si="129"/>
        <v>1.7970270266293444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>
        <f>FE152*VLOOKUP('Données projet'!$B$16,Paramètres!$A$1:$I$89,3,0)*VLOOKUP('Données projet'!$B$16,Paramètres!$A$1:$I$89,5,0)</f>
        <v>0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356.65981389369125</v>
      </c>
      <c r="FK152" s="59">
        <f t="shared" si="156"/>
        <v>231.92898690465887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0.77590461317501513</v>
      </c>
      <c r="FR152" s="21">
        <f>EXP(-LN(2)/25)*FR151+(1-EXP(-LN(2)/25))/(LN(2)/25)*Calculateur!FM152*Calculateur!FO152*VLOOKUP('Données projet'!$B$16,Paramètres!$A$1:$I$89,3,0)*0.475*44/12</f>
        <v>0.38732855857674292</v>
      </c>
      <c r="FS152" s="21">
        <f>EXP(-LN(2)/2)*FS151+(1-EXP(-LN(2)/2))/(LN(2)/2)*FM152*FP152*VLOOKUP('Données projet'!$B$16,Paramètres!$A$1:$I$89,3,0)*0.475*44/12</f>
        <v>1.1732636833271783E-17</v>
      </c>
      <c r="FT152" s="22">
        <f t="shared" si="132"/>
        <v>1.1632331717517581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>
        <f>FZ152*VLOOKUP('Données projet'!$B$17,Paramètres!$A$1:$I$89,3,0)*VLOOKUP('Données projet'!$B$17,Paramètres!$A$1:$I$89,5,0)</f>
        <v>0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337.76140497227715</v>
      </c>
      <c r="GF152" s="59">
        <f t="shared" si="158"/>
        <v>219.76562717496353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0.74009363102847581</v>
      </c>
      <c r="GM152" s="21">
        <f>EXP(-LN(2)/25)*GM151+(1-EXP(-LN(2)/25))/(LN(2)/25)*Calculateur!GH152*Calculateur!GJ152*VLOOKUP('Données projet'!$B$17,Paramètres!$A$1:$I$89,3,0)*0.475*44/12</f>
        <v>0.36945185587320101</v>
      </c>
      <c r="GN152" s="21">
        <f>EXP(-LN(2)/2)*GN151+(1-EXP(-LN(2)/2))/(LN(2)/2)*GH152*GK152*VLOOKUP('Données projet'!$B$17,Paramètres!$A$1:$I$89,3,0)*0.475*44/12</f>
        <v>1.1191130517890011E-17</v>
      </c>
      <c r="GO152" s="21">
        <f t="shared" si="135"/>
        <v>1.1095454869016768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312.53389584272878</v>
      </c>
      <c r="T153" s="59">
        <f t="shared" si="142"/>
        <v>203.5274665601915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0.67876917883096477</v>
      </c>
      <c r="AA153" s="21">
        <f>EXP(-LN(2)/25)*AA152+(1-EXP(-LN(2)/25))/(LN(2)/25)*Calculateur!V153*Calculateur!X153*VLOOKUP('Données projet'!$B$9,Paramètres!$A$1:$I$89,3,0)*0.475*44/12</f>
        <v>0.33616535767502731</v>
      </c>
      <c r="AB153" s="21">
        <f>EXP(-LN(2)/2)*AB152+(1-EXP(-LN(2)/2))/(LN(2)/2)*V153*Y153*VLOOKUP('Données projet'!$B$9,Paramètres!$A$1:$I$89,3,0)*0.475*44/12</f>
        <v>7.4027872281280187E-18</v>
      </c>
      <c r="AC153" s="22">
        <f t="shared" si="111"/>
        <v>1.0149345365059921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5.6843418860808015E-14</v>
      </c>
      <c r="AJ153" s="13">
        <f>AI153*VLOOKUP('Données projet'!$B$10,Paramètres!$A$1:$I$89,3,0)*VLOOKUP('Données projet'!$B$10,Paramètres!$A$1:$I$89,5,0)</f>
        <v>4.9658410716801891E-14</v>
      </c>
      <c r="AK153" s="13">
        <f t="shared" si="143"/>
        <v>8.0934058173791862E-13</v>
      </c>
      <c r="AL153" s="20">
        <f t="shared" si="112"/>
        <v>1.4960899118586383E-12</v>
      </c>
      <c r="AM153" s="59">
        <f t="shared" si="113"/>
        <v>293.33333333333479</v>
      </c>
      <c r="AN153" s="59">
        <f ca="1">AVERAGE(OFFSET($AM$3,0,0,'Données projet'!$E$10+1,1))-AVERAGE(OFFSET($H$3,0,0,'Données projet'!$E$10+1,1))</f>
        <v>243.05628303465238</v>
      </c>
      <c r="AO153" s="59">
        <f t="shared" si="144"/>
        <v>352.47096767658394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0.73323022416225792</v>
      </c>
      <c r="AV153" s="21">
        <f>EXP(-LN(2)/25)*AV152+(1-EXP(-LN(2)/25))/(LN(2)/25)*Calculateur!AQ153*Calculateur!AS153*VLOOKUP('Données projet'!$B$10,Paramètres!$A$1:$I$89,3,0)*0.475*44/12</f>
        <v>0.65038140669776801</v>
      </c>
      <c r="AW153" s="21">
        <f>EXP(-LN(2)/2)*AW152+(1-EXP(-LN(2)/2))/(LN(2)/2)*AQ153*AT153*VLOOKUP('Données projet'!$B$10,Paramètres!$A$1:$I$89,3,0)*0.475*44/12</f>
        <v>9.7779147600446717E-18</v>
      </c>
      <c r="AX153" s="21">
        <f t="shared" si="114"/>
        <v>1.3836116308600259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-2.8421709430404007E-13</v>
      </c>
      <c r="BE153" s="13">
        <f>BD153*VLOOKUP('Données projet'!$B$11,Paramètres!$A$1:$I$89,3,0)*VLOOKUP('Données projet'!$B$11,Paramètres!$A$1:$I$89,5,0)</f>
        <v>-2.2612312022829427E-13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325.72928944930294</v>
      </c>
      <c r="BJ153" s="59">
        <f t="shared" si="146"/>
        <v>318.38876834819752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1.6080697513306303</v>
      </c>
      <c r="BQ153" s="21">
        <f>EXP(-LN(2)/25)*BQ152+(1-EXP(-LN(2)/25))/(LN(2)/25)*Calculateur!BL153*Calculateur!BN153*VLOOKUP('Données projet'!$B$11,Paramètres!$A$1:$I$89,3,0)*0.475*44/12</f>
        <v>0.7423420353944602</v>
      </c>
      <c r="BR153" s="21">
        <f>EXP(-LN(2)/2)*BR152+(1-EXP(-LN(2)/2))/(LN(2)/2)*BL153*BO153*VLOOKUP('Données projet'!$B$11,Paramètres!$A$1:$I$89,3,0)*0.475*44/12</f>
        <v>1.026064739604113E-17</v>
      </c>
      <c r="BS153" s="22">
        <f t="shared" si="117"/>
        <v>2.3504117867250907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-3.4106051316484809E-13</v>
      </c>
      <c r="BZ153" s="13">
        <f>BY153*VLOOKUP('Données projet'!$B$12,Paramètres!$A$1:$I$89,3,0)*VLOOKUP('Données projet'!$B$12,Paramètres!$A$1:$I$89,5,0)</f>
        <v>-1.9065282685915009E-13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475.54809021014017</v>
      </c>
      <c r="CE153" s="59">
        <f t="shared" si="148"/>
        <v>593.51433014569966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0.68182436493391507</v>
      </c>
      <c r="CL153" s="21">
        <f>EXP(-LN(2)/25)*CL152+(1-EXP(-LN(2)/25))/(LN(2)/25)*Calculateur!CG153*Calculateur!CI153*VLOOKUP('Données projet'!$B$12,Paramètres!$A$1:$I$89,3,0)*0.475*44/12</f>
        <v>1.5296434729482478</v>
      </c>
      <c r="CM153" s="21">
        <f>EXP(-LN(2)/2)*CM152+(1-EXP(-LN(2)/2))/(LN(2)/2)*CG153*CJ153*VLOOKUP('Données projet'!$B$12,Paramètres!$A$1:$I$89,3,0)*0.475*44/12</f>
        <v>1.2505584905066239E-17</v>
      </c>
      <c r="CN153" s="22">
        <f t="shared" si="120"/>
        <v>2.2114678378821626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-1.1368683772161603E-13</v>
      </c>
      <c r="CU153" s="17">
        <f>CT153*VLOOKUP('Données projet'!$B$13,Paramètres!$A$1:$I$89,3,0)*VLOOKUP('Données projet'!$B$13,Paramètres!$A$1:$I$89,5,0)</f>
        <v>-5.3205440053716299E-14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226.0452828290525</v>
      </c>
      <c r="CZ153" s="59">
        <f t="shared" si="150"/>
        <v>179.89696397462069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0.8429457831162509</v>
      </c>
      <c r="DG153" s="21">
        <f>EXP(-LN(2)/25)*DG152+(1-EXP(-LN(2)/25))/(LN(2)/25)*Calculateur!DB153*Calculateur!DD153*VLOOKUP('Données projet'!$B$13,Paramètres!$A$1:$I$89,3,0)*0.475*44/12</f>
        <v>0.40029697465490349</v>
      </c>
      <c r="DH153" s="21">
        <f>EXP(-LN(2)/2)*DH152+(1-EXP(-LN(2)/2))/(LN(2)/2)*DB153*DE153*VLOOKUP('Données projet'!$B$13,Paramètres!$A$1:$I$89,3,0)*0.475*44/12</f>
        <v>9.578387253141078E-18</v>
      </c>
      <c r="DI153" s="22">
        <f t="shared" si="123"/>
        <v>1.2432427577711544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1.1368683772161603E-13</v>
      </c>
      <c r="DP153" s="17">
        <f>DO153*VLOOKUP('Données projet'!$B$14,Paramètres!$A$1:$I$89,3,0)*VLOOKUP('Données projet'!$B$14,Paramètres!$A$1:$I$89,5,0)</f>
        <v>6.7984728957526396E-14</v>
      </c>
      <c r="DQ153" s="13">
        <f t="shared" si="151"/>
        <v>1.0682447123141398E-12</v>
      </c>
      <c r="DR153" s="20">
        <f t="shared" si="124"/>
        <v>1.978932943548152E-12</v>
      </c>
      <c r="DS153" s="59">
        <f t="shared" si="125"/>
        <v>293.3333333333353</v>
      </c>
      <c r="DT153" s="59">
        <f ca="1">AVERAGE(OFFSET($DS$3,0,0,'Données projet'!$E$14+1,1))-AVERAGE(OFFSET($H$3,0,0,'Données projet'!$E$14+1,1))</f>
        <v>252.81045065813976</v>
      </c>
      <c r="DU153" s="59">
        <f t="shared" si="152"/>
        <v>254.36590349790589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1.6768031204249916</v>
      </c>
      <c r="EB153" s="21">
        <f>EXP(-LN(2)/25)*EB152+(1-EXP(-LN(2)/25))/(LN(2)/25)*Calculateur!DW153*Calculateur!DY153*VLOOKUP('Données projet'!$B$14,Paramètres!$A$1:$I$89,3,0)*0.475*44/12</f>
        <v>0.57887279253209689</v>
      </c>
      <c r="EC153" s="21">
        <f>EXP(-LN(2)/2)*EC152+(1-EXP(-LN(2)/2))/(LN(2)/2)*DW153*DZ153*VLOOKUP('Données projet'!$B$14,Paramètres!$A$1:$I$89,3,0)*0.475*44/12</f>
        <v>4.9798565307322101E-18</v>
      </c>
      <c r="ED153" s="22">
        <f t="shared" si="126"/>
        <v>2.2556759129570887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-2.8421709430404007E-13</v>
      </c>
      <c r="EK153" s="17">
        <f>EJ153*VLOOKUP('Données projet'!$B$15,Paramètres!$A$1:$I$89,3,0)*VLOOKUP('Données projet'!$B$15,Paramètres!$A$1:$I$89,5,0)</f>
        <v>-2.0838797354372215E-13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296.91321813251051</v>
      </c>
      <c r="EP153" s="59">
        <f t="shared" si="154"/>
        <v>291.0718079639509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1.2023340612057736</v>
      </c>
      <c r="EW153" s="21">
        <f>EXP(-LN(2)/25)*EW152+(1-EXP(-LN(2)/25))/(LN(2)/25)*Calculateur!ER153*Calculateur!ET153*VLOOKUP('Données projet'!$B$15,Paramètres!$A$1:$I$89,3,0)*0.475*44/12</f>
        <v>0.55504004940148111</v>
      </c>
      <c r="EX153" s="21">
        <f>EXP(-LN(2)/2)*EX152+(1-EXP(-LN(2)/2))/(LN(2)/2)*ER153*EU153*VLOOKUP('Données projet'!$B$15,Paramètres!$A$1:$I$89,3,0)*0.475*44/12</f>
        <v>9.4558907375281231E-18</v>
      </c>
      <c r="EY153" s="22">
        <f t="shared" si="129"/>
        <v>1.7573741106072547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>
        <f>FE153*VLOOKUP('Données projet'!$B$16,Paramètres!$A$1:$I$89,3,0)*VLOOKUP('Données projet'!$B$16,Paramètres!$A$1:$I$89,5,0)</f>
        <v>0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356.65981389369125</v>
      </c>
      <c r="FK153" s="59">
        <f t="shared" si="156"/>
        <v>231.92898690465887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0.76068959696573701</v>
      </c>
      <c r="FR153" s="21">
        <f>EXP(-LN(2)/25)*FR152+(1-EXP(-LN(2)/25))/(LN(2)/25)*Calculateur!FM153*Calculateur!FO153*VLOOKUP('Données projet'!$B$16,Paramètres!$A$1:$I$89,3,0)*0.475*44/12</f>
        <v>0.37673703877373826</v>
      </c>
      <c r="FS153" s="21">
        <f>EXP(-LN(2)/2)*FS152+(1-EXP(-LN(2)/2))/(LN(2)/2)*FM153*FP153*VLOOKUP('Données projet'!$B$16,Paramètres!$A$1:$I$89,3,0)*0.475*44/12</f>
        <v>8.2962270660055386E-18</v>
      </c>
      <c r="FT153" s="22">
        <f t="shared" si="132"/>
        <v>1.1374266357394753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>
        <f>FZ153*VLOOKUP('Données projet'!$B$17,Paramètres!$A$1:$I$89,3,0)*VLOOKUP('Données projet'!$B$17,Paramètres!$A$1:$I$89,5,0)</f>
        <v>0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337.76140497227715</v>
      </c>
      <c r="GF153" s="59">
        <f t="shared" si="158"/>
        <v>219.76562717496353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0.72558084633654907</v>
      </c>
      <c r="GM153" s="21">
        <f>EXP(-LN(2)/25)*GM152+(1-EXP(-LN(2)/25))/(LN(2)/25)*Calculateur!GH153*Calculateur!GJ153*VLOOKUP('Données projet'!$B$17,Paramètres!$A$1:$I$89,3,0)*0.475*44/12</f>
        <v>0.35934917544571959</v>
      </c>
      <c r="GN153" s="21">
        <f>EXP(-LN(2)/2)*GN152+(1-EXP(-LN(2)/2))/(LN(2)/2)*GH153*GK153*VLOOKUP('Données projet'!$B$17,Paramètres!$A$1:$I$89,3,0)*0.475*44/12</f>
        <v>7.9133242783437463E-18</v>
      </c>
      <c r="GO153" s="21">
        <f t="shared" si="135"/>
        <v>1.0849300217822686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312.53389584272878</v>
      </c>
      <c r="T154" s="59">
        <f t="shared" si="142"/>
        <v>203.5274665601915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0.66545892924240868</v>
      </c>
      <c r="AA154" s="21">
        <f>EXP(-LN(2)/25)*AA153+(1-EXP(-LN(2)/25))/(LN(2)/25)*Calculateur!V154*Calculateur!X154*VLOOKUP('Données projet'!$B$9,Paramètres!$A$1:$I$89,3,0)*0.475*44/12</f>
        <v>0.32697289829123583</v>
      </c>
      <c r="AB154" s="21">
        <f>EXP(-LN(2)/2)*AB153+(1-EXP(-LN(2)/2))/(LN(2)/2)*V154*Y154*VLOOKUP('Données projet'!$B$9,Paramètres!$A$1:$I$89,3,0)*0.475*44/12</f>
        <v>5.2345610486904877E-18</v>
      </c>
      <c r="AC154" s="22">
        <f t="shared" ref="AC154:AC203" si="163">SUM(Z154:AB154)</f>
        <v>0.99243182753364456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5.6843418860808015E-14</v>
      </c>
      <c r="AJ154" s="13">
        <f>AI154*VLOOKUP('Données projet'!$B$10,Paramètres!$A$1:$I$89,3,0)*VLOOKUP('Données projet'!$B$10,Paramètres!$A$1:$I$89,5,0)</f>
        <v>4.9658410716801891E-14</v>
      </c>
      <c r="AK154" s="13">
        <f t="shared" ref="AK154:AK203" si="164">EXP(-1.0587+0.8836*LN(AJ154)+0.284)</f>
        <v>8.0934058173791862E-13</v>
      </c>
      <c r="AL154" s="20">
        <f t="shared" ref="AL154:AL203" si="165">(AJ154+AK154)*0.475*44/12</f>
        <v>1.4960899118586383E-12</v>
      </c>
      <c r="AM154" s="59">
        <f t="shared" si="113"/>
        <v>293.33333333333479</v>
      </c>
      <c r="AN154" s="59">
        <f ca="1">AVERAGE(OFFSET($AM$3,0,0,'Données projet'!$E$10+1,1))-AVERAGE(OFFSET($H$3,0,0,'Données projet'!$E$10+1,1))</f>
        <v>243.05628303465238</v>
      </c>
      <c r="AO154" s="59">
        <f t="shared" si="144"/>
        <v>352.47096767658394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0.71885202669271286</v>
      </c>
      <c r="AV154" s="21">
        <f>EXP(-LN(2)/25)*AV153+(1-EXP(-LN(2)/25))/(LN(2)/25)*Calculateur!AQ154*Calculateur!AS154*VLOOKUP('Données projet'!$B$10,Paramètres!$A$1:$I$89,3,0)*0.475*44/12</f>
        <v>0.63259669292954579</v>
      </c>
      <c r="AW154" s="21">
        <f>EXP(-LN(2)/2)*AW153+(1-EXP(-LN(2)/2))/(LN(2)/2)*AQ154*AT154*VLOOKUP('Données projet'!$B$10,Paramètres!$A$1:$I$89,3,0)*0.475*44/12</f>
        <v>6.9140298326916219E-18</v>
      </c>
      <c r="AX154" s="21">
        <f t="shared" ref="AX154:AX203" si="166">SUM(AU154:AW154)</f>
        <v>1.3514487196222587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-2.8421709430404007E-13</v>
      </c>
      <c r="BE154" s="13">
        <f>BD154*VLOOKUP('Données projet'!$B$11,Paramètres!$A$1:$I$89,3,0)*VLOOKUP('Données projet'!$B$11,Paramètres!$A$1:$I$89,5,0)</f>
        <v>-2.2612312022829427E-13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325.72928944930294</v>
      </c>
      <c r="BJ154" s="59">
        <f t="shared" si="146"/>
        <v>318.38876834819752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1.5765364843327365</v>
      </c>
      <c r="BQ154" s="21">
        <f>EXP(-LN(2)/25)*BQ153+(1-EXP(-LN(2)/25))/(LN(2)/25)*Calculateur!BL154*Calculateur!BN154*VLOOKUP('Données projet'!$B$11,Paramètres!$A$1:$I$89,3,0)*0.475*44/12</f>
        <v>0.72204265339852769</v>
      </c>
      <c r="BR154" s="21">
        <f>EXP(-LN(2)/2)*BR153+(1-EXP(-LN(2)/2))/(LN(2)/2)*BL154*BO154*VLOOKUP('Données projet'!$B$11,Paramètres!$A$1:$I$89,3,0)*0.475*44/12</f>
        <v>7.2553733531047739E-18</v>
      </c>
      <c r="BS154" s="22">
        <f t="shared" ref="BS154:BS203" si="169">SUM(BP154:BR154)</f>
        <v>2.2985791377312643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-3.4106051316484809E-13</v>
      </c>
      <c r="BZ154" s="13">
        <f>BY154*VLOOKUP('Données projet'!$B$12,Paramètres!$A$1:$I$89,3,0)*VLOOKUP('Données projet'!$B$12,Paramètres!$A$1:$I$89,5,0)</f>
        <v>-1.9065282685915009E-13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475.54809021014017</v>
      </c>
      <c r="CE154" s="59">
        <f t="shared" si="148"/>
        <v>593.51433014569966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0.6684542050093597</v>
      </c>
      <c r="CL154" s="21">
        <f>EXP(-LN(2)/25)*CL153+(1-EXP(-LN(2)/25))/(LN(2)/25)*Calculateur!CG154*Calculateur!CI154*VLOOKUP('Données projet'!$B$12,Paramètres!$A$1:$I$89,3,0)*0.475*44/12</f>
        <v>1.4878152917400238</v>
      </c>
      <c r="CM154" s="21">
        <f>EXP(-LN(2)/2)*CM153+(1-EXP(-LN(2)/2))/(LN(2)/2)*CG154*CJ154*VLOOKUP('Données projet'!$B$12,Paramètres!$A$1:$I$89,3,0)*0.475*44/12</f>
        <v>8.8427838890764644E-18</v>
      </c>
      <c r="CN154" s="22">
        <f t="shared" ref="CN154:CN203" si="172">SUM(CK154:CM154)</f>
        <v>2.1562694967493834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-1.1368683772161603E-13</v>
      </c>
      <c r="CU154" s="17">
        <f>CT154*VLOOKUP('Données projet'!$B$13,Paramètres!$A$1:$I$89,3,0)*VLOOKUP('Données projet'!$B$13,Paramètres!$A$1:$I$89,5,0)</f>
        <v>-5.3205440053716299E-14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226.0452828290525</v>
      </c>
      <c r="CZ154" s="59">
        <f t="shared" si="150"/>
        <v>179.89696397462069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0.82641613045550122</v>
      </c>
      <c r="DG154" s="21">
        <f>EXP(-LN(2)/25)*DG153+(1-EXP(-LN(2)/25))/(LN(2)/25)*Calculateur!DB154*Calculateur!DD154*VLOOKUP('Données projet'!$B$13,Paramètres!$A$1:$I$89,3,0)*0.475*44/12</f>
        <v>0.38935083283226213</v>
      </c>
      <c r="DH154" s="21">
        <f>EXP(-LN(2)/2)*DH153+(1-EXP(-LN(2)/2))/(LN(2)/2)*DB154*DE154*VLOOKUP('Données projet'!$B$13,Paramètres!$A$1:$I$89,3,0)*0.475*44/12</f>
        <v>6.7729425795268448E-18</v>
      </c>
      <c r="DI154" s="22">
        <f t="shared" ref="DI154:DI203" si="175">SUM(DF154:DH154)</f>
        <v>1.2157669632877632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1.1368683772161603E-13</v>
      </c>
      <c r="DP154" s="17">
        <f>DO154*VLOOKUP('Données projet'!$B$14,Paramètres!$A$1:$I$89,3,0)*VLOOKUP('Données projet'!$B$14,Paramètres!$A$1:$I$89,5,0)</f>
        <v>6.7984728957526396E-14</v>
      </c>
      <c r="DQ154" s="13">
        <f t="shared" ref="DQ154:DQ203" si="176">EXP(-1.0587+0.8836*LN(DP154)+0.284)</f>
        <v>1.0682447123141398E-12</v>
      </c>
      <c r="DR154" s="20">
        <f t="shared" ref="DR154:DR203" si="177">(DP154+DQ154)*0.475*44/12</f>
        <v>1.978932943548152E-12</v>
      </c>
      <c r="DS154" s="59">
        <f t="shared" si="125"/>
        <v>293.3333333333353</v>
      </c>
      <c r="DT154" s="59">
        <f ca="1">AVERAGE(OFFSET($DS$3,0,0,'Données projet'!$E$14+1,1))-AVERAGE(OFFSET($H$3,0,0,'Données projet'!$E$14+1,1))</f>
        <v>252.81045065813976</v>
      </c>
      <c r="DU154" s="59">
        <f t="shared" si="152"/>
        <v>254.36590349790589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1.6439220339823728</v>
      </c>
      <c r="EB154" s="21">
        <f>EXP(-LN(2)/25)*EB153+(1-EXP(-LN(2)/25))/(LN(2)/25)*Calculateur!DW154*Calculateur!DY154*VLOOKUP('Données projet'!$B$14,Paramètres!$A$1:$I$89,3,0)*0.475*44/12</f>
        <v>0.56304348557870953</v>
      </c>
      <c r="EC154" s="21">
        <f>EXP(-LN(2)/2)*EC153+(1-EXP(-LN(2)/2))/(LN(2)/2)*DW154*DZ154*VLOOKUP('Données projet'!$B$14,Paramètres!$A$1:$I$89,3,0)*0.475*44/12</f>
        <v>3.5212903222168606E-18</v>
      </c>
      <c r="ED154" s="22">
        <f t="shared" ref="ED154:ED203" si="178">SUM(EA154:EC154)</f>
        <v>2.2069655195610824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-2.8421709430404007E-13</v>
      </c>
      <c r="EK154" s="17">
        <f>EJ154*VLOOKUP('Données projet'!$B$15,Paramètres!$A$1:$I$89,3,0)*VLOOKUP('Données projet'!$B$15,Paramètres!$A$1:$I$89,5,0)</f>
        <v>-2.0838797354372215E-13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296.91321813251051</v>
      </c>
      <c r="EP154" s="59">
        <f t="shared" si="154"/>
        <v>291.0718079639509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1.1787570236168932</v>
      </c>
      <c r="EW154" s="21">
        <f>EXP(-LN(2)/25)*EW153+(1-EXP(-LN(2)/25))/(LN(2)/25)*Calculateur!ER154*Calculateur!ET154*VLOOKUP('Données projet'!$B$15,Paramètres!$A$1:$I$89,3,0)*0.475*44/12</f>
        <v>0.53986245006230993</v>
      </c>
      <c r="EX154" s="21">
        <f>EXP(-LN(2)/2)*EX153+(1-EXP(-LN(2)/2))/(LN(2)/2)*ER154*EU154*VLOOKUP('Données projet'!$B$15,Paramètres!$A$1:$I$89,3,0)*0.475*44/12</f>
        <v>6.6863244626652001E-18</v>
      </c>
      <c r="EY154" s="22">
        <f t="shared" ref="EY154:EY203" si="181">SUM(EV154:EX154)</f>
        <v>1.7186194736792031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>
        <f>FE154*VLOOKUP('Données projet'!$B$16,Paramètres!$A$1:$I$89,3,0)*VLOOKUP('Données projet'!$B$16,Paramètres!$A$1:$I$89,5,0)</f>
        <v>0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356.65981389369125</v>
      </c>
      <c r="FK154" s="59">
        <f t="shared" si="156"/>
        <v>231.92898690465887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0.74577293794407939</v>
      </c>
      <c r="FR154" s="21">
        <f>EXP(-LN(2)/25)*FR153+(1-EXP(-LN(2)/25))/(LN(2)/25)*Calculateur!FM154*Calculateur!FO154*VLOOKUP('Données projet'!$B$16,Paramètres!$A$1:$I$89,3,0)*0.475*44/12</f>
        <v>0.36643514463673055</v>
      </c>
      <c r="FS154" s="21">
        <f>EXP(-LN(2)/2)*FS153+(1-EXP(-LN(2)/2))/(LN(2)/2)*FM154*FP154*VLOOKUP('Données projet'!$B$16,Paramètres!$A$1:$I$89,3,0)*0.475*44/12</f>
        <v>5.8663184166358916E-18</v>
      </c>
      <c r="FT154" s="22">
        <f t="shared" ref="FT154:FT203" si="184">SUM(FQ154:FS154)</f>
        <v>1.1122080825808101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>
        <f>FZ154*VLOOKUP('Données projet'!$B$17,Paramètres!$A$1:$I$89,3,0)*VLOOKUP('Données projet'!$B$17,Paramètres!$A$1:$I$89,5,0)</f>
        <v>0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337.76140497227715</v>
      </c>
      <c r="GF154" s="59">
        <f t="shared" si="158"/>
        <v>219.76562717496353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0.71135264850050639</v>
      </c>
      <c r="GM154" s="21">
        <f>EXP(-LN(2)/25)*GM153+(1-EXP(-LN(2)/25))/(LN(2)/25)*Calculateur!GH154*Calculateur!GJ154*VLOOKUP('Données projet'!$B$17,Paramètres!$A$1:$I$89,3,0)*0.475*44/12</f>
        <v>0.34952275334580457</v>
      </c>
      <c r="GN154" s="21">
        <f>EXP(-LN(2)/2)*GN153+(1-EXP(-LN(2)/2))/(LN(2)/2)*GH154*GK154*VLOOKUP('Données projet'!$B$17,Paramètres!$A$1:$I$89,3,0)*0.475*44/12</f>
        <v>5.5955652589450056E-18</v>
      </c>
      <c r="GO154" s="21">
        <f t="shared" ref="GO154:GO203" si="187">SUM(GL154:GN154)</f>
        <v>1.0608754018463109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312.53389584272878</v>
      </c>
      <c r="T155" s="59">
        <f t="shared" si="142"/>
        <v>203.5274665601915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0.65240968552983358</v>
      </c>
      <c r="AA155" s="21">
        <f>EXP(-LN(2)/25)*AA154+(1-EXP(-LN(2)/25))/(LN(2)/25)*Calculateur!V155*Calculateur!X155*VLOOKUP('Données projet'!$B$9,Paramètres!$A$1:$I$89,3,0)*0.475*44/12</f>
        <v>0.31803180719270457</v>
      </c>
      <c r="AB155" s="21">
        <f>EXP(-LN(2)/2)*AB154+(1-EXP(-LN(2)/2))/(LN(2)/2)*V155*Y155*VLOOKUP('Données projet'!$B$9,Paramètres!$A$1:$I$89,3,0)*0.475*44/12</f>
        <v>3.7013936140640094E-18</v>
      </c>
      <c r="AC155" s="22">
        <f t="shared" si="163"/>
        <v>0.97044149272253821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5.6843418860808015E-14</v>
      </c>
      <c r="AJ155" s="13">
        <f>AI155*VLOOKUP('Données projet'!$B$10,Paramètres!$A$1:$I$89,3,0)*VLOOKUP('Données projet'!$B$10,Paramètres!$A$1:$I$89,5,0)</f>
        <v>4.9658410716801891E-14</v>
      </c>
      <c r="AK155" s="13">
        <f t="shared" si="164"/>
        <v>8.0934058173791862E-13</v>
      </c>
      <c r="AL155" s="20">
        <f t="shared" si="165"/>
        <v>1.4960899118586383E-12</v>
      </c>
      <c r="AM155" s="59">
        <f t="shared" si="113"/>
        <v>293.33333333333479</v>
      </c>
      <c r="AN155" s="59">
        <f ca="1">AVERAGE(OFFSET($AM$3,0,0,'Données projet'!$E$10+1,1))-AVERAGE(OFFSET($H$3,0,0,'Données projet'!$E$10+1,1))</f>
        <v>243.05628303465238</v>
      </c>
      <c r="AO155" s="59">
        <f t="shared" si="144"/>
        <v>352.47096767658394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0.70475577690571112</v>
      </c>
      <c r="AV155" s="21">
        <f>EXP(-LN(2)/25)*AV154+(1-EXP(-LN(2)/25))/(LN(2)/25)*Calculateur!AQ155*Calculateur!AS155*VLOOKUP('Données projet'!$B$10,Paramètres!$A$1:$I$89,3,0)*0.475*44/12</f>
        <v>0.61529830309457312</v>
      </c>
      <c r="AW155" s="21">
        <f>EXP(-LN(2)/2)*AW154+(1-EXP(-LN(2)/2))/(LN(2)/2)*AQ155*AT155*VLOOKUP('Données projet'!$B$10,Paramètres!$A$1:$I$89,3,0)*0.475*44/12</f>
        <v>4.8889573800223366E-18</v>
      </c>
      <c r="AX155" s="21">
        <f t="shared" si="166"/>
        <v>1.3200540800002842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-2.8421709430404007E-13</v>
      </c>
      <c r="BE155" s="13">
        <f>BD155*VLOOKUP('Données projet'!$B$11,Paramètres!$A$1:$I$89,3,0)*VLOOKUP('Données projet'!$B$11,Paramètres!$A$1:$I$89,5,0)</f>
        <v>-2.2612312022829427E-13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325.72928944930294</v>
      </c>
      <c r="BJ155" s="59">
        <f t="shared" si="146"/>
        <v>318.38876834819752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1.5456215654672776</v>
      </c>
      <c r="BQ155" s="21">
        <f>EXP(-LN(2)/25)*BQ154+(1-EXP(-LN(2)/25))/(LN(2)/25)*Calculateur!BL155*Calculateur!BN155*VLOOKUP('Données projet'!$B$11,Paramètres!$A$1:$I$89,3,0)*0.475*44/12</f>
        <v>0.70229835907077209</v>
      </c>
      <c r="BR155" s="21">
        <f>EXP(-LN(2)/2)*BR154+(1-EXP(-LN(2)/2))/(LN(2)/2)*BL155*BO155*VLOOKUP('Données projet'!$B$11,Paramètres!$A$1:$I$89,3,0)*0.475*44/12</f>
        <v>5.1303236980205651E-18</v>
      </c>
      <c r="BS155" s="22">
        <f t="shared" si="169"/>
        <v>2.2479199245380497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-3.4106051316484809E-13</v>
      </c>
      <c r="BZ155" s="13">
        <f>BY155*VLOOKUP('Données projet'!$B$12,Paramètres!$A$1:$I$89,3,0)*VLOOKUP('Données projet'!$B$12,Paramètres!$A$1:$I$89,5,0)</f>
        <v>-1.9065282685915009E-13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475.54809021014017</v>
      </c>
      <c r="CE155" s="59">
        <f t="shared" si="148"/>
        <v>593.51433014569966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0.65534622576593249</v>
      </c>
      <c r="CL155" s="21">
        <f>EXP(-LN(2)/25)*CL154+(1-EXP(-LN(2)/25))/(LN(2)/25)*Calculateur!CG155*Calculateur!CI155*VLOOKUP('Données projet'!$B$12,Paramètres!$A$1:$I$89,3,0)*0.475*44/12</f>
        <v>1.4471309043465872</v>
      </c>
      <c r="CM155" s="21">
        <f>EXP(-LN(2)/2)*CM154+(1-EXP(-LN(2)/2))/(LN(2)/2)*CG155*CJ155*VLOOKUP('Données projet'!$B$12,Paramètres!$A$1:$I$89,3,0)*0.475*44/12</f>
        <v>6.2527924525331194E-18</v>
      </c>
      <c r="CN155" s="22">
        <f t="shared" si="172"/>
        <v>2.1024771301125198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-1.1368683772161603E-13</v>
      </c>
      <c r="CU155" s="17">
        <f>CT155*VLOOKUP('Données projet'!$B$13,Paramètres!$A$1:$I$89,3,0)*VLOOKUP('Données projet'!$B$13,Paramètres!$A$1:$I$89,5,0)</f>
        <v>-5.3205440053716299E-14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226.0452828290525</v>
      </c>
      <c r="CZ155" s="59">
        <f t="shared" si="150"/>
        <v>179.89696397462069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0.81021061420133622</v>
      </c>
      <c r="DG155" s="21">
        <f>EXP(-LN(2)/25)*DG154+(1-EXP(-LN(2)/25))/(LN(2)/25)*Calculateur!DB155*Calculateur!DD155*VLOOKUP('Données projet'!$B$13,Paramètres!$A$1:$I$89,3,0)*0.475*44/12</f>
        <v>0.37870401383339347</v>
      </c>
      <c r="DH155" s="21">
        <f>EXP(-LN(2)/2)*DH154+(1-EXP(-LN(2)/2))/(LN(2)/2)*DB155*DE155*VLOOKUP('Données projet'!$B$13,Paramètres!$A$1:$I$89,3,0)*0.475*44/12</f>
        <v>4.7891936265705398E-18</v>
      </c>
      <c r="DI155" s="22">
        <f t="shared" si="175"/>
        <v>1.1889146280347296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1.1368683772161603E-13</v>
      </c>
      <c r="DP155" s="17">
        <f>DO155*VLOOKUP('Données projet'!$B$14,Paramètres!$A$1:$I$89,3,0)*VLOOKUP('Données projet'!$B$14,Paramètres!$A$1:$I$89,5,0)</f>
        <v>6.7984728957526396E-14</v>
      </c>
      <c r="DQ155" s="13">
        <f t="shared" si="176"/>
        <v>1.0682447123141398E-12</v>
      </c>
      <c r="DR155" s="20">
        <f t="shared" si="177"/>
        <v>1.978932943548152E-12</v>
      </c>
      <c r="DS155" s="59">
        <f t="shared" si="125"/>
        <v>293.3333333333353</v>
      </c>
      <c r="DT155" s="59">
        <f ca="1">AVERAGE(OFFSET($DS$3,0,0,'Données projet'!$E$14+1,1))-AVERAGE(OFFSET($H$3,0,0,'Données projet'!$E$14+1,1))</f>
        <v>252.81045065813976</v>
      </c>
      <c r="DU155" s="59">
        <f t="shared" si="152"/>
        <v>254.36590349790589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1.6116857255894115</v>
      </c>
      <c r="EB155" s="21">
        <f>EXP(-LN(2)/25)*EB154+(1-EXP(-LN(2)/25))/(LN(2)/25)*Calculateur!DW155*Calculateur!DY155*VLOOKUP('Données projet'!$B$14,Paramètres!$A$1:$I$89,3,0)*0.475*44/12</f>
        <v>0.54764703185638963</v>
      </c>
      <c r="EC155" s="21">
        <f>EXP(-LN(2)/2)*EC154+(1-EXP(-LN(2)/2))/(LN(2)/2)*DW155*DZ155*VLOOKUP('Données projet'!$B$14,Paramètres!$A$1:$I$89,3,0)*0.475*44/12</f>
        <v>2.4899282653661051E-18</v>
      </c>
      <c r="ED155" s="22">
        <f t="shared" si="178"/>
        <v>2.1593327574458012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-2.8421709430404007E-13</v>
      </c>
      <c r="EK155" s="17">
        <f>EJ155*VLOOKUP('Données projet'!$B$15,Paramètres!$A$1:$I$89,3,0)*VLOOKUP('Données projet'!$B$15,Paramètres!$A$1:$I$89,5,0)</f>
        <v>-2.0838797354372215E-13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296.91321813251051</v>
      </c>
      <c r="EP155" s="59">
        <f t="shared" si="154"/>
        <v>291.0718079639509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1.1556423173545578</v>
      </c>
      <c r="EW155" s="21">
        <f>EXP(-LN(2)/25)*EW154+(1-EXP(-LN(2)/25))/(LN(2)/25)*Calculateur!ER155*Calculateur!ET155*VLOOKUP('Données projet'!$B$15,Paramètres!$A$1:$I$89,3,0)*0.475*44/12</f>
        <v>0.5250998829752237</v>
      </c>
      <c r="EX155" s="21">
        <f>EXP(-LN(2)/2)*EX154+(1-EXP(-LN(2)/2))/(LN(2)/2)*ER155*EU155*VLOOKUP('Données projet'!$B$15,Paramètres!$A$1:$I$89,3,0)*0.475*44/12</f>
        <v>4.7279453687640616E-18</v>
      </c>
      <c r="EY155" s="22">
        <f t="shared" si="181"/>
        <v>1.6807422003297816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>
        <f>FE155*VLOOKUP('Données projet'!$B$16,Paramètres!$A$1:$I$89,3,0)*VLOOKUP('Données projet'!$B$16,Paramètres!$A$1:$I$89,5,0)</f>
        <v>0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356.65981389369125</v>
      </c>
      <c r="FK155" s="59">
        <f t="shared" si="156"/>
        <v>231.92898690465887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0.73114878550757278</v>
      </c>
      <c r="FR155" s="21">
        <f>EXP(-LN(2)/25)*FR154+(1-EXP(-LN(2)/25))/(LN(2)/25)*Calculateur!FM155*Calculateur!FO155*VLOOKUP('Données projet'!$B$16,Paramètres!$A$1:$I$89,3,0)*0.475*44/12</f>
        <v>0.35641495633665238</v>
      </c>
      <c r="FS155" s="21">
        <f>EXP(-LN(2)/2)*FS154+(1-EXP(-LN(2)/2))/(LN(2)/2)*FM155*FP155*VLOOKUP('Données projet'!$B$16,Paramètres!$A$1:$I$89,3,0)*0.475*44/12</f>
        <v>4.1481135330027693E-18</v>
      </c>
      <c r="FT155" s="22">
        <f t="shared" si="184"/>
        <v>1.0875637418442252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>
        <f>FZ155*VLOOKUP('Données projet'!$B$17,Paramètres!$A$1:$I$89,3,0)*VLOOKUP('Données projet'!$B$17,Paramètres!$A$1:$I$89,5,0)</f>
        <v>0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337.76140497227715</v>
      </c>
      <c r="GF155" s="59">
        <f t="shared" si="158"/>
        <v>219.76562717496353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0.69740345694568473</v>
      </c>
      <c r="GM155" s="21">
        <f>EXP(-LN(2)/25)*GM154+(1-EXP(-LN(2)/25))/(LN(2)/25)*Calculateur!GH155*Calculateur!GJ155*VLOOKUP('Données projet'!$B$17,Paramètres!$A$1:$I$89,3,0)*0.475*44/12</f>
        <v>0.3399650352749608</v>
      </c>
      <c r="GN155" s="21">
        <f>EXP(-LN(2)/2)*GN154+(1-EXP(-LN(2)/2))/(LN(2)/2)*GH155*GK155*VLOOKUP('Données projet'!$B$17,Paramètres!$A$1:$I$89,3,0)*0.475*44/12</f>
        <v>3.9566621391718732E-18</v>
      </c>
      <c r="GO155" s="21">
        <f t="shared" si="187"/>
        <v>1.0373684922206454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312.53389584272878</v>
      </c>
      <c r="T156" s="59">
        <f t="shared" si="142"/>
        <v>203.5274665601915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0.63961632952720937</v>
      </c>
      <c r="AA156" s="21">
        <f>EXP(-LN(2)/25)*AA155+(1-EXP(-LN(2)/25))/(LN(2)/25)*Calculateur!V156*Calculateur!X156*VLOOKUP('Données projet'!$B$9,Paramètres!$A$1:$I$89,3,0)*0.475*44/12</f>
        <v>0.30933521070045422</v>
      </c>
      <c r="AB156" s="21">
        <f>EXP(-LN(2)/2)*AB155+(1-EXP(-LN(2)/2))/(LN(2)/2)*V156*Y156*VLOOKUP('Données projet'!$B$9,Paramètres!$A$1:$I$89,3,0)*0.475*44/12</f>
        <v>2.6172805243452438E-18</v>
      </c>
      <c r="AC156" s="22">
        <f t="shared" si="163"/>
        <v>0.94895154022766359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5.6843418860808015E-14</v>
      </c>
      <c r="AJ156" s="13">
        <f>AI156*VLOOKUP('Données projet'!$B$10,Paramètres!$A$1:$I$89,3,0)*VLOOKUP('Données projet'!$B$10,Paramètres!$A$1:$I$89,5,0)</f>
        <v>4.9658410716801891E-14</v>
      </c>
      <c r="AK156" s="13">
        <f t="shared" si="164"/>
        <v>8.0934058173791862E-13</v>
      </c>
      <c r="AL156" s="20">
        <f t="shared" si="165"/>
        <v>1.4960899118586383E-12</v>
      </c>
      <c r="AM156" s="59">
        <f t="shared" si="113"/>
        <v>293.33333333333479</v>
      </c>
      <c r="AN156" s="59">
        <f ca="1">AVERAGE(OFFSET($AM$3,0,0,'Données projet'!$E$10+1,1))-AVERAGE(OFFSET($H$3,0,0,'Données projet'!$E$10+1,1))</f>
        <v>243.05628303465238</v>
      </c>
      <c r="AO156" s="59">
        <f t="shared" si="144"/>
        <v>352.47096767658394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0.69093594597916907</v>
      </c>
      <c r="AV156" s="21">
        <f>EXP(-LN(2)/25)*AV155+(1-EXP(-LN(2)/25))/(LN(2)/25)*Calculateur!AQ156*Calculateur!AS156*VLOOKUP('Données projet'!$B$10,Paramètres!$A$1:$I$89,3,0)*0.475*44/12</f>
        <v>0.5984729386393205</v>
      </c>
      <c r="AW156" s="21">
        <f>EXP(-LN(2)/2)*AW155+(1-EXP(-LN(2)/2))/(LN(2)/2)*AQ156*AT156*VLOOKUP('Données projet'!$B$10,Paramètres!$A$1:$I$89,3,0)*0.475*44/12</f>
        <v>3.4570149163458113E-18</v>
      </c>
      <c r="AX156" s="21">
        <f t="shared" si="166"/>
        <v>1.2894088846184895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-2.8421709430404007E-13</v>
      </c>
      <c r="BE156" s="13">
        <f>BD156*VLOOKUP('Données projet'!$B$11,Paramètres!$A$1:$I$89,3,0)*VLOOKUP('Données projet'!$B$11,Paramètres!$A$1:$I$89,5,0)</f>
        <v>-2.2612312022829427E-13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325.72928944930294</v>
      </c>
      <c r="BJ156" s="59">
        <f t="shared" si="146"/>
        <v>318.38876834819752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1.5153128693045317</v>
      </c>
      <c r="BQ156" s="21">
        <f>EXP(-LN(2)/25)*BQ155+(1-EXP(-LN(2)/25))/(LN(2)/25)*Calculateur!BL156*Calculateur!BN156*VLOOKUP('Données projet'!$B$11,Paramètres!$A$1:$I$89,3,0)*0.475*44/12</f>
        <v>0.68309397350971623</v>
      </c>
      <c r="BR156" s="21">
        <f>EXP(-LN(2)/2)*BR155+(1-EXP(-LN(2)/2))/(LN(2)/2)*BL156*BO156*VLOOKUP('Données projet'!$B$11,Paramètres!$A$1:$I$89,3,0)*0.475*44/12</f>
        <v>3.6276866765523869E-18</v>
      </c>
      <c r="BS156" s="22">
        <f t="shared" si="169"/>
        <v>2.198406842814248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-3.4106051316484809E-13</v>
      </c>
      <c r="BZ156" s="13">
        <f>BY156*VLOOKUP('Données projet'!$B$12,Paramètres!$A$1:$I$89,3,0)*VLOOKUP('Données projet'!$B$12,Paramètres!$A$1:$I$89,5,0)</f>
        <v>-1.9065282685915009E-13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475.54809021014017</v>
      </c>
      <c r="CE156" s="59">
        <f t="shared" si="148"/>
        <v>593.51433014569966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0.64249528600039107</v>
      </c>
      <c r="CL156" s="21">
        <f>EXP(-LN(2)/25)*CL155+(1-EXP(-LN(2)/25))/(LN(2)/25)*Calculateur!CG156*Calculateur!CI156*VLOOKUP('Données projet'!$B$12,Paramètres!$A$1:$I$89,3,0)*0.475*44/12</f>
        <v>1.4075590336659229</v>
      </c>
      <c r="CM156" s="21">
        <f>EXP(-LN(2)/2)*CM155+(1-EXP(-LN(2)/2))/(LN(2)/2)*CG156*CJ156*VLOOKUP('Données projet'!$B$12,Paramètres!$A$1:$I$89,3,0)*0.475*44/12</f>
        <v>4.4213919445382322E-18</v>
      </c>
      <c r="CN156" s="22">
        <f t="shared" si="172"/>
        <v>2.0500543196663141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-1.1368683772161603E-13</v>
      </c>
      <c r="CU156" s="17">
        <f>CT156*VLOOKUP('Données projet'!$B$13,Paramètres!$A$1:$I$89,3,0)*VLOOKUP('Données projet'!$B$13,Paramètres!$A$1:$I$89,5,0)</f>
        <v>-5.3205440053716299E-14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226.0452828290525</v>
      </c>
      <c r="CZ156" s="59">
        <f t="shared" si="150"/>
        <v>179.89696397462069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0.79432287823652648</v>
      </c>
      <c r="DG156" s="21">
        <f>EXP(-LN(2)/25)*DG155+(1-EXP(-LN(2)/25))/(LN(2)/25)*Calculateur!DB156*Calculateur!DD156*VLOOKUP('Données projet'!$B$13,Paramètres!$A$1:$I$89,3,0)*0.475*44/12</f>
        <v>0.36834833265994077</v>
      </c>
      <c r="DH156" s="21">
        <f>EXP(-LN(2)/2)*DH155+(1-EXP(-LN(2)/2))/(LN(2)/2)*DB156*DE156*VLOOKUP('Données projet'!$B$13,Paramètres!$A$1:$I$89,3,0)*0.475*44/12</f>
        <v>3.3864712897634228E-18</v>
      </c>
      <c r="DI156" s="22">
        <f t="shared" si="175"/>
        <v>1.1626712108964672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1.1368683772161603E-13</v>
      </c>
      <c r="DP156" s="17">
        <f>DO156*VLOOKUP('Données projet'!$B$14,Paramètres!$A$1:$I$89,3,0)*VLOOKUP('Données projet'!$B$14,Paramètres!$A$1:$I$89,5,0)</f>
        <v>6.7984728957526396E-14</v>
      </c>
      <c r="DQ156" s="13">
        <f t="shared" si="176"/>
        <v>1.0682447123141398E-12</v>
      </c>
      <c r="DR156" s="20">
        <f t="shared" si="177"/>
        <v>1.978932943548152E-12</v>
      </c>
      <c r="DS156" s="59">
        <f t="shared" si="125"/>
        <v>293.3333333333353</v>
      </c>
      <c r="DT156" s="59">
        <f ca="1">AVERAGE(OFFSET($DS$3,0,0,'Données projet'!$E$14+1,1))-AVERAGE(OFFSET($H$3,0,0,'Données projet'!$E$14+1,1))</f>
        <v>252.81045065813976</v>
      </c>
      <c r="DU156" s="59">
        <f t="shared" si="152"/>
        <v>254.36590349790589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1.5800815515418294</v>
      </c>
      <c r="EB156" s="21">
        <f>EXP(-LN(2)/25)*EB155+(1-EXP(-LN(2)/25))/(LN(2)/25)*Calculateur!DW156*Calculateur!DY156*VLOOKUP('Données projet'!$B$14,Paramètres!$A$1:$I$89,3,0)*0.475*44/12</f>
        <v>0.53267159497077088</v>
      </c>
      <c r="EC156" s="21">
        <f>EXP(-LN(2)/2)*EC155+(1-EXP(-LN(2)/2))/(LN(2)/2)*DW156*DZ156*VLOOKUP('Données projet'!$B$14,Paramètres!$A$1:$I$89,3,0)*0.475*44/12</f>
        <v>1.7606451611084303E-18</v>
      </c>
      <c r="ED156" s="22">
        <f t="shared" si="178"/>
        <v>2.1127531465126004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-2.8421709430404007E-13</v>
      </c>
      <c r="EK156" s="17">
        <f>EJ156*VLOOKUP('Données projet'!$B$15,Paramètres!$A$1:$I$89,3,0)*VLOOKUP('Données projet'!$B$15,Paramètres!$A$1:$I$89,5,0)</f>
        <v>-2.0838797354372215E-13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296.91321813251051</v>
      </c>
      <c r="EP156" s="59">
        <f t="shared" si="154"/>
        <v>291.0718079639509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1.1329808763834481</v>
      </c>
      <c r="EW156" s="21">
        <f>EXP(-LN(2)/25)*EW155+(1-EXP(-LN(2)/25))/(LN(2)/25)*Calculateur!ER156*Calculateur!ET156*VLOOKUP('Données projet'!$B$15,Paramètres!$A$1:$I$89,3,0)*0.475*44/12</f>
        <v>0.51074099906146353</v>
      </c>
      <c r="EX156" s="21">
        <f>EXP(-LN(2)/2)*EX155+(1-EXP(-LN(2)/2))/(LN(2)/2)*ER156*EU156*VLOOKUP('Données projet'!$B$15,Paramètres!$A$1:$I$89,3,0)*0.475*44/12</f>
        <v>3.3431622313326001E-18</v>
      </c>
      <c r="EY156" s="22">
        <f t="shared" si="181"/>
        <v>1.6437218754449117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>
        <f>FE156*VLOOKUP('Données projet'!$B$16,Paramètres!$A$1:$I$89,3,0)*VLOOKUP('Données projet'!$B$16,Paramètres!$A$1:$I$89,5,0)</f>
        <v>0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356.65981389369125</v>
      </c>
      <c r="FK156" s="59">
        <f t="shared" si="156"/>
        <v>231.92898690465887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0.71681140378049391</v>
      </c>
      <c r="FR156" s="21">
        <f>EXP(-LN(2)/25)*FR155+(1-EXP(-LN(2)/25))/(LN(2)/25)*Calculateur!FM156*Calculateur!FO156*VLOOKUP('Données projet'!$B$16,Paramètres!$A$1:$I$89,3,0)*0.475*44/12</f>
        <v>0.34666877061257867</v>
      </c>
      <c r="FS156" s="21">
        <f>EXP(-LN(2)/2)*FS155+(1-EXP(-LN(2)/2))/(LN(2)/2)*FM156*FP156*VLOOKUP('Données projet'!$B$16,Paramètres!$A$1:$I$89,3,0)*0.475*44/12</f>
        <v>2.9331592083179458E-18</v>
      </c>
      <c r="FT156" s="22">
        <f t="shared" si="184"/>
        <v>1.0634801743930726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>
        <f>FZ156*VLOOKUP('Données projet'!$B$17,Paramètres!$A$1:$I$89,3,0)*VLOOKUP('Données projet'!$B$17,Paramètres!$A$1:$I$89,5,0)</f>
        <v>0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337.76140497227715</v>
      </c>
      <c r="GF156" s="59">
        <f t="shared" si="158"/>
        <v>219.76562717496353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0.68372780052908644</v>
      </c>
      <c r="GM156" s="21">
        <f>EXP(-LN(2)/25)*GM155+(1-EXP(-LN(2)/25))/(LN(2)/25)*Calculateur!GH156*Calculateur!GJ156*VLOOKUP('Données projet'!$B$17,Paramètres!$A$1:$I$89,3,0)*0.475*44/12</f>
        <v>0.33066867350738277</v>
      </c>
      <c r="GN156" s="21">
        <f>EXP(-LN(2)/2)*GN155+(1-EXP(-LN(2)/2))/(LN(2)/2)*GH156*GK156*VLOOKUP('Données projet'!$B$17,Paramètres!$A$1:$I$89,3,0)*0.475*44/12</f>
        <v>2.7977826294725028E-18</v>
      </c>
      <c r="GO156" s="21">
        <f t="shared" si="187"/>
        <v>1.0143964740364693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312.53389584272878</v>
      </c>
      <c r="T157" s="59">
        <f t="shared" si="142"/>
        <v>203.5274665601915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0.62707384343261996</v>
      </c>
      <c r="AA157" s="21">
        <f>EXP(-LN(2)/25)*AA156+(1-EXP(-LN(2)/25))/(LN(2)/25)*Calculateur!V157*Calculateur!X157*VLOOKUP('Données projet'!$B$9,Paramètres!$A$1:$I$89,3,0)*0.475*44/12</f>
        <v>0.30087642309661855</v>
      </c>
      <c r="AB157" s="21">
        <f>EXP(-LN(2)/2)*AB156+(1-EXP(-LN(2)/2))/(LN(2)/2)*V157*Y157*VLOOKUP('Données projet'!$B$9,Paramètres!$A$1:$I$89,3,0)*0.475*44/12</f>
        <v>1.8506968070320047E-18</v>
      </c>
      <c r="AC157" s="22">
        <f t="shared" si="163"/>
        <v>0.92795026652923851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5.6843418860808015E-14</v>
      </c>
      <c r="AJ157" s="13">
        <f>AI157*VLOOKUP('Données projet'!$B$10,Paramètres!$A$1:$I$89,3,0)*VLOOKUP('Données projet'!$B$10,Paramètres!$A$1:$I$89,5,0)</f>
        <v>4.9658410716801891E-14</v>
      </c>
      <c r="AK157" s="13">
        <f t="shared" si="164"/>
        <v>8.0934058173791862E-13</v>
      </c>
      <c r="AL157" s="20">
        <f t="shared" si="165"/>
        <v>1.4960899118586383E-12</v>
      </c>
      <c r="AM157" s="59">
        <f t="shared" si="113"/>
        <v>293.33333333333479</v>
      </c>
      <c r="AN157" s="59">
        <f ca="1">AVERAGE(OFFSET($AM$3,0,0,'Données projet'!$E$10+1,1))-AVERAGE(OFFSET($H$3,0,0,'Données projet'!$E$10+1,1))</f>
        <v>243.05628303465238</v>
      </c>
      <c r="AO157" s="59">
        <f t="shared" si="144"/>
        <v>352.47096767658394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0.67738711350783187</v>
      </c>
      <c r="AV157" s="21">
        <f>EXP(-LN(2)/25)*AV156+(1-EXP(-LN(2)/25))/(LN(2)/25)*Calculateur!AQ157*Calculateur!AS157*VLOOKUP('Données projet'!$B$10,Paramètres!$A$1:$I$89,3,0)*0.475*44/12</f>
        <v>0.58210766465990427</v>
      </c>
      <c r="AW157" s="21">
        <f>EXP(-LN(2)/2)*AW156+(1-EXP(-LN(2)/2))/(LN(2)/2)*AQ157*AT157*VLOOKUP('Données projet'!$B$10,Paramètres!$A$1:$I$89,3,0)*0.475*44/12</f>
        <v>2.4444786900111687E-18</v>
      </c>
      <c r="AX157" s="21">
        <f t="shared" si="166"/>
        <v>1.2594947781677361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-2.8421709430404007E-13</v>
      </c>
      <c r="BE157" s="13">
        <f>BD157*VLOOKUP('Données projet'!$B$11,Paramètres!$A$1:$I$89,3,0)*VLOOKUP('Données projet'!$B$11,Paramètres!$A$1:$I$89,5,0)</f>
        <v>-2.2612312022829427E-13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325.72928944930294</v>
      </c>
      <c r="BJ157" s="59">
        <f t="shared" si="146"/>
        <v>318.38876834819752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1.485598508187058</v>
      </c>
      <c r="BQ157" s="21">
        <f>EXP(-LN(2)/25)*BQ156+(1-EXP(-LN(2)/25))/(LN(2)/25)*Calculateur!BL157*Calculateur!BN157*VLOOKUP('Données projet'!$B$11,Paramètres!$A$1:$I$89,3,0)*0.475*44/12</f>
        <v>0.66441473288174224</v>
      </c>
      <c r="BR157" s="21">
        <f>EXP(-LN(2)/2)*BR156+(1-EXP(-LN(2)/2))/(LN(2)/2)*BL157*BO157*VLOOKUP('Données projet'!$B$11,Paramètres!$A$1:$I$89,3,0)*0.475*44/12</f>
        <v>2.5651618490102826E-18</v>
      </c>
      <c r="BS157" s="22">
        <f t="shared" si="169"/>
        <v>2.1500132410688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-3.4106051316484809E-13</v>
      </c>
      <c r="BZ157" s="13">
        <f>BY157*VLOOKUP('Données projet'!$B$12,Paramètres!$A$1:$I$89,3,0)*VLOOKUP('Données projet'!$B$12,Paramètres!$A$1:$I$89,5,0)</f>
        <v>-1.9065282685915009E-13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475.54809021014017</v>
      </c>
      <c r="CE157" s="59">
        <f t="shared" si="148"/>
        <v>593.51433014569966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0.62989634532535255</v>
      </c>
      <c r="CL157" s="21">
        <f>EXP(-LN(2)/25)*CL156+(1-EXP(-LN(2)/25))/(LN(2)/25)*Calculateur!CG157*Calculateur!CI157*VLOOKUP('Données projet'!$B$12,Paramètres!$A$1:$I$89,3,0)*0.475*44/12</f>
        <v>1.3690692578700157</v>
      </c>
      <c r="CM157" s="21">
        <f>EXP(-LN(2)/2)*CM156+(1-EXP(-LN(2)/2))/(LN(2)/2)*CG157*CJ157*VLOOKUP('Données projet'!$B$12,Paramètres!$A$1:$I$89,3,0)*0.475*44/12</f>
        <v>3.1263962262665597E-18</v>
      </c>
      <c r="CN157" s="22">
        <f t="shared" si="172"/>
        <v>1.9989656031953682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-1.1368683772161603E-13</v>
      </c>
      <c r="CU157" s="17">
        <f>CT157*VLOOKUP('Données projet'!$B$13,Paramètres!$A$1:$I$89,3,0)*VLOOKUP('Données projet'!$B$13,Paramètres!$A$1:$I$89,5,0)</f>
        <v>-5.3205440053716299E-14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226.0452828290525</v>
      </c>
      <c r="CZ157" s="59">
        <f t="shared" si="150"/>
        <v>179.89696397462069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0.77874669108342454</v>
      </c>
      <c r="DG157" s="21">
        <f>EXP(-LN(2)/25)*DG156+(1-EXP(-LN(2)/25))/(LN(2)/25)*Calculateur!DB157*Calculateur!DD157*VLOOKUP('Données projet'!$B$13,Paramètres!$A$1:$I$89,3,0)*0.475*44/12</f>
        <v>0.35827582813275777</v>
      </c>
      <c r="DH157" s="21">
        <f>EXP(-LN(2)/2)*DH156+(1-EXP(-LN(2)/2))/(LN(2)/2)*DB157*DE157*VLOOKUP('Données projet'!$B$13,Paramètres!$A$1:$I$89,3,0)*0.475*44/12</f>
        <v>2.3945968132852703E-18</v>
      </c>
      <c r="DI157" s="22">
        <f t="shared" si="175"/>
        <v>1.1370225192161822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1.1368683772161603E-13</v>
      </c>
      <c r="DP157" s="17">
        <f>DO157*VLOOKUP('Données projet'!$B$14,Paramètres!$A$1:$I$89,3,0)*VLOOKUP('Données projet'!$B$14,Paramètres!$A$1:$I$89,5,0)</f>
        <v>6.7984728957526396E-14</v>
      </c>
      <c r="DQ157" s="13">
        <f t="shared" si="176"/>
        <v>1.0682447123141398E-12</v>
      </c>
      <c r="DR157" s="20">
        <f t="shared" si="177"/>
        <v>1.978932943548152E-12</v>
      </c>
      <c r="DS157" s="59">
        <f t="shared" si="125"/>
        <v>293.3333333333353</v>
      </c>
      <c r="DT157" s="59">
        <f ca="1">AVERAGE(OFFSET($DS$3,0,0,'Données projet'!$E$14+1,1))-AVERAGE(OFFSET($H$3,0,0,'Données projet'!$E$14+1,1))</f>
        <v>252.81045065813976</v>
      </c>
      <c r="DU157" s="59">
        <f t="shared" si="152"/>
        <v>254.36590349790589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1.5490971160706777</v>
      </c>
      <c r="EB157" s="21">
        <f>EXP(-LN(2)/25)*EB156+(1-EXP(-LN(2)/25))/(LN(2)/25)*Calculateur!DW157*Calculateur!DY157*VLOOKUP('Données projet'!$B$14,Paramètres!$A$1:$I$89,3,0)*0.475*44/12</f>
        <v>0.51810566219431342</v>
      </c>
      <c r="EC157" s="21">
        <f>EXP(-LN(2)/2)*EC156+(1-EXP(-LN(2)/2))/(LN(2)/2)*DW157*DZ157*VLOOKUP('Données projet'!$B$14,Paramètres!$A$1:$I$89,3,0)*0.475*44/12</f>
        <v>1.2449641326830525E-18</v>
      </c>
      <c r="ED157" s="22">
        <f t="shared" si="178"/>
        <v>2.0672027782649911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-2.8421709430404007E-13</v>
      </c>
      <c r="EK157" s="17">
        <f>EJ157*VLOOKUP('Données projet'!$B$15,Paramètres!$A$1:$I$89,3,0)*VLOOKUP('Données projet'!$B$15,Paramètres!$A$1:$I$89,5,0)</f>
        <v>-2.0838797354372215E-13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296.91321813251051</v>
      </c>
      <c r="EP157" s="59">
        <f t="shared" si="154"/>
        <v>291.0718079639509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1.1107638124476678</v>
      </c>
      <c r="EW157" s="21">
        <f>EXP(-LN(2)/25)*EW156+(1-EXP(-LN(2)/25))/(LN(2)/25)*Calculateur!ER157*Calculateur!ET157*VLOOKUP('Données projet'!$B$15,Paramètres!$A$1:$I$89,3,0)*0.475*44/12</f>
        <v>0.49677475958342598</v>
      </c>
      <c r="EX157" s="21">
        <f>EXP(-LN(2)/2)*EX156+(1-EXP(-LN(2)/2))/(LN(2)/2)*ER157*EU157*VLOOKUP('Données projet'!$B$15,Paramètres!$A$1:$I$89,3,0)*0.475*44/12</f>
        <v>2.3639726843820308E-18</v>
      </c>
      <c r="EY157" s="22">
        <f t="shared" si="181"/>
        <v>1.6075385720310937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>
        <f>FE157*VLOOKUP('Données projet'!$B$16,Paramètres!$A$1:$I$89,3,0)*VLOOKUP('Données projet'!$B$16,Paramètres!$A$1:$I$89,5,0)</f>
        <v>0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356.65981389369125</v>
      </c>
      <c r="FK157" s="59">
        <f t="shared" si="156"/>
        <v>231.92898690465887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0.70275516936414362</v>
      </c>
      <c r="FR157" s="21">
        <f>EXP(-LN(2)/25)*FR156+(1-EXP(-LN(2)/25))/(LN(2)/25)*Calculateur!FM157*Calculateur!FO157*VLOOKUP('Données projet'!$B$16,Paramètres!$A$1:$I$89,3,0)*0.475*44/12</f>
        <v>0.33718909484965937</v>
      </c>
      <c r="FS157" s="21">
        <f>EXP(-LN(2)/2)*FS156+(1-EXP(-LN(2)/2))/(LN(2)/2)*FM157*FP157*VLOOKUP('Données projet'!$B$16,Paramètres!$A$1:$I$89,3,0)*0.475*44/12</f>
        <v>2.0740567665013846E-18</v>
      </c>
      <c r="FT157" s="22">
        <f t="shared" si="184"/>
        <v>1.039944264213803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>
        <f>FZ157*VLOOKUP('Données projet'!$B$17,Paramètres!$A$1:$I$89,3,0)*VLOOKUP('Données projet'!$B$17,Paramètres!$A$1:$I$89,5,0)</f>
        <v>0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337.76140497227715</v>
      </c>
      <c r="GF157" s="59">
        <f t="shared" si="158"/>
        <v>219.76562717496353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0.6703203153934908</v>
      </c>
      <c r="GM157" s="21">
        <f>EXP(-LN(2)/25)*GM156+(1-EXP(-LN(2)/25))/(LN(2)/25)*Calculateur!GH157*Calculateur!GJ157*VLOOKUP('Données projet'!$B$17,Paramètres!$A$1:$I$89,3,0)*0.475*44/12</f>
        <v>0.3216265212412136</v>
      </c>
      <c r="GN157" s="21">
        <f>EXP(-LN(2)/2)*GN156+(1-EXP(-LN(2)/2))/(LN(2)/2)*GH157*GK157*VLOOKUP('Données projet'!$B$17,Paramètres!$A$1:$I$89,3,0)*0.475*44/12</f>
        <v>1.9783310695859366E-18</v>
      </c>
      <c r="GO157" s="21">
        <f t="shared" si="187"/>
        <v>0.9919468366347044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312.53389584272878</v>
      </c>
      <c r="T158" s="59">
        <f t="shared" si="142"/>
        <v>203.5274665601915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0.61477730784018425</v>
      </c>
      <c r="AA158" s="21">
        <f>EXP(-LN(2)/25)*AA157+(1-EXP(-LN(2)/25))/(LN(2)/25)*Calculateur!V158*Calculateur!X158*VLOOKUP('Données projet'!$B$9,Paramètres!$A$1:$I$89,3,0)*0.475*44/12</f>
        <v>0.2926489414846381</v>
      </c>
      <c r="AB158" s="21">
        <f>EXP(-LN(2)/2)*AB157+(1-EXP(-LN(2)/2))/(LN(2)/2)*V158*Y158*VLOOKUP('Données projet'!$B$9,Paramètres!$A$1:$I$89,3,0)*0.475*44/12</f>
        <v>1.3086402621726219E-18</v>
      </c>
      <c r="AC158" s="22">
        <f t="shared" si="163"/>
        <v>0.90742624932482241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5.6843418860808015E-14</v>
      </c>
      <c r="AJ158" s="13">
        <f>AI158*VLOOKUP('Données projet'!$B$10,Paramètres!$A$1:$I$89,3,0)*VLOOKUP('Données projet'!$B$10,Paramètres!$A$1:$I$89,5,0)</f>
        <v>4.9658410716801891E-14</v>
      </c>
      <c r="AK158" s="13">
        <f t="shared" si="164"/>
        <v>8.0934058173791862E-13</v>
      </c>
      <c r="AL158" s="20">
        <f t="shared" si="165"/>
        <v>1.4960899118586383E-12</v>
      </c>
      <c r="AM158" s="59">
        <f t="shared" si="113"/>
        <v>293.33333333333479</v>
      </c>
      <c r="AN158" s="59">
        <f ca="1">AVERAGE(OFFSET($AM$3,0,0,'Données projet'!$E$10+1,1))-AVERAGE(OFFSET($H$3,0,0,'Données projet'!$E$10+1,1))</f>
        <v>243.05628303465238</v>
      </c>
      <c r="AO158" s="59">
        <f t="shared" si="144"/>
        <v>352.47096767658394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0.66410396537728589</v>
      </c>
      <c r="AV158" s="21">
        <f>EXP(-LN(2)/25)*AV157+(1-EXP(-LN(2)/25))/(LN(2)/25)*Calculateur!AQ158*Calculateur!AS158*VLOOKUP('Données projet'!$B$10,Paramètres!$A$1:$I$89,3,0)*0.475*44/12</f>
        <v>0.56618989995806757</v>
      </c>
      <c r="AW158" s="21">
        <f>EXP(-LN(2)/2)*AW157+(1-EXP(-LN(2)/2))/(LN(2)/2)*AQ158*AT158*VLOOKUP('Données projet'!$B$10,Paramètres!$A$1:$I$89,3,0)*0.475*44/12</f>
        <v>1.7285074581729058E-18</v>
      </c>
      <c r="AX158" s="21">
        <f t="shared" si="166"/>
        <v>1.2302938653353535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-2.8421709430404007E-13</v>
      </c>
      <c r="BE158" s="13">
        <f>BD158*VLOOKUP('Données projet'!$B$11,Paramètres!$A$1:$I$89,3,0)*VLOOKUP('Données projet'!$B$11,Paramètres!$A$1:$I$89,5,0)</f>
        <v>-2.2612312022829427E-13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325.72928944930294</v>
      </c>
      <c r="BJ158" s="59">
        <f t="shared" si="146"/>
        <v>318.38876834819752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1.4564668275671273</v>
      </c>
      <c r="BQ158" s="21">
        <f>EXP(-LN(2)/25)*BQ157+(1-EXP(-LN(2)/25))/(LN(2)/25)*Calculateur!BL158*Calculateur!BN158*VLOOKUP('Données projet'!$B$11,Paramètres!$A$1:$I$89,3,0)*0.475*44/12</f>
        <v>0.64624627707103877</v>
      </c>
      <c r="BR158" s="21">
        <f>EXP(-LN(2)/2)*BR157+(1-EXP(-LN(2)/2))/(LN(2)/2)*BL158*BO158*VLOOKUP('Données projet'!$B$11,Paramètres!$A$1:$I$89,3,0)*0.475*44/12</f>
        <v>1.8138433382761935E-18</v>
      </c>
      <c r="BS158" s="22">
        <f t="shared" si="169"/>
        <v>2.1027131046381662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-3.4106051316484809E-13</v>
      </c>
      <c r="BZ158" s="13">
        <f>BY158*VLOOKUP('Données projet'!$B$12,Paramètres!$A$1:$I$89,3,0)*VLOOKUP('Données projet'!$B$12,Paramètres!$A$1:$I$89,5,0)</f>
        <v>-1.9065282685915009E-13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475.54809021014017</v>
      </c>
      <c r="CE158" s="59">
        <f t="shared" si="148"/>
        <v>593.51433014569966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0.61754446219235659</v>
      </c>
      <c r="CL158" s="21">
        <f>EXP(-LN(2)/25)*CL157+(1-EXP(-LN(2)/25))/(LN(2)/25)*Calculateur!CG158*Calculateur!CI158*VLOOKUP('Données projet'!$B$12,Paramètres!$A$1:$I$89,3,0)*0.475*44/12</f>
        <v>1.3316319870173368</v>
      </c>
      <c r="CM158" s="21">
        <f>EXP(-LN(2)/2)*CM157+(1-EXP(-LN(2)/2))/(LN(2)/2)*CG158*CJ158*VLOOKUP('Données projet'!$B$12,Paramètres!$A$1:$I$89,3,0)*0.475*44/12</f>
        <v>2.2106959722691161E-18</v>
      </c>
      <c r="CN158" s="22">
        <f t="shared" si="172"/>
        <v>1.9491764492096935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-1.1368683772161603E-13</v>
      </c>
      <c r="CU158" s="17">
        <f>CT158*VLOOKUP('Données projet'!$B$13,Paramètres!$A$1:$I$89,3,0)*VLOOKUP('Données projet'!$B$13,Paramètres!$A$1:$I$89,5,0)</f>
        <v>-5.3205440053716299E-14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226.0452828290525</v>
      </c>
      <c r="CZ158" s="59">
        <f t="shared" si="150"/>
        <v>179.89696397462069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0.76347594345985892</v>
      </c>
      <c r="DG158" s="21">
        <f>EXP(-LN(2)/25)*DG157+(1-EXP(-LN(2)/25))/(LN(2)/25)*Calculateur!DB158*Calculateur!DD158*VLOOKUP('Données projet'!$B$13,Paramètres!$A$1:$I$89,3,0)*0.475*44/12</f>
        <v>0.34847875677156054</v>
      </c>
      <c r="DH158" s="21">
        <f>EXP(-LN(2)/2)*DH157+(1-EXP(-LN(2)/2))/(LN(2)/2)*DB158*DE158*VLOOKUP('Données projet'!$B$13,Paramètres!$A$1:$I$89,3,0)*0.475*44/12</f>
        <v>1.6932356448817118E-18</v>
      </c>
      <c r="DI158" s="22">
        <f t="shared" si="175"/>
        <v>1.1119547002314194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1.1368683772161603E-13</v>
      </c>
      <c r="DP158" s="17">
        <f>DO158*VLOOKUP('Données projet'!$B$14,Paramètres!$A$1:$I$89,3,0)*VLOOKUP('Données projet'!$B$14,Paramètres!$A$1:$I$89,5,0)</f>
        <v>6.7984728957526396E-14</v>
      </c>
      <c r="DQ158" s="13">
        <f t="shared" si="176"/>
        <v>1.0682447123141398E-12</v>
      </c>
      <c r="DR158" s="20">
        <f t="shared" si="177"/>
        <v>1.978932943548152E-12</v>
      </c>
      <c r="DS158" s="59">
        <f t="shared" si="125"/>
        <v>293.3333333333353</v>
      </c>
      <c r="DT158" s="59">
        <f ca="1">AVERAGE(OFFSET($DS$3,0,0,'Données projet'!$E$14+1,1))-AVERAGE(OFFSET($H$3,0,0,'Données projet'!$E$14+1,1))</f>
        <v>252.81045065813976</v>
      </c>
      <c r="DU158" s="59">
        <f t="shared" si="152"/>
        <v>254.36590349790589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1.5187202664804758</v>
      </c>
      <c r="EB158" s="21">
        <f>EXP(-LN(2)/25)*EB157+(1-EXP(-LN(2)/25))/(LN(2)/25)*Calculateur!DW158*Calculateur!DY158*VLOOKUP('Données projet'!$B$14,Paramètres!$A$1:$I$89,3,0)*0.475*44/12</f>
        <v>0.50393803561561734</v>
      </c>
      <c r="EC158" s="21">
        <f>EXP(-LN(2)/2)*EC157+(1-EXP(-LN(2)/2))/(LN(2)/2)*DW158*DZ158*VLOOKUP('Données projet'!$B$14,Paramètres!$A$1:$I$89,3,0)*0.475*44/12</f>
        <v>8.8032258055421514E-19</v>
      </c>
      <c r="ED158" s="22">
        <f t="shared" si="178"/>
        <v>2.0226583020960929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-2.8421709430404007E-13</v>
      </c>
      <c r="EK158" s="17">
        <f>EJ158*VLOOKUP('Données projet'!$B$15,Paramètres!$A$1:$I$89,3,0)*VLOOKUP('Données projet'!$B$15,Paramètres!$A$1:$I$89,5,0)</f>
        <v>-2.0838797354372215E-13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296.91321813251051</v>
      </c>
      <c r="EP158" s="59">
        <f t="shared" si="154"/>
        <v>291.0718079639509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1.0889824115845972</v>
      </c>
      <c r="EW158" s="21">
        <f>EXP(-LN(2)/25)*EW157+(1-EXP(-LN(2)/25))/(LN(2)/25)*Calculateur!ER158*Calculateur!ET158*VLOOKUP('Données projet'!$B$15,Paramètres!$A$1:$I$89,3,0)*0.475*44/12</f>
        <v>0.483190427658368</v>
      </c>
      <c r="EX158" s="21">
        <f>EXP(-LN(2)/2)*EX157+(1-EXP(-LN(2)/2))/(LN(2)/2)*ER158*EU158*VLOOKUP('Données projet'!$B$15,Paramètres!$A$1:$I$89,3,0)*0.475*44/12</f>
        <v>1.6715811156663E-18</v>
      </c>
      <c r="EY158" s="22">
        <f t="shared" si="181"/>
        <v>1.5721728392429652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>
        <f>FE158*VLOOKUP('Données projet'!$B$16,Paramètres!$A$1:$I$89,3,0)*VLOOKUP('Données projet'!$B$16,Paramètres!$A$1:$I$89,5,0)</f>
        <v>0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356.65981389369125</v>
      </c>
      <c r="FK158" s="59">
        <f t="shared" si="156"/>
        <v>231.92898690465887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0.68897456913124155</v>
      </c>
      <c r="FR158" s="21">
        <f>EXP(-LN(2)/25)*FR157+(1-EXP(-LN(2)/25))/(LN(2)/25)*Calculateur!FM158*Calculateur!FO158*VLOOKUP('Données projet'!$B$16,Paramètres!$A$1:$I$89,3,0)*0.475*44/12</f>
        <v>0.32796864131899156</v>
      </c>
      <c r="FS158" s="21">
        <f>EXP(-LN(2)/2)*FS157+(1-EXP(-LN(2)/2))/(LN(2)/2)*FM158*FP158*VLOOKUP('Données projet'!$B$16,Paramètres!$A$1:$I$89,3,0)*0.475*44/12</f>
        <v>1.4665796041589729E-18</v>
      </c>
      <c r="FT158" s="22">
        <f t="shared" si="184"/>
        <v>1.0169432104502332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>
        <f>FZ158*VLOOKUP('Données projet'!$B$17,Paramètres!$A$1:$I$89,3,0)*VLOOKUP('Données projet'!$B$17,Paramètres!$A$1:$I$89,5,0)</f>
        <v>0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337.76140497227715</v>
      </c>
      <c r="GF158" s="59">
        <f t="shared" si="158"/>
        <v>219.76562717496353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0.65717574286364577</v>
      </c>
      <c r="GM158" s="21">
        <f>EXP(-LN(2)/25)*GM157+(1-EXP(-LN(2)/25))/(LN(2)/25)*Calculateur!GH158*Calculateur!GJ158*VLOOKUP('Données projet'!$B$17,Paramètres!$A$1:$I$89,3,0)*0.475*44/12</f>
        <v>0.31283162710426893</v>
      </c>
      <c r="GN158" s="21">
        <f>EXP(-LN(2)/2)*GN157+(1-EXP(-LN(2)/2))/(LN(2)/2)*GH158*GK158*VLOOKUP('Données projet'!$B$17,Paramètres!$A$1:$I$89,3,0)*0.475*44/12</f>
        <v>1.3988913147362514E-18</v>
      </c>
      <c r="GO158" s="21">
        <f t="shared" si="187"/>
        <v>0.9700073699679147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312.53389584272878</v>
      </c>
      <c r="T159" s="59">
        <f t="shared" si="142"/>
        <v>203.5274665601915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0.60272189981057012</v>
      </c>
      <c r="AA159" s="21">
        <f>EXP(-LN(2)/25)*AA158+(1-EXP(-LN(2)/25))/(LN(2)/25)*Calculateur!V159*Calculateur!X159*VLOOKUP('Données projet'!$B$9,Paramètres!$A$1:$I$89,3,0)*0.475*44/12</f>
        <v>0.28464644079000168</v>
      </c>
      <c r="AB159" s="21">
        <f>EXP(-LN(2)/2)*AB158+(1-EXP(-LN(2)/2))/(LN(2)/2)*V159*Y159*VLOOKUP('Données projet'!$B$9,Paramètres!$A$1:$I$89,3,0)*0.475*44/12</f>
        <v>9.2534840351600234E-19</v>
      </c>
      <c r="AC159" s="22">
        <f t="shared" si="163"/>
        <v>0.88736834060057179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5.6843418860808015E-14</v>
      </c>
      <c r="AJ159" s="13">
        <f>AI159*VLOOKUP('Données projet'!$B$10,Paramètres!$A$1:$I$89,3,0)*VLOOKUP('Données projet'!$B$10,Paramètres!$A$1:$I$89,5,0)</f>
        <v>4.9658410716801891E-14</v>
      </c>
      <c r="AK159" s="13">
        <f t="shared" si="164"/>
        <v>8.0934058173791862E-13</v>
      </c>
      <c r="AL159" s="20">
        <f t="shared" si="165"/>
        <v>1.4960899118586383E-12</v>
      </c>
      <c r="AM159" s="59">
        <f t="shared" si="113"/>
        <v>293.33333333333479</v>
      </c>
      <c r="AN159" s="59">
        <f ca="1">AVERAGE(OFFSET($AM$3,0,0,'Données projet'!$E$10+1,1))-AVERAGE(OFFSET($H$3,0,0,'Données projet'!$E$10+1,1))</f>
        <v>243.05628303465238</v>
      </c>
      <c r="AO159" s="59">
        <f t="shared" si="144"/>
        <v>352.47096767658394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0.65108129167965945</v>
      </c>
      <c r="AV159" s="21">
        <f>EXP(-LN(2)/25)*AV158+(1-EXP(-LN(2)/25))/(LN(2)/25)*Calculateur!AQ159*Calculateur!AS159*VLOOKUP('Données projet'!$B$10,Paramètres!$A$1:$I$89,3,0)*0.475*44/12</f>
        <v>0.55070740736908141</v>
      </c>
      <c r="AW159" s="21">
        <f>EXP(-LN(2)/2)*AW158+(1-EXP(-LN(2)/2))/(LN(2)/2)*AQ159*AT159*VLOOKUP('Données projet'!$B$10,Paramètres!$A$1:$I$89,3,0)*0.475*44/12</f>
        <v>1.2222393450055845E-18</v>
      </c>
      <c r="AX159" s="21">
        <f t="shared" si="166"/>
        <v>1.2017886990487407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-2.8421709430404007E-13</v>
      </c>
      <c r="BE159" s="13">
        <f>BD159*VLOOKUP('Données projet'!$B$11,Paramètres!$A$1:$I$89,3,0)*VLOOKUP('Données projet'!$B$11,Paramètres!$A$1:$I$89,5,0)</f>
        <v>-2.2612312022829427E-13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325.72928944930294</v>
      </c>
      <c r="BJ159" s="59">
        <f t="shared" si="146"/>
        <v>318.38876834819752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1.4279064014355829</v>
      </c>
      <c r="BQ159" s="21">
        <f>EXP(-LN(2)/25)*BQ158+(1-EXP(-LN(2)/25))/(LN(2)/25)*Calculateur!BL159*Calculateur!BN159*VLOOKUP('Données projet'!$B$11,Paramètres!$A$1:$I$89,3,0)*0.475*44/12</f>
        <v>0.62857463863991647</v>
      </c>
      <c r="BR159" s="21">
        <f>EXP(-LN(2)/2)*BR158+(1-EXP(-LN(2)/2))/(LN(2)/2)*BL159*BO159*VLOOKUP('Données projet'!$B$11,Paramètres!$A$1:$I$89,3,0)*0.475*44/12</f>
        <v>1.2825809245051413E-18</v>
      </c>
      <c r="BS159" s="22">
        <f t="shared" si="169"/>
        <v>2.0564810400754991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-3.4106051316484809E-13</v>
      </c>
      <c r="BZ159" s="13">
        <f>BY159*VLOOKUP('Données projet'!$B$12,Paramètres!$A$1:$I$89,3,0)*VLOOKUP('Données projet'!$B$12,Paramètres!$A$1:$I$89,5,0)</f>
        <v>-1.9065282685915009E-13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475.54809021014017</v>
      </c>
      <c r="CE159" s="59">
        <f t="shared" si="148"/>
        <v>593.51433014569966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0.60543479195369387</v>
      </c>
      <c r="CL159" s="21">
        <f>EXP(-LN(2)/25)*CL158+(1-EXP(-LN(2)/25))/(LN(2)/25)*Calculateur!CG159*Calculateur!CI159*VLOOKUP('Données projet'!$B$12,Paramètres!$A$1:$I$89,3,0)*0.475*44/12</f>
        <v>1.295218440304865</v>
      </c>
      <c r="CM159" s="21">
        <f>EXP(-LN(2)/2)*CM158+(1-EXP(-LN(2)/2))/(LN(2)/2)*CG159*CJ159*VLOOKUP('Données projet'!$B$12,Paramètres!$A$1:$I$89,3,0)*0.475*44/12</f>
        <v>1.5631981131332798E-18</v>
      </c>
      <c r="CN159" s="22">
        <f t="shared" si="172"/>
        <v>1.9006532322585588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-1.1368683772161603E-13</v>
      </c>
      <c r="CU159" s="17">
        <f>CT159*VLOOKUP('Données projet'!$B$13,Paramètres!$A$1:$I$89,3,0)*VLOOKUP('Données projet'!$B$13,Paramètres!$A$1:$I$89,5,0)</f>
        <v>-5.3205440053716299E-14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226.0452828290525</v>
      </c>
      <c r="CZ159" s="59">
        <f t="shared" si="150"/>
        <v>179.89696397462069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0.74850464588295507</v>
      </c>
      <c r="DG159" s="21">
        <f>EXP(-LN(2)/25)*DG158+(1-EXP(-LN(2)/25))/(LN(2)/25)*Calculateur!DB159*Calculateur!DD159*VLOOKUP('Données projet'!$B$13,Paramètres!$A$1:$I$89,3,0)*0.475*44/12</f>
        <v>0.33894958684194088</v>
      </c>
      <c r="DH159" s="21">
        <f>EXP(-LN(2)/2)*DH158+(1-EXP(-LN(2)/2))/(LN(2)/2)*DB159*DE159*VLOOKUP('Données projet'!$B$13,Paramètres!$A$1:$I$89,3,0)*0.475*44/12</f>
        <v>1.1972984066426353E-18</v>
      </c>
      <c r="DI159" s="22">
        <f t="shared" si="175"/>
        <v>1.0874542327248959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1.1368683772161603E-13</v>
      </c>
      <c r="DP159" s="17">
        <f>DO159*VLOOKUP('Données projet'!$B$14,Paramètres!$A$1:$I$89,3,0)*VLOOKUP('Données projet'!$B$14,Paramètres!$A$1:$I$89,5,0)</f>
        <v>6.7984728957526396E-14</v>
      </c>
      <c r="DQ159" s="13">
        <f t="shared" si="176"/>
        <v>1.0682447123141398E-12</v>
      </c>
      <c r="DR159" s="20">
        <f t="shared" si="177"/>
        <v>1.978932943548152E-12</v>
      </c>
      <c r="DS159" s="59">
        <f t="shared" si="125"/>
        <v>293.3333333333353</v>
      </c>
      <c r="DT159" s="59">
        <f ca="1">AVERAGE(OFFSET($DS$3,0,0,'Données projet'!$E$14+1,1))-AVERAGE(OFFSET($H$3,0,0,'Données projet'!$E$14+1,1))</f>
        <v>252.81045065813976</v>
      </c>
      <c r="DU159" s="59">
        <f t="shared" si="152"/>
        <v>254.36590349790589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1.488939088382689</v>
      </c>
      <c r="EB159" s="21">
        <f>EXP(-LN(2)/25)*EB158+(1-EXP(-LN(2)/25))/(LN(2)/25)*Calculateur!DW159*Calculateur!DY159*VLOOKUP('Données projet'!$B$14,Paramètres!$A$1:$I$89,3,0)*0.475*44/12</f>
        <v>0.49015782353075876</v>
      </c>
      <c r="EC159" s="21">
        <f>EXP(-LN(2)/2)*EC158+(1-EXP(-LN(2)/2))/(LN(2)/2)*DW159*DZ159*VLOOKUP('Données projet'!$B$14,Paramètres!$A$1:$I$89,3,0)*0.475*44/12</f>
        <v>6.2248206634152627E-19</v>
      </c>
      <c r="ED159" s="22">
        <f t="shared" si="178"/>
        <v>1.9790969119134476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-2.8421709430404007E-13</v>
      </c>
      <c r="EK159" s="17">
        <f>EJ159*VLOOKUP('Données projet'!$B$15,Paramètres!$A$1:$I$89,3,0)*VLOOKUP('Données projet'!$B$15,Paramètres!$A$1:$I$89,5,0)</f>
        <v>-2.0838797354372215E-13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296.91321813251051</v>
      </c>
      <c r="EP159" s="59">
        <f t="shared" si="154"/>
        <v>291.0718079639509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1.0676281307071087</v>
      </c>
      <c r="EW159" s="21">
        <f>EXP(-LN(2)/25)*EW158+(1-EXP(-LN(2)/25))/(LN(2)/25)*Calculateur!ER159*Calculateur!ET159*VLOOKUP('Données projet'!$B$15,Paramètres!$A$1:$I$89,3,0)*0.475*44/12</f>
        <v>0.46997756000416968</v>
      </c>
      <c r="EX159" s="21">
        <f>EXP(-LN(2)/2)*EX158+(1-EXP(-LN(2)/2))/(LN(2)/2)*ER159*EU159*VLOOKUP('Données projet'!$B$15,Paramètres!$A$1:$I$89,3,0)*0.475*44/12</f>
        <v>1.1819863421910154E-18</v>
      </c>
      <c r="EY159" s="22">
        <f t="shared" si="181"/>
        <v>1.5376056907112785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>
        <f>FE159*VLOOKUP('Données projet'!$B$16,Paramètres!$A$1:$I$89,3,0)*VLOOKUP('Données projet'!$B$16,Paramètres!$A$1:$I$89,5,0)</f>
        <v>0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356.65981389369125</v>
      </c>
      <c r="FK159" s="59">
        <f t="shared" si="156"/>
        <v>231.92898690465887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0.6754641980635705</v>
      </c>
      <c r="FR159" s="21">
        <f>EXP(-LN(2)/25)*FR158+(1-EXP(-LN(2)/25))/(LN(2)/25)*Calculateur!FM159*Calculateur!FO159*VLOOKUP('Données projet'!$B$16,Paramètres!$A$1:$I$89,3,0)*0.475*44/12</f>
        <v>0.31900032157500247</v>
      </c>
      <c r="FS159" s="21">
        <f>EXP(-LN(2)/2)*FS158+(1-EXP(-LN(2)/2))/(LN(2)/2)*FM159*FP159*VLOOKUP('Données projet'!$B$16,Paramètres!$A$1:$I$89,3,0)*0.475*44/12</f>
        <v>1.0370283832506923E-18</v>
      </c>
      <c r="FT159" s="22">
        <f t="shared" si="184"/>
        <v>0.99446451963857296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>
        <f>FZ159*VLOOKUP('Données projet'!$B$17,Paramètres!$A$1:$I$89,3,0)*VLOOKUP('Données projet'!$B$17,Paramètres!$A$1:$I$89,5,0)</f>
        <v>0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337.76140497227715</v>
      </c>
      <c r="GF159" s="59">
        <f t="shared" si="158"/>
        <v>219.76562717496353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0.64428892738371335</v>
      </c>
      <c r="GM159" s="21">
        <f>EXP(-LN(2)/25)*GM158+(1-EXP(-LN(2)/25))/(LN(2)/25)*Calculateur!GH159*Calculateur!GJ159*VLOOKUP('Données projet'!$B$17,Paramètres!$A$1:$I$89,3,0)*0.475*44/12</f>
        <v>0.30427722981000244</v>
      </c>
      <c r="GN159" s="21">
        <f>EXP(-LN(2)/2)*GN158+(1-EXP(-LN(2)/2))/(LN(2)/2)*GH159*GK159*VLOOKUP('Données projet'!$B$17,Paramètres!$A$1:$I$89,3,0)*0.475*44/12</f>
        <v>9.8916553479296829E-19</v>
      </c>
      <c r="GO159" s="21">
        <f t="shared" si="187"/>
        <v>0.94856615719371584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312.53389584272878</v>
      </c>
      <c r="T160" s="59">
        <f t="shared" si="142"/>
        <v>203.5274665601915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0.5909028909793439</v>
      </c>
      <c r="AA160" s="21">
        <f>EXP(-LN(2)/25)*AA159+(1-EXP(-LN(2)/25))/(LN(2)/25)*Calculateur!V160*Calculateur!X160*VLOOKUP('Données projet'!$B$9,Paramètres!$A$1:$I$89,3,0)*0.475*44/12</f>
        <v>0.27686276889769335</v>
      </c>
      <c r="AB160" s="21">
        <f>EXP(-LN(2)/2)*AB159+(1-EXP(-LN(2)/2))/(LN(2)/2)*V160*Y160*VLOOKUP('Données projet'!$B$9,Paramètres!$A$1:$I$89,3,0)*0.475*44/12</f>
        <v>6.5432013108631096E-19</v>
      </c>
      <c r="AC160" s="22">
        <f t="shared" si="163"/>
        <v>0.86776565987703724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5.6843418860808015E-14</v>
      </c>
      <c r="AJ160" s="13">
        <f>AI160*VLOOKUP('Données projet'!$B$10,Paramètres!$A$1:$I$89,3,0)*VLOOKUP('Données projet'!$B$10,Paramètres!$A$1:$I$89,5,0)</f>
        <v>4.9658410716801891E-14</v>
      </c>
      <c r="AK160" s="13">
        <f t="shared" si="164"/>
        <v>8.0934058173791862E-13</v>
      </c>
      <c r="AL160" s="20">
        <f t="shared" si="165"/>
        <v>1.4960899118586383E-12</v>
      </c>
      <c r="AM160" s="59">
        <f t="shared" si="113"/>
        <v>293.33333333333479</v>
      </c>
      <c r="AN160" s="59">
        <f ca="1">AVERAGE(OFFSET($AM$3,0,0,'Données projet'!$E$10+1,1))-AVERAGE(OFFSET($H$3,0,0,'Données projet'!$E$10+1,1))</f>
        <v>243.05628303465238</v>
      </c>
      <c r="AO160" s="59">
        <f t="shared" si="144"/>
        <v>352.47096767658394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0.63831398467019684</v>
      </c>
      <c r="AV160" s="21">
        <f>EXP(-LN(2)/25)*AV159+(1-EXP(-LN(2)/25))/(LN(2)/25)*Calculateur!AQ160*Calculateur!AS160*VLOOKUP('Données projet'!$B$10,Paramètres!$A$1:$I$89,3,0)*0.475*44/12</f>
        <v>0.53564828435413003</v>
      </c>
      <c r="AW160" s="21">
        <f>EXP(-LN(2)/2)*AW159+(1-EXP(-LN(2)/2))/(LN(2)/2)*AQ160*AT160*VLOOKUP('Données projet'!$B$10,Paramètres!$A$1:$I$89,3,0)*0.475*44/12</f>
        <v>8.6425372908645312E-19</v>
      </c>
      <c r="AX160" s="21">
        <f t="shared" si="166"/>
        <v>1.1739622690243268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-2.8421709430404007E-13</v>
      </c>
      <c r="BE160" s="13">
        <f>BD160*VLOOKUP('Données projet'!$B$11,Paramètres!$A$1:$I$89,3,0)*VLOOKUP('Données projet'!$B$11,Paramètres!$A$1:$I$89,5,0)</f>
        <v>-2.2612312022829427E-13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325.72928944930294</v>
      </c>
      <c r="BJ160" s="59">
        <f t="shared" si="146"/>
        <v>318.38876834819752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1.3999060278403381</v>
      </c>
      <c r="BQ160" s="21">
        <f>EXP(-LN(2)/25)*BQ159+(1-EXP(-LN(2)/25))/(LN(2)/25)*Calculateur!BL160*Calculateur!BN160*VLOOKUP('Données projet'!$B$11,Paramètres!$A$1:$I$89,3,0)*0.475*44/12</f>
        <v>0.61138623209100429</v>
      </c>
      <c r="BR160" s="21">
        <f>EXP(-LN(2)/2)*BR159+(1-EXP(-LN(2)/2))/(LN(2)/2)*BL160*BO160*VLOOKUP('Données projet'!$B$11,Paramètres!$A$1:$I$89,3,0)*0.475*44/12</f>
        <v>9.0692166913809673E-19</v>
      </c>
      <c r="BS160" s="22">
        <f t="shared" si="169"/>
        <v>2.0112922599313423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-3.4106051316484809E-13</v>
      </c>
      <c r="BZ160" s="13">
        <f>BY160*VLOOKUP('Données projet'!$B$12,Paramètres!$A$1:$I$89,3,0)*VLOOKUP('Données projet'!$B$12,Paramètres!$A$1:$I$89,5,0)</f>
        <v>-1.9065282685915009E-13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475.54809021014017</v>
      </c>
      <c r="CE160" s="59">
        <f t="shared" si="148"/>
        <v>593.51433014569966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0.59356258496224179</v>
      </c>
      <c r="CL160" s="21">
        <f>EXP(-LN(2)/25)*CL159+(1-EXP(-LN(2)/25))/(LN(2)/25)*Calculateur!CG160*Calculateur!CI160*VLOOKUP('Données projet'!$B$12,Paramètres!$A$1:$I$89,3,0)*0.475*44/12</f>
        <v>1.2598006239421509</v>
      </c>
      <c r="CM160" s="21">
        <f>EXP(-LN(2)/2)*CM159+(1-EXP(-LN(2)/2))/(LN(2)/2)*CG160*CJ160*VLOOKUP('Données projet'!$B$12,Paramètres!$A$1:$I$89,3,0)*0.475*44/12</f>
        <v>1.1053479861345581E-18</v>
      </c>
      <c r="CN160" s="22">
        <f t="shared" si="172"/>
        <v>1.8533632089043928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-1.1368683772161603E-13</v>
      </c>
      <c r="CU160" s="17">
        <f>CT160*VLOOKUP('Données projet'!$B$13,Paramètres!$A$1:$I$89,3,0)*VLOOKUP('Données projet'!$B$13,Paramètres!$A$1:$I$89,5,0)</f>
        <v>-5.3205440053716299E-14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226.0452828290525</v>
      </c>
      <c r="CZ160" s="59">
        <f t="shared" si="150"/>
        <v>179.89696397462069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0.73382692631994451</v>
      </c>
      <c r="DG160" s="21">
        <f>EXP(-LN(2)/25)*DG159+(1-EXP(-LN(2)/25))/(LN(2)/25)*Calculateur!DB160*Calculateur!DD160*VLOOKUP('Données projet'!$B$13,Paramètres!$A$1:$I$89,3,0)*0.475*44/12</f>
        <v>0.32968099256516392</v>
      </c>
      <c r="DH160" s="21">
        <f>EXP(-LN(2)/2)*DH159+(1-EXP(-LN(2)/2))/(LN(2)/2)*DB160*DE160*VLOOKUP('Données projet'!$B$13,Paramètres!$A$1:$I$89,3,0)*0.475*44/12</f>
        <v>8.4661782244085598E-19</v>
      </c>
      <c r="DI160" s="22">
        <f t="shared" si="175"/>
        <v>1.0635079188851084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1.1368683772161603E-13</v>
      </c>
      <c r="DP160" s="17">
        <f>DO160*VLOOKUP('Données projet'!$B$14,Paramètres!$A$1:$I$89,3,0)*VLOOKUP('Données projet'!$B$14,Paramètres!$A$1:$I$89,5,0)</f>
        <v>6.7984728957526396E-14</v>
      </c>
      <c r="DQ160" s="13">
        <f t="shared" si="176"/>
        <v>1.0682447123141398E-12</v>
      </c>
      <c r="DR160" s="20">
        <f t="shared" si="177"/>
        <v>1.978932943548152E-12</v>
      </c>
      <c r="DS160" s="59">
        <f t="shared" si="125"/>
        <v>293.3333333333353</v>
      </c>
      <c r="DT160" s="59">
        <f ca="1">AVERAGE(OFFSET($DS$3,0,0,'Données projet'!$E$14+1,1))-AVERAGE(OFFSET($H$3,0,0,'Données projet'!$E$14+1,1))</f>
        <v>252.81045065813976</v>
      </c>
      <c r="DU160" s="59">
        <f t="shared" si="152"/>
        <v>254.36590349790589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1.4597419010226746</v>
      </c>
      <c r="EB160" s="21">
        <f>EXP(-LN(2)/25)*EB159+(1-EXP(-LN(2)/25))/(LN(2)/25)*Calculateur!DW160*Calculateur!DY160*VLOOKUP('Données projet'!$B$14,Paramètres!$A$1:$I$89,3,0)*0.475*44/12</f>
        <v>0.47675443207003049</v>
      </c>
      <c r="EC160" s="21">
        <f>EXP(-LN(2)/2)*EC159+(1-EXP(-LN(2)/2))/(LN(2)/2)*DW160*DZ160*VLOOKUP('Données projet'!$B$14,Paramètres!$A$1:$I$89,3,0)*0.475*44/12</f>
        <v>4.4016129027710757E-19</v>
      </c>
      <c r="ED160" s="22">
        <f t="shared" si="178"/>
        <v>1.9364963330927052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-2.8421709430404007E-13</v>
      </c>
      <c r="EK160" s="17">
        <f>EJ160*VLOOKUP('Données projet'!$B$15,Paramètres!$A$1:$I$89,3,0)*VLOOKUP('Données projet'!$B$15,Paramètres!$A$1:$I$89,5,0)</f>
        <v>-2.0838797354372215E-13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296.91321813251051</v>
      </c>
      <c r="EP160" s="59">
        <f t="shared" si="154"/>
        <v>291.0718079639509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1.0466925942528025</v>
      </c>
      <c r="EW160" s="21">
        <f>EXP(-LN(2)/25)*EW159+(1-EXP(-LN(2)/25))/(LN(2)/25)*Calculateur!ER160*Calculateur!ET160*VLOOKUP('Données projet'!$B$15,Paramètres!$A$1:$I$89,3,0)*0.475*44/12</f>
        <v>0.45712599891080991</v>
      </c>
      <c r="EX160" s="21">
        <f>EXP(-LN(2)/2)*EX159+(1-EXP(-LN(2)/2))/(LN(2)/2)*ER160*EU160*VLOOKUP('Données projet'!$B$15,Paramètres!$A$1:$I$89,3,0)*0.475*44/12</f>
        <v>8.3579055783315002E-19</v>
      </c>
      <c r="EY160" s="22">
        <f t="shared" si="181"/>
        <v>1.5038185931636123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>
        <f>FE160*VLOOKUP('Données projet'!$B$16,Paramètres!$A$1:$I$89,3,0)*VLOOKUP('Données projet'!$B$16,Paramètres!$A$1:$I$89,5,0)</f>
        <v>0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356.65981389369125</v>
      </c>
      <c r="FK160" s="59">
        <f t="shared" si="156"/>
        <v>231.92898690465887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0.66221875713202383</v>
      </c>
      <c r="FR160" s="21">
        <f>EXP(-LN(2)/25)*FR159+(1-EXP(-LN(2)/25))/(LN(2)/25)*Calculateur!FM160*Calculateur!FO160*VLOOKUP('Données projet'!$B$16,Paramètres!$A$1:$I$89,3,0)*0.475*44/12</f>
        <v>0.31027724100603621</v>
      </c>
      <c r="FS160" s="21">
        <f>EXP(-LN(2)/2)*FS159+(1-EXP(-LN(2)/2))/(LN(2)/2)*FM160*FP160*VLOOKUP('Données projet'!$B$16,Paramètres!$A$1:$I$89,3,0)*0.475*44/12</f>
        <v>7.3328980207948645E-19</v>
      </c>
      <c r="FT160" s="22">
        <f t="shared" si="184"/>
        <v>0.97249599813806009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>
        <f>FZ160*VLOOKUP('Données projet'!$B$17,Paramètres!$A$1:$I$89,3,0)*VLOOKUP('Données projet'!$B$17,Paramètres!$A$1:$I$89,5,0)</f>
        <v>0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337.76140497227715</v>
      </c>
      <c r="GF160" s="59">
        <f t="shared" si="158"/>
        <v>219.76562717496353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0.63165481449516114</v>
      </c>
      <c r="GM160" s="21">
        <f>EXP(-LN(2)/25)*GM159+(1-EXP(-LN(2)/25))/(LN(2)/25)*Calculateur!GH160*Calculateur!GJ160*VLOOKUP('Données projet'!$B$17,Paramètres!$A$1:$I$89,3,0)*0.475*44/12</f>
        <v>0.29595675295960383</v>
      </c>
      <c r="GN160" s="21">
        <f>EXP(-LN(2)/2)*GN159+(1-EXP(-LN(2)/2))/(LN(2)/2)*GH160*GK160*VLOOKUP('Données projet'!$B$17,Paramètres!$A$1:$I$89,3,0)*0.475*44/12</f>
        <v>6.994456573681257E-19</v>
      </c>
      <c r="GO160" s="21">
        <f t="shared" si="187"/>
        <v>0.92761156745476492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312.53389584272878</v>
      </c>
      <c r="T161" s="59">
        <f t="shared" si="142"/>
        <v>203.5274665601915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0.57931564570241445</v>
      </c>
      <c r="AA161" s="21">
        <f>EXP(-LN(2)/25)*AA160+(1-EXP(-LN(2)/25))/(LN(2)/25)*Calculateur!V161*Calculateur!X161*VLOOKUP('Données projet'!$B$9,Paramètres!$A$1:$I$89,3,0)*0.475*44/12</f>
        <v>0.26929194192260569</v>
      </c>
      <c r="AB161" s="21">
        <f>EXP(-LN(2)/2)*AB160+(1-EXP(-LN(2)/2))/(LN(2)/2)*V161*Y161*VLOOKUP('Données projet'!$B$9,Paramètres!$A$1:$I$89,3,0)*0.475*44/12</f>
        <v>4.6267420175800117E-19</v>
      </c>
      <c r="AC161" s="22">
        <f t="shared" si="163"/>
        <v>0.84860758762502009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5.6843418860808015E-14</v>
      </c>
      <c r="AJ161" s="13">
        <f>AI161*VLOOKUP('Données projet'!$B$10,Paramètres!$A$1:$I$89,3,0)*VLOOKUP('Données projet'!$B$10,Paramètres!$A$1:$I$89,5,0)</f>
        <v>4.9658410716801891E-14</v>
      </c>
      <c r="AK161" s="13">
        <f t="shared" si="164"/>
        <v>8.0934058173791862E-13</v>
      </c>
      <c r="AL161" s="20">
        <f t="shared" si="165"/>
        <v>1.4960899118586383E-12</v>
      </c>
      <c r="AM161" s="59">
        <f t="shared" si="113"/>
        <v>293.33333333333479</v>
      </c>
      <c r="AN161" s="59">
        <f ca="1">AVERAGE(OFFSET($AM$3,0,0,'Données projet'!$E$10+1,1))-AVERAGE(OFFSET($H$3,0,0,'Données projet'!$E$10+1,1))</f>
        <v>243.05628303465238</v>
      </c>
      <c r="AO161" s="59">
        <f t="shared" si="144"/>
        <v>352.47096767658394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0.62579703676390153</v>
      </c>
      <c r="AV161" s="21">
        <f>EXP(-LN(2)/25)*AV160+(1-EXP(-LN(2)/25))/(LN(2)/25)*Calculateur!AQ161*Calculateur!AS161*VLOOKUP('Données projet'!$B$10,Paramètres!$A$1:$I$89,3,0)*0.475*44/12</f>
        <v>0.52100095384994727</v>
      </c>
      <c r="AW161" s="21">
        <f>EXP(-LN(2)/2)*AW160+(1-EXP(-LN(2)/2))/(LN(2)/2)*AQ161*AT161*VLOOKUP('Données projet'!$B$10,Paramètres!$A$1:$I$89,3,0)*0.475*44/12</f>
        <v>6.1111967250279237E-19</v>
      </c>
      <c r="AX161" s="21">
        <f t="shared" si="166"/>
        <v>1.1467979906138488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-2.8421709430404007E-13</v>
      </c>
      <c r="BE161" s="13">
        <f>BD161*VLOOKUP('Données projet'!$B$11,Paramètres!$A$1:$I$89,3,0)*VLOOKUP('Données projet'!$B$11,Paramètres!$A$1:$I$89,5,0)</f>
        <v>-2.2612312022829427E-13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325.72928944930294</v>
      </c>
      <c r="BJ161" s="59">
        <f t="shared" si="146"/>
        <v>318.38876834819752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1.3724547244927545</v>
      </c>
      <c r="BQ161" s="21">
        <f>EXP(-LN(2)/25)*BQ160+(1-EXP(-LN(2)/25))/(LN(2)/25)*Calculateur!BL161*Calculateur!BN161*VLOOKUP('Données projet'!$B$11,Paramètres!$A$1:$I$89,3,0)*0.475*44/12</f>
        <v>0.59466784342307122</v>
      </c>
      <c r="BR161" s="21">
        <f>EXP(-LN(2)/2)*BR160+(1-EXP(-LN(2)/2))/(LN(2)/2)*BL161*BO161*VLOOKUP('Données projet'!$B$11,Paramètres!$A$1:$I$89,3,0)*0.475*44/12</f>
        <v>6.4129046225257064E-19</v>
      </c>
      <c r="BS161" s="22">
        <f t="shared" si="169"/>
        <v>1.9671225679158257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-3.4106051316484809E-13</v>
      </c>
      <c r="BZ161" s="13">
        <f>BY161*VLOOKUP('Données projet'!$B$12,Paramètres!$A$1:$I$89,3,0)*VLOOKUP('Données projet'!$B$12,Paramètres!$A$1:$I$89,5,0)</f>
        <v>-1.9065282685915009E-13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475.54809021014017</v>
      </c>
      <c r="CE161" s="59">
        <f t="shared" si="148"/>
        <v>593.51433014569966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0.58192318470856086</v>
      </c>
      <c r="CL161" s="21">
        <f>EXP(-LN(2)/25)*CL160+(1-EXP(-LN(2)/25))/(LN(2)/25)*Calculateur!CG161*Calculateur!CI161*VLOOKUP('Données projet'!$B$12,Paramètres!$A$1:$I$89,3,0)*0.475*44/12</f>
        <v>1.2253513096304172</v>
      </c>
      <c r="CM161" s="21">
        <f>EXP(-LN(2)/2)*CM160+(1-EXP(-LN(2)/2))/(LN(2)/2)*CG161*CJ161*VLOOKUP('Données projet'!$B$12,Paramètres!$A$1:$I$89,3,0)*0.475*44/12</f>
        <v>7.8159905656663992E-19</v>
      </c>
      <c r="CN161" s="22">
        <f t="shared" si="172"/>
        <v>1.807274494338978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-1.1368683772161603E-13</v>
      </c>
      <c r="CU161" s="17">
        <f>CT161*VLOOKUP('Données projet'!$B$13,Paramètres!$A$1:$I$89,3,0)*VLOOKUP('Données projet'!$B$13,Paramètres!$A$1:$I$89,5,0)</f>
        <v>-5.3205440053716299E-14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226.0452828290525</v>
      </c>
      <c r="CZ161" s="59">
        <f t="shared" si="150"/>
        <v>179.89696397462069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0.7194370278850396</v>
      </c>
      <c r="DG161" s="21">
        <f>EXP(-LN(2)/25)*DG160+(1-EXP(-LN(2)/25))/(LN(2)/25)*Calculateur!DB161*Calculateur!DD161*VLOOKUP('Données projet'!$B$13,Paramètres!$A$1:$I$89,3,0)*0.475*44/12</f>
        <v>0.32066584848629959</v>
      </c>
      <c r="DH161" s="21">
        <f>EXP(-LN(2)/2)*DH160+(1-EXP(-LN(2)/2))/(LN(2)/2)*DB161*DE161*VLOOKUP('Données projet'!$B$13,Paramètres!$A$1:$I$89,3,0)*0.475*44/12</f>
        <v>5.9864920332131776E-19</v>
      </c>
      <c r="DI161" s="22">
        <f t="shared" si="175"/>
        <v>1.0401028763713391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1.1368683772161603E-13</v>
      </c>
      <c r="DP161" s="17">
        <f>DO161*VLOOKUP('Données projet'!$B$14,Paramètres!$A$1:$I$89,3,0)*VLOOKUP('Données projet'!$B$14,Paramètres!$A$1:$I$89,5,0)</f>
        <v>6.7984728957526396E-14</v>
      </c>
      <c r="DQ161" s="13">
        <f t="shared" si="176"/>
        <v>1.0682447123141398E-12</v>
      </c>
      <c r="DR161" s="20">
        <f t="shared" si="177"/>
        <v>1.978932943548152E-12</v>
      </c>
      <c r="DS161" s="59">
        <f t="shared" si="125"/>
        <v>293.3333333333353</v>
      </c>
      <c r="DT161" s="59">
        <f ca="1">AVERAGE(OFFSET($DS$3,0,0,'Données projet'!$E$14+1,1))-AVERAGE(OFFSET($H$3,0,0,'Données projet'!$E$14+1,1))</f>
        <v>252.81045065813976</v>
      </c>
      <c r="DU161" s="59">
        <f t="shared" si="152"/>
        <v>254.36590349790589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1.4311172526982645</v>
      </c>
      <c r="EB161" s="21">
        <f>EXP(-LN(2)/25)*EB160+(1-EXP(-LN(2)/25))/(LN(2)/25)*Calculateur!DW161*Calculateur!DY161*VLOOKUP('Données projet'!$B$14,Paramètres!$A$1:$I$89,3,0)*0.475*44/12</f>
        <v>0.46371755705364953</v>
      </c>
      <c r="EC161" s="21">
        <f>EXP(-LN(2)/2)*EC160+(1-EXP(-LN(2)/2))/(LN(2)/2)*DW161*DZ161*VLOOKUP('Données projet'!$B$14,Paramètres!$A$1:$I$89,3,0)*0.475*44/12</f>
        <v>3.1124103317076313E-19</v>
      </c>
      <c r="ED161" s="22">
        <f t="shared" si="178"/>
        <v>1.8948348097519141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-2.8421709430404007E-13</v>
      </c>
      <c r="EK161" s="17">
        <f>EJ161*VLOOKUP('Données projet'!$B$15,Paramètres!$A$1:$I$89,3,0)*VLOOKUP('Données projet'!$B$15,Paramètres!$A$1:$I$89,5,0)</f>
        <v>-2.0838797354372215E-13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296.91321813251051</v>
      </c>
      <c r="EP161" s="59">
        <f t="shared" si="154"/>
        <v>291.0718079639509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1.0261675908989489</v>
      </c>
      <c r="EW161" s="21">
        <f>EXP(-LN(2)/25)*EW160+(1-EXP(-LN(2)/25))/(LN(2)/25)*Calculateur!ER161*Calculateur!ET161*VLOOKUP('Données projet'!$B$15,Paramètres!$A$1:$I$89,3,0)*0.475*44/12</f>
        <v>0.4446258644313823</v>
      </c>
      <c r="EX161" s="21">
        <f>EXP(-LN(2)/2)*EX160+(1-EXP(-LN(2)/2))/(LN(2)/2)*ER161*EU161*VLOOKUP('Données projet'!$B$15,Paramètres!$A$1:$I$89,3,0)*0.475*44/12</f>
        <v>5.909931710955077E-19</v>
      </c>
      <c r="EY161" s="22">
        <f t="shared" si="181"/>
        <v>1.4707934553303312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>
        <f>FE161*VLOOKUP('Données projet'!$B$16,Paramètres!$A$1:$I$89,3,0)*VLOOKUP('Données projet'!$B$16,Paramètres!$A$1:$I$89,5,0)</f>
        <v>0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356.65981389369125</v>
      </c>
      <c r="FK161" s="59">
        <f t="shared" si="156"/>
        <v>231.92898690465887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0.6492330512182235</v>
      </c>
      <c r="FR161" s="21">
        <f>EXP(-LN(2)/25)*FR160+(1-EXP(-LN(2)/25))/(LN(2)/25)*Calculateur!FM161*Calculateur!FO161*VLOOKUP('Données projet'!$B$16,Paramètres!$A$1:$I$89,3,0)*0.475*44/12</f>
        <v>0.30179269353395521</v>
      </c>
      <c r="FS161" s="21">
        <f>EXP(-LN(2)/2)*FS160+(1-EXP(-LN(2)/2))/(LN(2)/2)*FM161*FP161*VLOOKUP('Données projet'!$B$16,Paramètres!$A$1:$I$89,3,0)*0.475*44/12</f>
        <v>5.1851419162534616E-19</v>
      </c>
      <c r="FT161" s="22">
        <f t="shared" si="184"/>
        <v>0.95102574475217871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>
        <f>FZ161*VLOOKUP('Données projet'!$B$17,Paramètres!$A$1:$I$89,3,0)*VLOOKUP('Données projet'!$B$17,Paramètres!$A$1:$I$89,5,0)</f>
        <v>0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337.76140497227715</v>
      </c>
      <c r="GF161" s="59">
        <f t="shared" si="158"/>
        <v>219.76562717496353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0.61926844885430543</v>
      </c>
      <c r="GM161" s="21">
        <f>EXP(-LN(2)/25)*GM160+(1-EXP(-LN(2)/25))/(LN(2)/25)*Calculateur!GH161*Calculateur!GJ161*VLOOKUP('Données projet'!$B$17,Paramètres!$A$1:$I$89,3,0)*0.475*44/12</f>
        <v>0.28786379998623424</v>
      </c>
      <c r="GN161" s="21">
        <f>EXP(-LN(2)/2)*GN160+(1-EXP(-LN(2)/2))/(LN(2)/2)*GH161*GK161*VLOOKUP('Données projet'!$B$17,Paramètres!$A$1:$I$89,3,0)*0.475*44/12</f>
        <v>4.9458276739648415E-19</v>
      </c>
      <c r="GO161" s="21">
        <f t="shared" si="187"/>
        <v>0.90713224884053967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312.53389584272878</v>
      </c>
      <c r="T162" s="59">
        <f t="shared" si="142"/>
        <v>203.5274665601915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0.56795561923784377</v>
      </c>
      <c r="AA162" s="21">
        <f>EXP(-LN(2)/25)*AA161+(1-EXP(-LN(2)/25))/(LN(2)/25)*Calculateur!V162*Calculateur!X162*VLOOKUP('Données projet'!$B$9,Paramètres!$A$1:$I$89,3,0)*0.475*44/12</f>
        <v>0.26192813960928429</v>
      </c>
      <c r="AB162" s="21">
        <f>EXP(-LN(2)/2)*AB161+(1-EXP(-LN(2)/2))/(LN(2)/2)*V162*Y162*VLOOKUP('Données projet'!$B$9,Paramètres!$A$1:$I$89,3,0)*0.475*44/12</f>
        <v>3.2716006554315548E-19</v>
      </c>
      <c r="AC162" s="22">
        <f t="shared" si="163"/>
        <v>0.82988375884712806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5.6843418860808015E-14</v>
      </c>
      <c r="AJ162" s="13">
        <f>AI162*VLOOKUP('Données projet'!$B$10,Paramètres!$A$1:$I$89,3,0)*VLOOKUP('Données projet'!$B$10,Paramètres!$A$1:$I$89,5,0)</f>
        <v>4.9658410716801891E-14</v>
      </c>
      <c r="AK162" s="13">
        <f t="shared" si="164"/>
        <v>8.0934058173791862E-13</v>
      </c>
      <c r="AL162" s="20">
        <f t="shared" si="165"/>
        <v>1.4960899118586383E-12</v>
      </c>
      <c r="AM162" s="59">
        <f t="shared" si="113"/>
        <v>293.33333333333479</v>
      </c>
      <c r="AN162" s="59">
        <f ca="1">AVERAGE(OFFSET($AM$3,0,0,'Données projet'!$E$10+1,1))-AVERAGE(OFFSET($H$3,0,0,'Données projet'!$E$10+1,1))</f>
        <v>243.05628303465238</v>
      </c>
      <c r="AO162" s="59">
        <f t="shared" si="144"/>
        <v>352.47096767658394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0.6135255385714643</v>
      </c>
      <c r="AV162" s="21">
        <f>EXP(-LN(2)/25)*AV161+(1-EXP(-LN(2)/25))/(LN(2)/25)*Calculateur!AQ162*Calculateur!AS162*VLOOKUP('Données projet'!$B$10,Paramètres!$A$1:$I$89,3,0)*0.475*44/12</f>
        <v>0.50675415536867108</v>
      </c>
      <c r="AW162" s="21">
        <f>EXP(-LN(2)/2)*AW161+(1-EXP(-LN(2)/2))/(LN(2)/2)*AQ162*AT162*VLOOKUP('Données projet'!$B$10,Paramètres!$A$1:$I$89,3,0)*0.475*44/12</f>
        <v>4.3212686454322661E-19</v>
      </c>
      <c r="AX162" s="21">
        <f t="shared" si="166"/>
        <v>1.1202796939401354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-2.8421709430404007E-13</v>
      </c>
      <c r="BE162" s="13">
        <f>BD162*VLOOKUP('Données projet'!$B$11,Paramètres!$A$1:$I$89,3,0)*VLOOKUP('Données projet'!$B$11,Paramètres!$A$1:$I$89,5,0)</f>
        <v>-2.2612312022829427E-13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325.72928944930294</v>
      </c>
      <c r="BJ162" s="59">
        <f t="shared" si="146"/>
        <v>318.38876834819752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1.3455417244601753</v>
      </c>
      <c r="BQ162" s="21">
        <f>EXP(-LN(2)/25)*BQ161+(1-EXP(-LN(2)/25))/(LN(2)/25)*Calculateur!BL162*Calculateur!BN162*VLOOKUP('Données projet'!$B$11,Paramètres!$A$1:$I$89,3,0)*0.475*44/12</f>
        <v>0.57840661997244458</v>
      </c>
      <c r="BR162" s="21">
        <f>EXP(-LN(2)/2)*BR161+(1-EXP(-LN(2)/2))/(LN(2)/2)*BL162*BO162*VLOOKUP('Données projet'!$B$11,Paramètres!$A$1:$I$89,3,0)*0.475*44/12</f>
        <v>4.5346083456904837E-19</v>
      </c>
      <c r="BS162" s="22">
        <f t="shared" si="169"/>
        <v>1.92394834443262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-3.4106051316484809E-13</v>
      </c>
      <c r="BZ162" s="13">
        <f>BY162*VLOOKUP('Données projet'!$B$12,Paramètres!$A$1:$I$89,3,0)*VLOOKUP('Données projet'!$B$12,Paramètres!$A$1:$I$89,5,0)</f>
        <v>-1.9065282685915009E-13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475.54809021014017</v>
      </c>
      <c r="CE162" s="59">
        <f t="shared" si="148"/>
        <v>593.51433014569966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0.57051202599452144</v>
      </c>
      <c r="CL162" s="21">
        <f>EXP(-LN(2)/25)*CL161+(1-EXP(-LN(2)/25))/(LN(2)/25)*Calculateur!CG162*Calculateur!CI162*VLOOKUP('Données projet'!$B$12,Paramètres!$A$1:$I$89,3,0)*0.475*44/12</f>
        <v>1.1918440136301487</v>
      </c>
      <c r="CM162" s="21">
        <f>EXP(-LN(2)/2)*CM161+(1-EXP(-LN(2)/2))/(LN(2)/2)*CG162*CJ162*VLOOKUP('Données projet'!$B$12,Paramètres!$A$1:$I$89,3,0)*0.475*44/12</f>
        <v>5.5267399306727903E-19</v>
      </c>
      <c r="CN162" s="22">
        <f t="shared" si="172"/>
        <v>1.7623560396246702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-1.1368683772161603E-13</v>
      </c>
      <c r="CU162" s="17">
        <f>CT162*VLOOKUP('Données projet'!$B$13,Paramètres!$A$1:$I$89,3,0)*VLOOKUP('Données projet'!$B$13,Paramètres!$A$1:$I$89,5,0)</f>
        <v>-5.3205440053716299E-14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226.0452828290525</v>
      </c>
      <c r="CZ162" s="59">
        <f t="shared" si="150"/>
        <v>179.89696397462069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0.70532930658147175</v>
      </c>
      <c r="DG162" s="21">
        <f>EXP(-LN(2)/25)*DG161+(1-EXP(-LN(2)/25))/(LN(2)/25)*Calculateur!DB162*Calculateur!DD162*VLOOKUP('Données projet'!$B$13,Paramètres!$A$1:$I$89,3,0)*0.475*44/12</f>
        <v>0.31189722399635766</v>
      </c>
      <c r="DH162" s="21">
        <f>EXP(-LN(2)/2)*DH161+(1-EXP(-LN(2)/2))/(LN(2)/2)*DB162*DE162*VLOOKUP('Données projet'!$B$13,Paramètres!$A$1:$I$89,3,0)*0.475*44/12</f>
        <v>4.2330891122042809E-19</v>
      </c>
      <c r="DI162" s="22">
        <f t="shared" si="175"/>
        <v>1.0172265305778294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1.1368683772161603E-13</v>
      </c>
      <c r="DP162" s="17">
        <f>DO162*VLOOKUP('Données projet'!$B$14,Paramètres!$A$1:$I$89,3,0)*VLOOKUP('Données projet'!$B$14,Paramètres!$A$1:$I$89,5,0)</f>
        <v>6.7984728957526396E-14</v>
      </c>
      <c r="DQ162" s="13">
        <f t="shared" si="176"/>
        <v>1.0682447123141398E-12</v>
      </c>
      <c r="DR162" s="20">
        <f t="shared" si="177"/>
        <v>1.978932943548152E-12</v>
      </c>
      <c r="DS162" s="59">
        <f t="shared" si="125"/>
        <v>293.3333333333353</v>
      </c>
      <c r="DT162" s="59">
        <f ca="1">AVERAGE(OFFSET($DS$3,0,0,'Données projet'!$E$14+1,1))-AVERAGE(OFFSET($H$3,0,0,'Données projet'!$E$14+1,1))</f>
        <v>252.81045065813976</v>
      </c>
      <c r="DU162" s="59">
        <f t="shared" si="152"/>
        <v>254.36590349790589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1.4030539162681845</v>
      </c>
      <c r="EB162" s="21">
        <f>EXP(-LN(2)/25)*EB161+(1-EXP(-LN(2)/25))/(LN(2)/25)*Calculateur!DW162*Calculateur!DY162*VLOOKUP('Données projet'!$B$14,Paramètres!$A$1:$I$89,3,0)*0.475*44/12</f>
        <v>0.45103717607017102</v>
      </c>
      <c r="EC162" s="21">
        <f>EXP(-LN(2)/2)*EC161+(1-EXP(-LN(2)/2))/(LN(2)/2)*DW162*DZ162*VLOOKUP('Données projet'!$B$14,Paramètres!$A$1:$I$89,3,0)*0.475*44/12</f>
        <v>2.2008064513855378E-19</v>
      </c>
      <c r="ED162" s="22">
        <f t="shared" si="178"/>
        <v>1.8540910923383556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-2.8421709430404007E-13</v>
      </c>
      <c r="EK162" s="17">
        <f>EJ162*VLOOKUP('Données projet'!$B$15,Paramètres!$A$1:$I$89,3,0)*VLOOKUP('Données projet'!$B$15,Paramètres!$A$1:$I$89,5,0)</f>
        <v>-2.0838797354372215E-13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296.91321813251051</v>
      </c>
      <c r="EP162" s="59">
        <f t="shared" si="154"/>
        <v>291.0718079639509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1.0060450703418484</v>
      </c>
      <c r="EW162" s="21">
        <f>EXP(-LN(2)/25)*EW161+(1-EXP(-LN(2)/25))/(LN(2)/25)*Calculateur!ER162*Calculateur!ET162*VLOOKUP('Données projet'!$B$15,Paramètres!$A$1:$I$89,3,0)*0.475*44/12</f>
        <v>0.43246754678664817</v>
      </c>
      <c r="EX162" s="21">
        <f>EXP(-LN(2)/2)*EX161+(1-EXP(-LN(2)/2))/(LN(2)/2)*ER162*EU162*VLOOKUP('Données projet'!$B$15,Paramètres!$A$1:$I$89,3,0)*0.475*44/12</f>
        <v>4.1789527891657501E-19</v>
      </c>
      <c r="EY162" s="22">
        <f t="shared" si="181"/>
        <v>1.4385126171284965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>
        <f>FE162*VLOOKUP('Données projet'!$B$16,Paramètres!$A$1:$I$89,3,0)*VLOOKUP('Données projet'!$B$16,Paramètres!$A$1:$I$89,5,0)</f>
        <v>0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356.65981389369125</v>
      </c>
      <c r="FK162" s="59">
        <f t="shared" si="156"/>
        <v>231.92898690465887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0.63650198707689432</v>
      </c>
      <c r="FR162" s="21">
        <f>EXP(-LN(2)/25)*FR161+(1-EXP(-LN(2)/25))/(LN(2)/25)*Calculateur!FM162*Calculateur!FO162*VLOOKUP('Données projet'!$B$16,Paramètres!$A$1:$I$89,3,0)*0.475*44/12</f>
        <v>0.2935401564586812</v>
      </c>
      <c r="FS162" s="21">
        <f>EXP(-LN(2)/2)*FS161+(1-EXP(-LN(2)/2))/(LN(2)/2)*FM162*FP162*VLOOKUP('Données projet'!$B$16,Paramètres!$A$1:$I$89,3,0)*0.475*44/12</f>
        <v>3.6664490103974322E-19</v>
      </c>
      <c r="FT162" s="22">
        <f t="shared" si="184"/>
        <v>0.93004214353557546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>
        <f>FZ162*VLOOKUP('Données projet'!$B$17,Paramètres!$A$1:$I$89,3,0)*VLOOKUP('Données projet'!$B$17,Paramètres!$A$1:$I$89,5,0)</f>
        <v>0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337.76140497227715</v>
      </c>
      <c r="GF162" s="59">
        <f t="shared" si="158"/>
        <v>219.76562717496353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0.60712497228872986</v>
      </c>
      <c r="GM162" s="21">
        <f>EXP(-LN(2)/25)*GM161+(1-EXP(-LN(2)/25))/(LN(2)/25)*Calculateur!GH162*Calculateur!GJ162*VLOOKUP('Données projet'!$B$17,Paramètres!$A$1:$I$89,3,0)*0.475*44/12</f>
        <v>0.27999214923751137</v>
      </c>
      <c r="GN162" s="21">
        <f>EXP(-LN(2)/2)*GN161+(1-EXP(-LN(2)/2))/(LN(2)/2)*GH162*GK162*VLOOKUP('Données projet'!$B$17,Paramètres!$A$1:$I$89,3,0)*0.475*44/12</f>
        <v>3.4972282868406285E-19</v>
      </c>
      <c r="GO162" s="21">
        <f t="shared" si="187"/>
        <v>0.88711712152624123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312.53389584272878</v>
      </c>
      <c r="T163" s="59">
        <f t="shared" si="142"/>
        <v>203.5274665601915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0.55681835596331142</v>
      </c>
      <c r="AA163" s="21">
        <f>EXP(-LN(2)/25)*AA162+(1-EXP(-LN(2)/25))/(LN(2)/25)*Calculateur!V163*Calculateur!X163*VLOOKUP('Données projet'!$B$9,Paramètres!$A$1:$I$89,3,0)*0.475*44/12</f>
        <v>0.25476570085746619</v>
      </c>
      <c r="AB163" s="21">
        <f>EXP(-LN(2)/2)*AB162+(1-EXP(-LN(2)/2))/(LN(2)/2)*V163*Y163*VLOOKUP('Données projet'!$B$9,Paramètres!$A$1:$I$89,3,0)*0.475*44/12</f>
        <v>2.3133710087900059E-19</v>
      </c>
      <c r="AC163" s="22">
        <f t="shared" si="163"/>
        <v>0.81158405682077761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5.6843418860808015E-14</v>
      </c>
      <c r="AJ163" s="13">
        <f>AI163*VLOOKUP('Données projet'!$B$10,Paramètres!$A$1:$I$89,3,0)*VLOOKUP('Données projet'!$B$10,Paramètres!$A$1:$I$89,5,0)</f>
        <v>4.9658410716801891E-14</v>
      </c>
      <c r="AK163" s="13">
        <f t="shared" si="164"/>
        <v>8.0934058173791862E-13</v>
      </c>
      <c r="AL163" s="20">
        <f t="shared" si="165"/>
        <v>1.4960899118586383E-12</v>
      </c>
      <c r="AM163" s="59">
        <f t="shared" si="113"/>
        <v>293.33333333333479</v>
      </c>
      <c r="AN163" s="59">
        <f ca="1">AVERAGE(OFFSET($AM$3,0,0,'Données projet'!$E$10+1,1))-AVERAGE(OFFSET($H$3,0,0,'Données projet'!$E$10+1,1))</f>
        <v>243.05628303465238</v>
      </c>
      <c r="AO163" s="59">
        <f t="shared" si="144"/>
        <v>352.47096767658394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0.60149467697370584</v>
      </c>
      <c r="AV163" s="21">
        <f>EXP(-LN(2)/25)*AV162+(1-EXP(-LN(2)/25))/(LN(2)/25)*Calculateur!AQ163*Calculateur!AS163*VLOOKUP('Données projet'!$B$10,Paramètres!$A$1:$I$89,3,0)*0.475*44/12</f>
        <v>0.49289693634107196</v>
      </c>
      <c r="AW163" s="21">
        <f>EXP(-LN(2)/2)*AW162+(1-EXP(-LN(2)/2))/(LN(2)/2)*AQ163*AT163*VLOOKUP('Données projet'!$B$10,Paramètres!$A$1:$I$89,3,0)*0.475*44/12</f>
        <v>3.0555983625139623E-19</v>
      </c>
      <c r="AX163" s="21">
        <f t="shared" si="166"/>
        <v>1.0943916133147777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-2.8421709430404007E-13</v>
      </c>
      <c r="BE163" s="13">
        <f>BD163*VLOOKUP('Données projet'!$B$11,Paramètres!$A$1:$I$89,3,0)*VLOOKUP('Données projet'!$B$11,Paramètres!$A$1:$I$89,5,0)</f>
        <v>-2.2612312022829427E-13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325.72928944930294</v>
      </c>
      <c r="BJ163" s="59">
        <f t="shared" si="146"/>
        <v>318.38876834819752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1.3191564719429258</v>
      </c>
      <c r="BQ163" s="21">
        <f>EXP(-LN(2)/25)*BQ162+(1-EXP(-LN(2)/25))/(LN(2)/25)*Calculateur!BL163*Calculateur!BN163*VLOOKUP('Données projet'!$B$11,Paramètres!$A$1:$I$89,3,0)*0.475*44/12</f>
        <v>0.56259006053221594</v>
      </c>
      <c r="BR163" s="21">
        <f>EXP(-LN(2)/2)*BR162+(1-EXP(-LN(2)/2))/(LN(2)/2)*BL163*BO163*VLOOKUP('Données projet'!$B$11,Paramètres!$A$1:$I$89,3,0)*0.475*44/12</f>
        <v>3.2064523112628532E-19</v>
      </c>
      <c r="BS163" s="22">
        <f t="shared" si="169"/>
        <v>1.8817465324751419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-3.4106051316484809E-13</v>
      </c>
      <c r="BZ163" s="13">
        <f>BY163*VLOOKUP('Données projet'!$B$12,Paramètres!$A$1:$I$89,3,0)*VLOOKUP('Données projet'!$B$12,Paramètres!$A$1:$I$89,5,0)</f>
        <v>-1.9065282685915009E-13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475.54809021014017</v>
      </c>
      <c r="CE163" s="59">
        <f t="shared" si="148"/>
        <v>593.51433014569966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0.55932463314274472</v>
      </c>
      <c r="CL163" s="21">
        <f>EXP(-LN(2)/25)*CL162+(1-EXP(-LN(2)/25))/(LN(2)/25)*Calculateur!CG163*Calculateur!CI163*VLOOKUP('Données projet'!$B$12,Paramètres!$A$1:$I$89,3,0)*0.475*44/12</f>
        <v>1.1592529764010795</v>
      </c>
      <c r="CM163" s="21">
        <f>EXP(-LN(2)/2)*CM162+(1-EXP(-LN(2)/2))/(LN(2)/2)*CG163*CJ163*VLOOKUP('Données projet'!$B$12,Paramètres!$A$1:$I$89,3,0)*0.475*44/12</f>
        <v>3.9079952828331996E-19</v>
      </c>
      <c r="CN163" s="22">
        <f t="shared" si="172"/>
        <v>1.7185776095438241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-1.1368683772161603E-13</v>
      </c>
      <c r="CU163" s="17">
        <f>CT163*VLOOKUP('Données projet'!$B$13,Paramètres!$A$1:$I$89,3,0)*VLOOKUP('Données projet'!$B$13,Paramètres!$A$1:$I$89,5,0)</f>
        <v>-5.3205440053716299E-14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226.0452828290525</v>
      </c>
      <c r="CZ163" s="59">
        <f t="shared" si="150"/>
        <v>179.89696397462069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0.69149822908780656</v>
      </c>
      <c r="DG163" s="21">
        <f>EXP(-LN(2)/25)*DG162+(1-EXP(-LN(2)/25))/(LN(2)/25)*Calculateur!DB163*Calculateur!DD163*VLOOKUP('Données projet'!$B$13,Paramètres!$A$1:$I$89,3,0)*0.475*44/12</f>
        <v>0.30336837800421512</v>
      </c>
      <c r="DH163" s="21">
        <f>EXP(-LN(2)/2)*DH162+(1-EXP(-LN(2)/2))/(LN(2)/2)*DB163*DE163*VLOOKUP('Données projet'!$B$13,Paramètres!$A$1:$I$89,3,0)*0.475*44/12</f>
        <v>2.9932460166065893E-19</v>
      </c>
      <c r="DI163" s="22">
        <f t="shared" si="175"/>
        <v>0.99486660709202168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1.1368683772161603E-13</v>
      </c>
      <c r="DP163" s="17">
        <f>DO163*VLOOKUP('Données projet'!$B$14,Paramètres!$A$1:$I$89,3,0)*VLOOKUP('Données projet'!$B$14,Paramètres!$A$1:$I$89,5,0)</f>
        <v>6.7984728957526396E-14</v>
      </c>
      <c r="DQ163" s="13">
        <f t="shared" si="176"/>
        <v>1.0682447123141398E-12</v>
      </c>
      <c r="DR163" s="20">
        <f t="shared" si="177"/>
        <v>1.978932943548152E-12</v>
      </c>
      <c r="DS163" s="59">
        <f t="shared" si="125"/>
        <v>293.3333333333353</v>
      </c>
      <c r="DT163" s="59">
        <f ca="1">AVERAGE(OFFSET($DS$3,0,0,'Données projet'!$E$14+1,1))-AVERAGE(OFFSET($H$3,0,0,'Données projet'!$E$14+1,1))</f>
        <v>252.81045065813976</v>
      </c>
      <c r="DU163" s="59">
        <f t="shared" si="152"/>
        <v>254.36590349790589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1.3755408847485533</v>
      </c>
      <c r="EB163" s="21">
        <f>EXP(-LN(2)/25)*EB162+(1-EXP(-LN(2)/25))/(LN(2)/25)*Calculateur!DW163*Calculateur!DY163*VLOOKUP('Données projet'!$B$14,Paramètres!$A$1:$I$89,3,0)*0.475*44/12</f>
        <v>0.43870354077151796</v>
      </c>
      <c r="EC163" s="21">
        <f>EXP(-LN(2)/2)*EC162+(1-EXP(-LN(2)/2))/(LN(2)/2)*DW163*DZ163*VLOOKUP('Données projet'!$B$14,Paramètres!$A$1:$I$89,3,0)*0.475*44/12</f>
        <v>1.5562051658538157E-19</v>
      </c>
      <c r="ED163" s="22">
        <f t="shared" si="178"/>
        <v>1.8142444255200711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-2.8421709430404007E-13</v>
      </c>
      <c r="EK163" s="17">
        <f>EJ163*VLOOKUP('Données projet'!$B$15,Paramètres!$A$1:$I$89,3,0)*VLOOKUP('Données projet'!$B$15,Paramètres!$A$1:$I$89,5,0)</f>
        <v>-2.0838797354372215E-13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296.91321813251051</v>
      </c>
      <c r="EP163" s="59">
        <f t="shared" si="154"/>
        <v>291.0718079639509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0.98631714013934702</v>
      </c>
      <c r="EW163" s="21">
        <f>EXP(-LN(2)/25)*EW162+(1-EXP(-LN(2)/25))/(LN(2)/25)*Calculateur!ER163*Calculateur!ET163*VLOOKUP('Données projet'!$B$15,Paramètres!$A$1:$I$89,3,0)*0.475*44/12</f>
        <v>0.42064169897728743</v>
      </c>
      <c r="EX163" s="21">
        <f>EXP(-LN(2)/2)*EX162+(1-EXP(-LN(2)/2))/(LN(2)/2)*ER163*EU163*VLOOKUP('Données projet'!$B$15,Paramètres!$A$1:$I$89,3,0)*0.475*44/12</f>
        <v>2.9549658554775385E-19</v>
      </c>
      <c r="EY163" s="22">
        <f t="shared" si="181"/>
        <v>1.4069588391166343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>
        <f>FE163*VLOOKUP('Données projet'!$B$16,Paramètres!$A$1:$I$89,3,0)*VLOOKUP('Données projet'!$B$16,Paramètres!$A$1:$I$89,5,0)</f>
        <v>0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356.65981389369125</v>
      </c>
      <c r="FK163" s="59">
        <f t="shared" si="156"/>
        <v>231.92898690465887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0.62402057133819422</v>
      </c>
      <c r="FR163" s="21">
        <f>EXP(-LN(2)/25)*FR162+(1-EXP(-LN(2)/25))/(LN(2)/25)*Calculateur!FM163*Calculateur!FO163*VLOOKUP('Données projet'!$B$16,Paramètres!$A$1:$I$89,3,0)*0.475*44/12</f>
        <v>0.28551328544371263</v>
      </c>
      <c r="FS163" s="21">
        <f>EXP(-LN(2)/2)*FS162+(1-EXP(-LN(2)/2))/(LN(2)/2)*FM163*FP163*VLOOKUP('Données projet'!$B$16,Paramètres!$A$1:$I$89,3,0)*0.475*44/12</f>
        <v>2.5925709581267308E-19</v>
      </c>
      <c r="FT163" s="22">
        <f t="shared" si="184"/>
        <v>0.9095338567819069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>
        <f>FZ163*VLOOKUP('Données projet'!$B$17,Paramètres!$A$1:$I$89,3,0)*VLOOKUP('Données projet'!$B$17,Paramètres!$A$1:$I$89,5,0)</f>
        <v>0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337.76140497227715</v>
      </c>
      <c r="GF163" s="59">
        <f t="shared" si="158"/>
        <v>219.76562717496353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0.59521962189181588</v>
      </c>
      <c r="GM163" s="21">
        <f>EXP(-LN(2)/25)*GM162+(1-EXP(-LN(2)/25))/(LN(2)/25)*Calculateur!GH163*Calculateur!GJ163*VLOOKUP('Données projet'!$B$17,Paramètres!$A$1:$I$89,3,0)*0.475*44/12</f>
        <v>0.27233574919246445</v>
      </c>
      <c r="GN163" s="21">
        <f>EXP(-LN(2)/2)*GN162+(1-EXP(-LN(2)/2))/(LN(2)/2)*GH163*GK163*VLOOKUP('Données projet'!$B$17,Paramètres!$A$1:$I$89,3,0)*0.475*44/12</f>
        <v>2.4729138369824207E-19</v>
      </c>
      <c r="GO163" s="21">
        <f t="shared" si="187"/>
        <v>0.86755537108428027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312.53389584272878</v>
      </c>
      <c r="T164" s="59">
        <f t="shared" si="142"/>
        <v>203.5274665601915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0.5458994876285328</v>
      </c>
      <c r="AA164" s="21">
        <f>EXP(-LN(2)/25)*AA163+(1-EXP(-LN(2)/25))/(LN(2)/25)*Calculateur!V164*Calculateur!X164*VLOOKUP('Données projet'!$B$9,Paramètres!$A$1:$I$89,3,0)*0.475*44/12</f>
        <v>0.24779911936997284</v>
      </c>
      <c r="AB164" s="21">
        <f>EXP(-LN(2)/2)*AB163+(1-EXP(-LN(2)/2))/(LN(2)/2)*V164*Y164*VLOOKUP('Données projet'!$B$9,Paramètres!$A$1:$I$89,3,0)*0.475*44/12</f>
        <v>1.6358003277157774E-19</v>
      </c>
      <c r="AC164" s="22">
        <f t="shared" si="163"/>
        <v>0.7936986069985057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5.6843418860808015E-14</v>
      </c>
      <c r="AJ164" s="13">
        <f>AI164*VLOOKUP('Données projet'!$B$10,Paramètres!$A$1:$I$89,3,0)*VLOOKUP('Données projet'!$B$10,Paramètres!$A$1:$I$89,5,0)</f>
        <v>4.9658410716801891E-14</v>
      </c>
      <c r="AK164" s="13">
        <f t="shared" si="164"/>
        <v>8.0934058173791862E-13</v>
      </c>
      <c r="AL164" s="20">
        <f t="shared" si="165"/>
        <v>1.4960899118586383E-12</v>
      </c>
      <c r="AM164" s="59">
        <f t="shared" si="113"/>
        <v>293.33333333333479</v>
      </c>
      <c r="AN164" s="59">
        <f ca="1">AVERAGE(OFFSET($AM$3,0,0,'Données projet'!$E$10+1,1))-AVERAGE(OFFSET($H$3,0,0,'Données projet'!$E$10+1,1))</f>
        <v>243.05628303465238</v>
      </c>
      <c r="AO164" s="59">
        <f t="shared" si="144"/>
        <v>352.47096767658394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0.58969973323377844</v>
      </c>
      <c r="AV164" s="21">
        <f>EXP(-LN(2)/25)*AV163+(1-EXP(-LN(2)/25))/(LN(2)/25)*Calculateur!AQ164*Calculateur!AS164*VLOOKUP('Données projet'!$B$10,Paramètres!$A$1:$I$89,3,0)*0.475*44/12</f>
        <v>0.479418643696502</v>
      </c>
      <c r="AW164" s="21">
        <f>EXP(-LN(2)/2)*AW163+(1-EXP(-LN(2)/2))/(LN(2)/2)*AQ164*AT164*VLOOKUP('Données projet'!$B$10,Paramètres!$A$1:$I$89,3,0)*0.475*44/12</f>
        <v>2.1606343227161335E-19</v>
      </c>
      <c r="AX164" s="21">
        <f t="shared" si="166"/>
        <v>1.0691183769302803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-2.8421709430404007E-13</v>
      </c>
      <c r="BE164" s="13">
        <f>BD164*VLOOKUP('Données projet'!$B$11,Paramètres!$A$1:$I$89,3,0)*VLOOKUP('Données projet'!$B$11,Paramètres!$A$1:$I$89,5,0)</f>
        <v>-2.2612312022829427E-13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325.72928944930294</v>
      </c>
      <c r="BJ164" s="59">
        <f t="shared" si="146"/>
        <v>318.38876834819752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1.2932886181341248</v>
      </c>
      <c r="BQ164" s="21">
        <f>EXP(-LN(2)/25)*BQ163+(1-EXP(-LN(2)/25))/(LN(2)/25)*Calculateur!BL164*Calculateur!BN164*VLOOKUP('Données projet'!$B$11,Paramètres!$A$1:$I$89,3,0)*0.475*44/12</f>
        <v>0.54720600574163702</v>
      </c>
      <c r="BR164" s="21">
        <f>EXP(-LN(2)/2)*BR163+(1-EXP(-LN(2)/2))/(LN(2)/2)*BL164*BO164*VLOOKUP('Données projet'!$B$11,Paramètres!$A$1:$I$89,3,0)*0.475*44/12</f>
        <v>2.2673041728452418E-19</v>
      </c>
      <c r="BS164" s="22">
        <f t="shared" si="169"/>
        <v>1.8404946238757618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-3.4106051316484809E-13</v>
      </c>
      <c r="BZ164" s="13">
        <f>BY164*VLOOKUP('Données projet'!$B$12,Paramètres!$A$1:$I$89,3,0)*VLOOKUP('Données projet'!$B$12,Paramètres!$A$1:$I$89,5,0)</f>
        <v>-1.9065282685915009E-13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475.54809021014017</v>
      </c>
      <c r="CE164" s="59">
        <f t="shared" si="148"/>
        <v>593.51433014569966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0.54835661824115556</v>
      </c>
      <c r="CL164" s="21">
        <f>EXP(-LN(2)/25)*CL163+(1-EXP(-LN(2)/25))/(LN(2)/25)*Calculateur!CG164*Calculateur!CI164*VLOOKUP('Données projet'!$B$12,Paramètres!$A$1:$I$89,3,0)*0.475*44/12</f>
        <v>1.1275531427989274</v>
      </c>
      <c r="CM164" s="21">
        <f>EXP(-LN(2)/2)*CM163+(1-EXP(-LN(2)/2))/(LN(2)/2)*CG164*CJ164*VLOOKUP('Données projet'!$B$12,Paramètres!$A$1:$I$89,3,0)*0.475*44/12</f>
        <v>2.7633699653363951E-19</v>
      </c>
      <c r="CN164" s="22">
        <f t="shared" si="172"/>
        <v>1.6759097610400828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-1.1368683772161603E-13</v>
      </c>
      <c r="CU164" s="17">
        <f>CT164*VLOOKUP('Données projet'!$B$13,Paramètres!$A$1:$I$89,3,0)*VLOOKUP('Données projet'!$B$13,Paramètres!$A$1:$I$89,5,0)</f>
        <v>-5.3205440053716299E-14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226.0452828290525</v>
      </c>
      <c r="CZ164" s="59">
        <f t="shared" si="150"/>
        <v>179.89696397462069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0.67793837058766782</v>
      </c>
      <c r="DG164" s="21">
        <f>EXP(-LN(2)/25)*DG163+(1-EXP(-LN(2)/25))/(LN(2)/25)*Calculateur!DB164*Calculateur!DD164*VLOOKUP('Données projet'!$B$13,Paramètres!$A$1:$I$89,3,0)*0.475*44/12</f>
        <v>0.29507275375424019</v>
      </c>
      <c r="DH164" s="21">
        <f>EXP(-LN(2)/2)*DH163+(1-EXP(-LN(2)/2))/(LN(2)/2)*DB164*DE164*VLOOKUP('Données projet'!$B$13,Paramètres!$A$1:$I$89,3,0)*0.475*44/12</f>
        <v>2.1165445561021407E-19</v>
      </c>
      <c r="DI164" s="22">
        <f t="shared" si="175"/>
        <v>0.97301112434190795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1.1368683772161603E-13</v>
      </c>
      <c r="DP164" s="17">
        <f>DO164*VLOOKUP('Données projet'!$B$14,Paramètres!$A$1:$I$89,3,0)*VLOOKUP('Données projet'!$B$14,Paramètres!$A$1:$I$89,5,0)</f>
        <v>6.7984728957526396E-14</v>
      </c>
      <c r="DQ164" s="13">
        <f t="shared" si="176"/>
        <v>1.0682447123141398E-12</v>
      </c>
      <c r="DR164" s="20">
        <f t="shared" si="177"/>
        <v>1.978932943548152E-12</v>
      </c>
      <c r="DS164" s="59">
        <f t="shared" si="125"/>
        <v>293.3333333333353</v>
      </c>
      <c r="DT164" s="59">
        <f ca="1">AVERAGE(OFFSET($DS$3,0,0,'Données projet'!$E$14+1,1))-AVERAGE(OFFSET($H$3,0,0,'Données projet'!$E$14+1,1))</f>
        <v>252.81045065813976</v>
      </c>
      <c r="DU164" s="59">
        <f t="shared" si="152"/>
        <v>254.36590349790589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1.3485673669957299</v>
      </c>
      <c r="EB164" s="21">
        <f>EXP(-LN(2)/25)*EB163+(1-EXP(-LN(2)/25))/(LN(2)/25)*Calculateur!DW164*Calculateur!DY164*VLOOKUP('Données projet'!$B$14,Paramètres!$A$1:$I$89,3,0)*0.475*44/12</f>
        <v>0.42670716937870429</v>
      </c>
      <c r="EC164" s="21">
        <f>EXP(-LN(2)/2)*EC163+(1-EXP(-LN(2)/2))/(LN(2)/2)*DW164*DZ164*VLOOKUP('Données projet'!$B$14,Paramètres!$A$1:$I$89,3,0)*0.475*44/12</f>
        <v>1.1004032256927689E-19</v>
      </c>
      <c r="ED164" s="22">
        <f t="shared" si="178"/>
        <v>1.7752745363744342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-2.8421709430404007E-13</v>
      </c>
      <c r="EK164" s="17">
        <f>EJ164*VLOOKUP('Données projet'!$B$15,Paramètres!$A$1:$I$89,3,0)*VLOOKUP('Données projet'!$B$15,Paramètres!$A$1:$I$89,5,0)</f>
        <v>-2.0838797354372215E-13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296.91321813251051</v>
      </c>
      <c r="EP164" s="59">
        <f t="shared" si="154"/>
        <v>291.0718079639509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0.96697606261526747</v>
      </c>
      <c r="EW164" s="21">
        <f>EXP(-LN(2)/25)*EW163+(1-EXP(-LN(2)/25))/(LN(2)/25)*Calculateur!ER164*Calculateur!ET164*VLOOKUP('Données projet'!$B$15,Paramètres!$A$1:$I$89,3,0)*0.475*44/12</f>
        <v>0.40913922959816795</v>
      </c>
      <c r="EX164" s="21">
        <f>EXP(-LN(2)/2)*EX163+(1-EXP(-LN(2)/2))/(LN(2)/2)*ER164*EU164*VLOOKUP('Données projet'!$B$15,Paramètres!$A$1:$I$89,3,0)*0.475*44/12</f>
        <v>2.089476394582875E-19</v>
      </c>
      <c r="EY164" s="22">
        <f t="shared" si="181"/>
        <v>1.3761152922134354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>
        <f>FE164*VLOOKUP('Données projet'!$B$16,Paramètres!$A$1:$I$89,3,0)*VLOOKUP('Données projet'!$B$16,Paramètres!$A$1:$I$89,5,0)</f>
        <v>0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356.65981389369125</v>
      </c>
      <c r="FK164" s="59">
        <f t="shared" si="156"/>
        <v>231.92898690465887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0.61178390854921816</v>
      </c>
      <c r="FR164" s="21">
        <f>EXP(-LN(2)/25)*FR163+(1-EXP(-LN(2)/25))/(LN(2)/25)*Calculateur!FM164*Calculateur!FO164*VLOOKUP('Données projet'!$B$16,Paramètres!$A$1:$I$89,3,0)*0.475*44/12</f>
        <v>0.27770590963876318</v>
      </c>
      <c r="FS164" s="21">
        <f>EXP(-LN(2)/2)*FS163+(1-EXP(-LN(2)/2))/(LN(2)/2)*FM164*FP164*VLOOKUP('Données projet'!$B$16,Paramètres!$A$1:$I$89,3,0)*0.475*44/12</f>
        <v>1.8332245051987161E-19</v>
      </c>
      <c r="FT164" s="22">
        <f t="shared" si="184"/>
        <v>0.88948981818798134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>
        <f>FZ164*VLOOKUP('Données projet'!$B$17,Paramètres!$A$1:$I$89,3,0)*VLOOKUP('Données projet'!$B$17,Paramètres!$A$1:$I$89,5,0)</f>
        <v>0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337.76140497227715</v>
      </c>
      <c r="GF164" s="59">
        <f t="shared" si="158"/>
        <v>219.76562717496353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0.58354772815463873</v>
      </c>
      <c r="GM164" s="21">
        <f>EXP(-LN(2)/25)*GM163+(1-EXP(-LN(2)/25))/(LN(2)/25)*Calculateur!GH164*Calculateur!GJ164*VLOOKUP('Données projet'!$B$17,Paramètres!$A$1:$I$89,3,0)*0.475*44/12</f>
        <v>0.26488871380928192</v>
      </c>
      <c r="GN164" s="21">
        <f>EXP(-LN(2)/2)*GN163+(1-EXP(-LN(2)/2))/(LN(2)/2)*GH164*GK164*VLOOKUP('Données projet'!$B$17,Paramètres!$A$1:$I$89,3,0)*0.475*44/12</f>
        <v>1.7486141434203143E-19</v>
      </c>
      <c r="GO164" s="21">
        <f t="shared" si="187"/>
        <v>0.84843644196392065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312.53389584272878</v>
      </c>
      <c r="T165" s="59">
        <f t="shared" si="142"/>
        <v>203.5274665601915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0.53519473164194709</v>
      </c>
      <c r="AA165" s="21">
        <f>EXP(-LN(2)/25)*AA164+(1-EXP(-LN(2)/25))/(LN(2)/25)*Calculateur!V165*Calculateur!X165*VLOOKUP('Données projet'!$B$9,Paramètres!$A$1:$I$89,3,0)*0.475*44/12</f>
        <v>0.24102303941961159</v>
      </c>
      <c r="AB165" s="21">
        <f>EXP(-LN(2)/2)*AB164+(1-EXP(-LN(2)/2))/(LN(2)/2)*V165*Y165*VLOOKUP('Données projet'!$B$9,Paramètres!$A$1:$I$89,3,0)*0.475*44/12</f>
        <v>1.1566855043950029E-19</v>
      </c>
      <c r="AC165" s="22">
        <f t="shared" si="163"/>
        <v>0.77621777106155865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5.6843418860808015E-14</v>
      </c>
      <c r="AJ165" s="13">
        <f>AI165*VLOOKUP('Données projet'!$B$10,Paramètres!$A$1:$I$89,3,0)*VLOOKUP('Données projet'!$B$10,Paramètres!$A$1:$I$89,5,0)</f>
        <v>4.9658410716801891E-14</v>
      </c>
      <c r="AK165" s="13">
        <f t="shared" si="164"/>
        <v>8.0934058173791862E-13</v>
      </c>
      <c r="AL165" s="20">
        <f t="shared" si="165"/>
        <v>1.4960899118586383E-12</v>
      </c>
      <c r="AM165" s="59">
        <f t="shared" si="113"/>
        <v>293.33333333333479</v>
      </c>
      <c r="AN165" s="59">
        <f ca="1">AVERAGE(OFFSET($AM$3,0,0,'Données projet'!$E$10+1,1))-AVERAGE(OFFSET($H$3,0,0,'Données projet'!$E$10+1,1))</f>
        <v>243.05628303465238</v>
      </c>
      <c r="AO165" s="59">
        <f t="shared" si="144"/>
        <v>352.47096767658394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0.57813608114638571</v>
      </c>
      <c r="AV165" s="21">
        <f>EXP(-LN(2)/25)*AV164+(1-EXP(-LN(2)/25))/(LN(2)/25)*Calculateur!AQ165*Calculateur!AS165*VLOOKUP('Données projet'!$B$10,Paramètres!$A$1:$I$89,3,0)*0.475*44/12</f>
        <v>0.46630891567309041</v>
      </c>
      <c r="AW165" s="21">
        <f>EXP(-LN(2)/2)*AW164+(1-EXP(-LN(2)/2))/(LN(2)/2)*AQ165*AT165*VLOOKUP('Données projet'!$B$10,Paramètres!$A$1:$I$89,3,0)*0.475*44/12</f>
        <v>1.5277991812569814E-19</v>
      </c>
      <c r="AX165" s="21">
        <f t="shared" si="166"/>
        <v>1.0444449968194762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-2.8421709430404007E-13</v>
      </c>
      <c r="BE165" s="13">
        <f>BD165*VLOOKUP('Données projet'!$B$11,Paramètres!$A$1:$I$89,3,0)*VLOOKUP('Données projet'!$B$11,Paramètres!$A$1:$I$89,5,0)</f>
        <v>-2.2612312022829427E-13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325.72928944930294</v>
      </c>
      <c r="BJ165" s="59">
        <f t="shared" si="146"/>
        <v>318.38876834819752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1.2679280171606813</v>
      </c>
      <c r="BQ165" s="21">
        <f>EXP(-LN(2)/25)*BQ164+(1-EXP(-LN(2)/25))/(LN(2)/25)*Calculateur!BL165*Calculateur!BN165*VLOOKUP('Données projet'!$B$11,Paramètres!$A$1:$I$89,3,0)*0.475*44/12</f>
        <v>0.53224262873831873</v>
      </c>
      <c r="BR165" s="21">
        <f>EXP(-LN(2)/2)*BR164+(1-EXP(-LN(2)/2))/(LN(2)/2)*BL165*BO165*VLOOKUP('Données projet'!$B$11,Paramètres!$A$1:$I$89,3,0)*0.475*44/12</f>
        <v>1.6032261556314266E-19</v>
      </c>
      <c r="BS165" s="22">
        <f t="shared" si="169"/>
        <v>1.8001706458990001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-3.4106051316484809E-13</v>
      </c>
      <c r="BZ165" s="13">
        <f>BY165*VLOOKUP('Données projet'!$B$12,Paramètres!$A$1:$I$89,3,0)*VLOOKUP('Données projet'!$B$12,Paramètres!$A$1:$I$89,5,0)</f>
        <v>-1.9065282685915009E-13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475.54809021014017</v>
      </c>
      <c r="CE165" s="59">
        <f t="shared" si="148"/>
        <v>593.51433014569966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0.53760367942195797</v>
      </c>
      <c r="CL165" s="21">
        <f>EXP(-LN(2)/25)*CL164+(1-EXP(-LN(2)/25))/(LN(2)/25)*Calculateur!CG165*Calculateur!CI165*VLOOKUP('Données projet'!$B$12,Paramètres!$A$1:$I$89,3,0)*0.475*44/12</f>
        <v>1.0967201428136479</v>
      </c>
      <c r="CM165" s="21">
        <f>EXP(-LN(2)/2)*CM164+(1-EXP(-LN(2)/2))/(LN(2)/2)*CG165*CJ165*VLOOKUP('Données projet'!$B$12,Paramètres!$A$1:$I$89,3,0)*0.475*44/12</f>
        <v>1.9539976414165998E-19</v>
      </c>
      <c r="CN165" s="22">
        <f t="shared" si="172"/>
        <v>1.634323822235606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-1.1368683772161603E-13</v>
      </c>
      <c r="CU165" s="17">
        <f>CT165*VLOOKUP('Données projet'!$B$13,Paramètres!$A$1:$I$89,3,0)*VLOOKUP('Données projet'!$B$13,Paramètres!$A$1:$I$89,5,0)</f>
        <v>-5.3205440053716299E-14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226.0452828290525</v>
      </c>
      <c r="CZ165" s="59">
        <f t="shared" si="150"/>
        <v>179.89696397462069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0.66464441264201979</v>
      </c>
      <c r="DG165" s="21">
        <f>EXP(-LN(2)/25)*DG164+(1-EXP(-LN(2)/25))/(LN(2)/25)*Calculateur!DB165*Calculateur!DD165*VLOOKUP('Données projet'!$B$13,Paramètres!$A$1:$I$89,3,0)*0.475*44/12</f>
        <v>0.28700397378562875</v>
      </c>
      <c r="DH165" s="21">
        <f>EXP(-LN(2)/2)*DH164+(1-EXP(-LN(2)/2))/(LN(2)/2)*DB165*DE165*VLOOKUP('Données projet'!$B$13,Paramètres!$A$1:$I$89,3,0)*0.475*44/12</f>
        <v>1.4966230083032949E-19</v>
      </c>
      <c r="DI165" s="22">
        <f t="shared" si="175"/>
        <v>0.9516483864276486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1.1368683772161603E-13</v>
      </c>
      <c r="DP165" s="17">
        <f>DO165*VLOOKUP('Données projet'!$B$14,Paramètres!$A$1:$I$89,3,0)*VLOOKUP('Données projet'!$B$14,Paramètres!$A$1:$I$89,5,0)</f>
        <v>6.7984728957526396E-14</v>
      </c>
      <c r="DQ165" s="13">
        <f t="shared" si="176"/>
        <v>1.0682447123141398E-12</v>
      </c>
      <c r="DR165" s="20">
        <f t="shared" si="177"/>
        <v>1.978932943548152E-12</v>
      </c>
      <c r="DS165" s="59">
        <f t="shared" si="125"/>
        <v>293.3333333333353</v>
      </c>
      <c r="DT165" s="59">
        <f ca="1">AVERAGE(OFFSET($DS$3,0,0,'Données projet'!$E$14+1,1))-AVERAGE(OFFSET($H$3,0,0,'Données projet'!$E$14+1,1))</f>
        <v>252.81045065813976</v>
      </c>
      <c r="DU165" s="59">
        <f t="shared" si="152"/>
        <v>254.36590349790589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1.3221227834738178</v>
      </c>
      <c r="EB165" s="21">
        <f>EXP(-LN(2)/25)*EB164+(1-EXP(-LN(2)/25))/(LN(2)/25)*Calculateur!DW165*Calculateur!DY165*VLOOKUP('Données projet'!$B$14,Paramètres!$A$1:$I$89,3,0)*0.475*44/12</f>
        <v>0.41503883939248881</v>
      </c>
      <c r="EC165" s="21">
        <f>EXP(-LN(2)/2)*EC164+(1-EXP(-LN(2)/2))/(LN(2)/2)*DW165*DZ165*VLOOKUP('Données projet'!$B$14,Paramètres!$A$1:$I$89,3,0)*0.475*44/12</f>
        <v>7.7810258292690783E-20</v>
      </c>
      <c r="ED165" s="22">
        <f t="shared" si="178"/>
        <v>1.7371616228663067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-2.8421709430404007E-13</v>
      </c>
      <c r="EK165" s="17">
        <f>EJ165*VLOOKUP('Données projet'!$B$15,Paramètres!$A$1:$I$89,3,0)*VLOOKUP('Données projet'!$B$15,Paramètres!$A$1:$I$89,5,0)</f>
        <v>-2.0838797354372215E-13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296.91321813251051</v>
      </c>
      <c r="EP165" s="59">
        <f t="shared" si="154"/>
        <v>291.0718079639509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0.94801425182454269</v>
      </c>
      <c r="EW165" s="21">
        <f>EXP(-LN(2)/25)*EW164+(1-EXP(-LN(2)/25))/(LN(2)/25)*Calculateur!ER165*Calculateur!ET165*VLOOKUP('Données projet'!$B$15,Paramètres!$A$1:$I$89,3,0)*0.475*44/12</f>
        <v>0.39795129584910904</v>
      </c>
      <c r="EX165" s="21">
        <f>EXP(-LN(2)/2)*EX164+(1-EXP(-LN(2)/2))/(LN(2)/2)*ER165*EU165*VLOOKUP('Données projet'!$B$15,Paramètres!$A$1:$I$89,3,0)*0.475*44/12</f>
        <v>1.4774829277387692E-19</v>
      </c>
      <c r="EY165" s="22">
        <f t="shared" si="181"/>
        <v>1.3459655476736518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>
        <f>FE165*VLOOKUP('Données projet'!$B$16,Paramètres!$A$1:$I$89,3,0)*VLOOKUP('Données projet'!$B$16,Paramètres!$A$1:$I$89,5,0)</f>
        <v>0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356.65981389369125</v>
      </c>
      <c r="FK165" s="59">
        <f t="shared" si="156"/>
        <v>231.92898690465887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0.59978719925390656</v>
      </c>
      <c r="FR165" s="21">
        <f>EXP(-LN(2)/25)*FR164+(1-EXP(-LN(2)/25))/(LN(2)/25)*Calculateur!FM165*Calculateur!FO165*VLOOKUP('Données projet'!$B$16,Paramètres!$A$1:$I$89,3,0)*0.475*44/12</f>
        <v>0.27011202693577213</v>
      </c>
      <c r="FS165" s="21">
        <f>EXP(-LN(2)/2)*FS164+(1-EXP(-LN(2)/2))/(LN(2)/2)*FM165*FP165*VLOOKUP('Données projet'!$B$16,Paramètres!$A$1:$I$89,3,0)*0.475*44/12</f>
        <v>1.2962854790633654E-19</v>
      </c>
      <c r="FT165" s="22">
        <f t="shared" si="184"/>
        <v>0.86989922618967874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>
        <f>FZ165*VLOOKUP('Données projet'!$B$17,Paramètres!$A$1:$I$89,3,0)*VLOOKUP('Données projet'!$B$17,Paramètres!$A$1:$I$89,5,0)</f>
        <v>0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337.76140497227715</v>
      </c>
      <c r="GF165" s="59">
        <f t="shared" si="158"/>
        <v>219.76562717496353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0.5721047131344954</v>
      </c>
      <c r="GM165" s="21">
        <f>EXP(-LN(2)/25)*GM164+(1-EXP(-LN(2)/25))/(LN(2)/25)*Calculateur!GH165*Calculateur!GJ165*VLOOKUP('Données projet'!$B$17,Paramètres!$A$1:$I$89,3,0)*0.475*44/12</f>
        <v>0.25764531800027507</v>
      </c>
      <c r="GN165" s="21">
        <f>EXP(-LN(2)/2)*GN164+(1-EXP(-LN(2)/2))/(LN(2)/2)*GH165*GK165*VLOOKUP('Données projet'!$B$17,Paramètres!$A$1:$I$89,3,0)*0.475*44/12</f>
        <v>1.2364569184912104E-19</v>
      </c>
      <c r="GO165" s="21">
        <f t="shared" si="187"/>
        <v>0.82975003113477053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312.53389584272878</v>
      </c>
      <c r="T166" s="59">
        <f t="shared" si="142"/>
        <v>203.5274665601915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0.52469988939100187</v>
      </c>
      <c r="AA166" s="21">
        <f>EXP(-LN(2)/25)*AA165+(1-EXP(-LN(2)/25))/(LN(2)/25)*Calculateur!V166*Calculateur!X166*VLOOKUP('Données projet'!$B$9,Paramètres!$A$1:$I$89,3,0)*0.475*44/12</f>
        <v>0.23443225173183152</v>
      </c>
      <c r="AB166" s="21">
        <f>EXP(-LN(2)/2)*AB165+(1-EXP(-LN(2)/2))/(LN(2)/2)*V166*Y166*VLOOKUP('Données projet'!$B$9,Paramètres!$A$1:$I$89,3,0)*0.475*44/12</f>
        <v>8.179001638578887E-20</v>
      </c>
      <c r="AC166" s="22">
        <f t="shared" si="163"/>
        <v>0.75913214112283334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5.6843418860808015E-14</v>
      </c>
      <c r="AJ166" s="13">
        <f>AI166*VLOOKUP('Données projet'!$B$10,Paramètres!$A$1:$I$89,3,0)*VLOOKUP('Données projet'!$B$10,Paramètres!$A$1:$I$89,5,0)</f>
        <v>4.9658410716801891E-14</v>
      </c>
      <c r="AK166" s="13">
        <f t="shared" si="164"/>
        <v>8.0934058173791862E-13</v>
      </c>
      <c r="AL166" s="20">
        <f t="shared" si="165"/>
        <v>1.4960899118586383E-12</v>
      </c>
      <c r="AM166" s="59">
        <f t="shared" si="113"/>
        <v>293.33333333333479</v>
      </c>
      <c r="AN166" s="59">
        <f ca="1">AVERAGE(OFFSET($AM$3,0,0,'Données projet'!$E$10+1,1))-AVERAGE(OFFSET($H$3,0,0,'Données projet'!$E$10+1,1))</f>
        <v>243.05628303465238</v>
      </c>
      <c r="AO166" s="59">
        <f t="shared" si="144"/>
        <v>352.47096767658394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0.56679918522329542</v>
      </c>
      <c r="AV166" s="21">
        <f>EXP(-LN(2)/25)*AV165+(1-EXP(-LN(2)/25))/(LN(2)/25)*Calculateur!AQ166*Calculateur!AS166*VLOOKUP('Données projet'!$B$10,Paramètres!$A$1:$I$89,3,0)*0.475*44/12</f>
        <v>0.45355767385188966</v>
      </c>
      <c r="AW166" s="21">
        <f>EXP(-LN(2)/2)*AW165+(1-EXP(-LN(2)/2))/(LN(2)/2)*AQ166*AT166*VLOOKUP('Données projet'!$B$10,Paramètres!$A$1:$I$89,3,0)*0.475*44/12</f>
        <v>1.0803171613580669E-19</v>
      </c>
      <c r="AX166" s="21">
        <f t="shared" si="166"/>
        <v>1.020356859075185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-2.8421709430404007E-13</v>
      </c>
      <c r="BE166" s="13">
        <f>BD166*VLOOKUP('Données projet'!$B$11,Paramètres!$A$1:$I$89,3,0)*VLOOKUP('Données projet'!$B$11,Paramètres!$A$1:$I$89,5,0)</f>
        <v>-2.2612312022829427E-13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325.72928944930294</v>
      </c>
      <c r="BJ166" s="59">
        <f t="shared" si="146"/>
        <v>318.38876834819752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1.2430647221038877</v>
      </c>
      <c r="BQ166" s="21">
        <f>EXP(-LN(2)/25)*BQ165+(1-EXP(-LN(2)/25))/(LN(2)/25)*Calculateur!BL166*Calculateur!BN166*VLOOKUP('Données projet'!$B$11,Paramètres!$A$1:$I$89,3,0)*0.475*44/12</f>
        <v>0.51768842606604604</v>
      </c>
      <c r="BR166" s="21">
        <f>EXP(-LN(2)/2)*BR165+(1-EXP(-LN(2)/2))/(LN(2)/2)*BL166*BO166*VLOOKUP('Données projet'!$B$11,Paramètres!$A$1:$I$89,3,0)*0.475*44/12</f>
        <v>1.1336520864226209E-19</v>
      </c>
      <c r="BS166" s="22">
        <f t="shared" si="169"/>
        <v>1.7607531481699339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-3.4106051316484809E-13</v>
      </c>
      <c r="BZ166" s="13">
        <f>BY166*VLOOKUP('Données projet'!$B$12,Paramètres!$A$1:$I$89,3,0)*VLOOKUP('Données projet'!$B$12,Paramètres!$A$1:$I$89,5,0)</f>
        <v>-1.9065282685915009E-13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475.54809021014017</v>
      </c>
      <c r="CE166" s="59">
        <f t="shared" si="148"/>
        <v>593.51433014569966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0.5270615991743598</v>
      </c>
      <c r="CL166" s="21">
        <f>EXP(-LN(2)/25)*CL165+(1-EXP(-LN(2)/25))/(LN(2)/25)*Calculateur!CG166*Calculateur!CI166*VLOOKUP('Données projet'!$B$12,Paramètres!$A$1:$I$89,3,0)*0.475*44/12</f>
        <v>1.066730272834403</v>
      </c>
      <c r="CM166" s="21">
        <f>EXP(-LN(2)/2)*CM165+(1-EXP(-LN(2)/2))/(LN(2)/2)*CG166*CJ166*VLOOKUP('Données projet'!$B$12,Paramètres!$A$1:$I$89,3,0)*0.475*44/12</f>
        <v>1.3816849826681976E-19</v>
      </c>
      <c r="CN166" s="22">
        <f t="shared" si="172"/>
        <v>1.5937918720087629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-1.1368683772161603E-13</v>
      </c>
      <c r="CU166" s="17">
        <f>CT166*VLOOKUP('Données projet'!$B$13,Paramètres!$A$1:$I$89,3,0)*VLOOKUP('Données projet'!$B$13,Paramètres!$A$1:$I$89,5,0)</f>
        <v>-5.3205440053716299E-14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226.0452828290525</v>
      </c>
      <c r="CZ166" s="59">
        <f t="shared" si="150"/>
        <v>179.89696397462069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0.6516111411031722</v>
      </c>
      <c r="DG166" s="21">
        <f>EXP(-LN(2)/25)*DG165+(1-EXP(-LN(2)/25))/(LN(2)/25)*Calculateur!DB166*Calculateur!DD166*VLOOKUP('Données projet'!$B$13,Paramètres!$A$1:$I$89,3,0)*0.475*44/12</f>
        <v>0.27915583502957769</v>
      </c>
      <c r="DH166" s="21">
        <f>EXP(-LN(2)/2)*DH165+(1-EXP(-LN(2)/2))/(LN(2)/2)*DB166*DE166*VLOOKUP('Données projet'!$B$13,Paramètres!$A$1:$I$89,3,0)*0.475*44/12</f>
        <v>1.0582722780510705E-19</v>
      </c>
      <c r="DI166" s="22">
        <f t="shared" si="175"/>
        <v>0.93076697613274995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1.1368683772161603E-13</v>
      </c>
      <c r="DP166" s="17">
        <f>DO166*VLOOKUP('Données projet'!$B$14,Paramètres!$A$1:$I$89,3,0)*VLOOKUP('Données projet'!$B$14,Paramètres!$A$1:$I$89,5,0)</f>
        <v>6.7984728957526396E-14</v>
      </c>
      <c r="DQ166" s="13">
        <f t="shared" si="176"/>
        <v>1.0682447123141398E-12</v>
      </c>
      <c r="DR166" s="20">
        <f t="shared" si="177"/>
        <v>1.978932943548152E-12</v>
      </c>
      <c r="DS166" s="59">
        <f t="shared" si="125"/>
        <v>293.3333333333353</v>
      </c>
      <c r="DT166" s="59">
        <f ca="1">AVERAGE(OFFSET($DS$3,0,0,'Données projet'!$E$14+1,1))-AVERAGE(OFFSET($H$3,0,0,'Données projet'!$E$14+1,1))</f>
        <v>252.81045065813976</v>
      </c>
      <c r="DU166" s="59">
        <f t="shared" si="152"/>
        <v>254.36590349790589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1.2961967621051673</v>
      </c>
      <c r="EB166" s="21">
        <f>EXP(-LN(2)/25)*EB165+(1-EXP(-LN(2)/25))/(LN(2)/25)*Calculateur!DW166*Calculateur!DY166*VLOOKUP('Données projet'!$B$14,Paramètres!$A$1:$I$89,3,0)*0.475*44/12</f>
        <v>0.40368958050335724</v>
      </c>
      <c r="EC166" s="21">
        <f>EXP(-LN(2)/2)*EC165+(1-EXP(-LN(2)/2))/(LN(2)/2)*DW166*DZ166*VLOOKUP('Données projet'!$B$14,Paramètres!$A$1:$I$89,3,0)*0.475*44/12</f>
        <v>5.5020161284638446E-20</v>
      </c>
      <c r="ED166" s="22">
        <f t="shared" si="178"/>
        <v>1.6998863426085244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-2.8421709430404007E-13</v>
      </c>
      <c r="EK166" s="17">
        <f>EJ166*VLOOKUP('Données projet'!$B$15,Paramètres!$A$1:$I$89,3,0)*VLOOKUP('Données projet'!$B$15,Paramètres!$A$1:$I$89,5,0)</f>
        <v>-2.0838797354372215E-13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296.91321813251051</v>
      </c>
      <c r="EP166" s="59">
        <f t="shared" si="154"/>
        <v>291.0718079639509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0.92942427057786137</v>
      </c>
      <c r="EW166" s="21">
        <f>EXP(-LN(2)/25)*EW165+(1-EXP(-LN(2)/25))/(LN(2)/25)*Calculateur!ER166*Calculateur!ET166*VLOOKUP('Données projet'!$B$15,Paramètres!$A$1:$I$89,3,0)*0.475*44/12</f>
        <v>0.38706929673676604</v>
      </c>
      <c r="EX166" s="21">
        <f>EXP(-LN(2)/2)*EX165+(1-EXP(-LN(2)/2))/(LN(2)/2)*ER166*EU166*VLOOKUP('Données projet'!$B$15,Paramètres!$A$1:$I$89,3,0)*0.475*44/12</f>
        <v>1.0447381972914375E-19</v>
      </c>
      <c r="EY166" s="22">
        <f t="shared" si="181"/>
        <v>1.3164935673146274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>
        <f>FE166*VLOOKUP('Données projet'!$B$16,Paramètres!$A$1:$I$89,3,0)*VLOOKUP('Données projet'!$B$16,Paramètres!$A$1:$I$89,5,0)</f>
        <v>0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356.65981389369125</v>
      </c>
      <c r="FK166" s="59">
        <f t="shared" si="156"/>
        <v>231.92898690465887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0.58802573811060588</v>
      </c>
      <c r="FR166" s="21">
        <f>EXP(-LN(2)/25)*FR165+(1-EXP(-LN(2)/25))/(LN(2)/25)*Calculateur!FM166*Calculateur!FO166*VLOOKUP('Données projet'!$B$16,Paramètres!$A$1:$I$89,3,0)*0.475*44/12</f>
        <v>0.2627257993546393</v>
      </c>
      <c r="FS166" s="21">
        <f>EXP(-LN(2)/2)*FS165+(1-EXP(-LN(2)/2))/(LN(2)/2)*FM166*FP166*VLOOKUP('Données projet'!$B$16,Paramètres!$A$1:$I$89,3,0)*0.475*44/12</f>
        <v>9.1661225259935806E-20</v>
      </c>
      <c r="FT166" s="22">
        <f t="shared" si="184"/>
        <v>0.85075153746524523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>
        <f>FZ166*VLOOKUP('Données projet'!$B$17,Paramètres!$A$1:$I$89,3,0)*VLOOKUP('Données projet'!$B$17,Paramètres!$A$1:$I$89,5,0)</f>
        <v>0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337.76140497227715</v>
      </c>
      <c r="GF166" s="59">
        <f t="shared" si="158"/>
        <v>219.76562717496353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0.56088608865934708</v>
      </c>
      <c r="GM166" s="21">
        <f>EXP(-LN(2)/25)*GM165+(1-EXP(-LN(2)/25))/(LN(2)/25)*Calculateur!GH166*Calculateur!GJ166*VLOOKUP('Données projet'!$B$17,Paramètres!$A$1:$I$89,3,0)*0.475*44/12</f>
        <v>0.25059999323057913</v>
      </c>
      <c r="GN166" s="21">
        <f>EXP(-LN(2)/2)*GN165+(1-EXP(-LN(2)/2))/(LN(2)/2)*GH166*GK166*VLOOKUP('Données projet'!$B$17,Paramètres!$A$1:$I$89,3,0)*0.475*44/12</f>
        <v>8.7430707171015713E-20</v>
      </c>
      <c r="GO166" s="21">
        <f t="shared" si="187"/>
        <v>0.81148608188992621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312.53389584272878</v>
      </c>
      <c r="T167" s="59">
        <f t="shared" si="142"/>
        <v>203.5274665601915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0.514410844595376</v>
      </c>
      <c r="AA167" s="21">
        <f>EXP(-LN(2)/25)*AA166+(1-EXP(-LN(2)/25))/(LN(2)/25)*Calculateur!V167*Calculateur!X167*VLOOKUP('Données projet'!$B$9,Paramètres!$A$1:$I$89,3,0)*0.475*44/12</f>
        <v>0.22802168947996826</v>
      </c>
      <c r="AB167" s="21">
        <f>EXP(-LN(2)/2)*AB166+(1-EXP(-LN(2)/2))/(LN(2)/2)*V167*Y167*VLOOKUP('Données projet'!$B$9,Paramètres!$A$1:$I$89,3,0)*0.475*44/12</f>
        <v>5.7834275219750146E-20</v>
      </c>
      <c r="AC167" s="22">
        <f t="shared" si="163"/>
        <v>0.74243253407534426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5.6843418860808015E-14</v>
      </c>
      <c r="AJ167" s="13">
        <f>AI167*VLOOKUP('Données projet'!$B$10,Paramètres!$A$1:$I$89,3,0)*VLOOKUP('Données projet'!$B$10,Paramètres!$A$1:$I$89,5,0)</f>
        <v>4.9658410716801891E-14</v>
      </c>
      <c r="AK167" s="13">
        <f t="shared" si="164"/>
        <v>8.0934058173791862E-13</v>
      </c>
      <c r="AL167" s="20">
        <f t="shared" si="165"/>
        <v>1.4960899118586383E-12</v>
      </c>
      <c r="AM167" s="59">
        <f t="shared" si="113"/>
        <v>293.33333333333479</v>
      </c>
      <c r="AN167" s="59">
        <f ca="1">AVERAGE(OFFSET($AM$3,0,0,'Données projet'!$E$10+1,1))-AVERAGE(OFFSET($H$3,0,0,'Données projet'!$E$10+1,1))</f>
        <v>243.05628303465238</v>
      </c>
      <c r="AO167" s="59">
        <f t="shared" si="144"/>
        <v>352.47096767658394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0.55568459891443323</v>
      </c>
      <c r="AV167" s="21">
        <f>EXP(-LN(2)/25)*AV166+(1-EXP(-LN(2)/25))/(LN(2)/25)*Calculateur!AQ167*Calculateur!AS167*VLOOKUP('Données projet'!$B$10,Paramètres!$A$1:$I$89,3,0)*0.475*44/12</f>
        <v>0.44115511540884828</v>
      </c>
      <c r="AW167" s="21">
        <f>EXP(-LN(2)/2)*AW166+(1-EXP(-LN(2)/2))/(LN(2)/2)*AQ167*AT167*VLOOKUP('Données projet'!$B$10,Paramètres!$A$1:$I$89,3,0)*0.475*44/12</f>
        <v>7.6389959062849082E-20</v>
      </c>
      <c r="AX167" s="21">
        <f t="shared" si="166"/>
        <v>0.99683971432328145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-2.8421709430404007E-13</v>
      </c>
      <c r="BE167" s="13">
        <f>BD167*VLOOKUP('Données projet'!$B$11,Paramètres!$A$1:$I$89,3,0)*VLOOKUP('Données projet'!$B$11,Paramètres!$A$1:$I$89,5,0)</f>
        <v>-2.2612312022829427E-13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325.72928944930294</v>
      </c>
      <c r="BJ167" s="59">
        <f t="shared" si="146"/>
        <v>318.38876834819752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1.2186889810980455</v>
      </c>
      <c r="BQ167" s="21">
        <f>EXP(-LN(2)/25)*BQ166+(1-EXP(-LN(2)/25))/(LN(2)/25)*Calculateur!BL167*Calculateur!BN167*VLOOKUP('Données projet'!$B$11,Paramètres!$A$1:$I$89,3,0)*0.475*44/12</f>
        <v>0.50353220883121885</v>
      </c>
      <c r="BR167" s="21">
        <f>EXP(-LN(2)/2)*BR166+(1-EXP(-LN(2)/2))/(LN(2)/2)*BL167*BO167*VLOOKUP('Données projet'!$B$11,Paramètres!$A$1:$I$89,3,0)*0.475*44/12</f>
        <v>8.016130778157133E-20</v>
      </c>
      <c r="BS167" s="22">
        <f t="shared" si="169"/>
        <v>1.7222211899292643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-3.4106051316484809E-13</v>
      </c>
      <c r="BZ167" s="13">
        <f>BY167*VLOOKUP('Données projet'!$B$12,Paramètres!$A$1:$I$89,3,0)*VLOOKUP('Données projet'!$B$12,Paramètres!$A$1:$I$89,5,0)</f>
        <v>-1.9065282685915009E-13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475.54809021014017</v>
      </c>
      <c r="CE167" s="59">
        <f t="shared" si="148"/>
        <v>593.51433014569966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0.51672624269038303</v>
      </c>
      <c r="CL167" s="21">
        <f>EXP(-LN(2)/25)*CL166+(1-EXP(-LN(2)/25))/(LN(2)/25)*Calculateur!CG167*Calculateur!CI167*VLOOKUP('Données projet'!$B$12,Paramètres!$A$1:$I$89,3,0)*0.475*44/12</f>
        <v>1.0375604774268392</v>
      </c>
      <c r="CM167" s="21">
        <f>EXP(-LN(2)/2)*CM166+(1-EXP(-LN(2)/2))/(LN(2)/2)*CG167*CJ167*VLOOKUP('Données projet'!$B$12,Paramètres!$A$1:$I$89,3,0)*0.475*44/12</f>
        <v>9.769988207082999E-20</v>
      </c>
      <c r="CN167" s="22">
        <f t="shared" si="172"/>
        <v>1.5542867201172221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-1.1368683772161603E-13</v>
      </c>
      <c r="CU167" s="17">
        <f>CT167*VLOOKUP('Données projet'!$B$13,Paramètres!$A$1:$I$89,3,0)*VLOOKUP('Données projet'!$B$13,Paramètres!$A$1:$I$89,5,0)</f>
        <v>-5.3205440053716299E-14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226.0452828290525</v>
      </c>
      <c r="CZ167" s="59">
        <f t="shared" si="150"/>
        <v>179.89696397462069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0.63883344406969078</v>
      </c>
      <c r="DG167" s="21">
        <f>EXP(-LN(2)/25)*DG166+(1-EXP(-LN(2)/25))/(LN(2)/25)*Calculateur!DB167*Calculateur!DD167*VLOOKUP('Données projet'!$B$13,Paramètres!$A$1:$I$89,3,0)*0.475*44/12</f>
        <v>0.27152230404052652</v>
      </c>
      <c r="DH167" s="21">
        <f>EXP(-LN(2)/2)*DH166+(1-EXP(-LN(2)/2))/(LN(2)/2)*DB167*DE167*VLOOKUP('Données projet'!$B$13,Paramètres!$A$1:$I$89,3,0)*0.475*44/12</f>
        <v>7.4831150415164756E-20</v>
      </c>
      <c r="DI167" s="22">
        <f t="shared" si="175"/>
        <v>0.91035574811021736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1.1368683772161603E-13</v>
      </c>
      <c r="DP167" s="17">
        <f>DO167*VLOOKUP('Données projet'!$B$14,Paramètres!$A$1:$I$89,3,0)*VLOOKUP('Données projet'!$B$14,Paramètres!$A$1:$I$89,5,0)</f>
        <v>6.7984728957526396E-14</v>
      </c>
      <c r="DQ167" s="13">
        <f t="shared" si="176"/>
        <v>1.0682447123141398E-12</v>
      </c>
      <c r="DR167" s="20">
        <f t="shared" si="177"/>
        <v>1.978932943548152E-12</v>
      </c>
      <c r="DS167" s="59">
        <f t="shared" si="125"/>
        <v>293.3333333333353</v>
      </c>
      <c r="DT167" s="59">
        <f ca="1">AVERAGE(OFFSET($DS$3,0,0,'Données projet'!$E$14+1,1))-AVERAGE(OFFSET($H$3,0,0,'Données projet'!$E$14+1,1))</f>
        <v>252.81045065813976</v>
      </c>
      <c r="DU167" s="59">
        <f t="shared" si="152"/>
        <v>254.36590349790589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1.2707791342022443</v>
      </c>
      <c r="EB167" s="21">
        <f>EXP(-LN(2)/25)*EB166+(1-EXP(-LN(2)/25))/(LN(2)/25)*Calculateur!DW167*Calculateur!DY167*VLOOKUP('Données projet'!$B$14,Paramètres!$A$1:$I$89,3,0)*0.475*44/12</f>
        <v>0.39265066769538054</v>
      </c>
      <c r="EC167" s="21">
        <f>EXP(-LN(2)/2)*EC166+(1-EXP(-LN(2)/2))/(LN(2)/2)*DW167*DZ167*VLOOKUP('Données projet'!$B$14,Paramètres!$A$1:$I$89,3,0)*0.475*44/12</f>
        <v>3.8905129146345392E-20</v>
      </c>
      <c r="ED167" s="22">
        <f t="shared" si="178"/>
        <v>1.6634298018976248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-2.8421709430404007E-13</v>
      </c>
      <c r="EK167" s="17">
        <f>EJ167*VLOOKUP('Données projet'!$B$15,Paramètres!$A$1:$I$89,3,0)*VLOOKUP('Données projet'!$B$15,Paramètres!$A$1:$I$89,5,0)</f>
        <v>-2.0838797354372215E-13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296.91321813251051</v>
      </c>
      <c r="EP167" s="59">
        <f t="shared" si="154"/>
        <v>291.0718079639509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0.91119882752465853</v>
      </c>
      <c r="EW167" s="21">
        <f>EXP(-LN(2)/25)*EW166+(1-EXP(-LN(2)/25))/(LN(2)/25)*Calculateur!ER167*Calculateur!ET167*VLOOKUP('Données projet'!$B$15,Paramètres!$A$1:$I$89,3,0)*0.475*44/12</f>
        <v>0.37648486646240953</v>
      </c>
      <c r="EX167" s="21">
        <f>EXP(-LN(2)/2)*EX166+(1-EXP(-LN(2)/2))/(LN(2)/2)*ER167*EU167*VLOOKUP('Données projet'!$B$15,Paramètres!$A$1:$I$89,3,0)*0.475*44/12</f>
        <v>7.3874146386938462E-20</v>
      </c>
      <c r="EY167" s="22">
        <f t="shared" si="181"/>
        <v>1.2876836939870682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>
        <f>FE167*VLOOKUP('Données projet'!$B$16,Paramètres!$A$1:$I$89,3,0)*VLOOKUP('Données projet'!$B$16,Paramètres!$A$1:$I$89,5,0)</f>
        <v>0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356.65981389369125</v>
      </c>
      <c r="FK167" s="59">
        <f t="shared" si="156"/>
        <v>231.92898690465887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0.57649491204654235</v>
      </c>
      <c r="FR167" s="21">
        <f>EXP(-LN(2)/25)*FR166+(1-EXP(-LN(2)/25))/(LN(2)/25)*Calculateur!FM167*Calculateur!FO167*VLOOKUP('Données projet'!$B$16,Paramètres!$A$1:$I$89,3,0)*0.475*44/12</f>
        <v>0.25554154855513739</v>
      </c>
      <c r="FS167" s="21">
        <f>EXP(-LN(2)/2)*FS166+(1-EXP(-LN(2)/2))/(LN(2)/2)*FM167*FP167*VLOOKUP('Données projet'!$B$16,Paramètres!$A$1:$I$89,3,0)*0.475*44/12</f>
        <v>6.481427395316827E-20</v>
      </c>
      <c r="FT167" s="22">
        <f t="shared" si="184"/>
        <v>0.83203646060167968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>
        <f>FZ167*VLOOKUP('Données projet'!$B$17,Paramètres!$A$1:$I$89,3,0)*VLOOKUP('Données projet'!$B$17,Paramètres!$A$1:$I$89,5,0)</f>
        <v>0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337.76140497227715</v>
      </c>
      <c r="GF167" s="59">
        <f t="shared" si="158"/>
        <v>219.76562717496353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0.54988745456747112</v>
      </c>
      <c r="GM167" s="21">
        <f>EXP(-LN(2)/25)*GM166+(1-EXP(-LN(2)/25))/(LN(2)/25)*Calculateur!GH167*Calculateur!GJ167*VLOOKUP('Données projet'!$B$17,Paramètres!$A$1:$I$89,3,0)*0.475*44/12</f>
        <v>0.24374732323720805</v>
      </c>
      <c r="GN167" s="21">
        <f>EXP(-LN(2)/2)*GN166+(1-EXP(-LN(2)/2))/(LN(2)/2)*GH167*GK167*VLOOKUP('Données projet'!$B$17,Paramètres!$A$1:$I$89,3,0)*0.475*44/12</f>
        <v>6.1822845924560518E-20</v>
      </c>
      <c r="GO167" s="21">
        <f t="shared" si="187"/>
        <v>0.79363477780467917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312.53389584272878</v>
      </c>
      <c r="T168" s="59">
        <f t="shared" si="142"/>
        <v>203.5274665601915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0.5043235616924947</v>
      </c>
      <c r="AA168" s="21">
        <f>EXP(-LN(2)/25)*AA167+(1-EXP(-LN(2)/25))/(LN(2)/25)*Calculateur!V168*Calculateur!X168*VLOOKUP('Données projet'!$B$9,Paramètres!$A$1:$I$89,3,0)*0.475*44/12</f>
        <v>0.22178642438999902</v>
      </c>
      <c r="AB168" s="21">
        <f>EXP(-LN(2)/2)*AB167+(1-EXP(-LN(2)/2))/(LN(2)/2)*V168*Y168*VLOOKUP('Données projet'!$B$9,Paramètres!$A$1:$I$89,3,0)*0.475*44/12</f>
        <v>4.0895008192894435E-20</v>
      </c>
      <c r="AC168" s="22">
        <f t="shared" si="163"/>
        <v>0.72610998608249377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5.6843418860808015E-14</v>
      </c>
      <c r="AJ168" s="13">
        <f>AI168*VLOOKUP('Données projet'!$B$10,Paramètres!$A$1:$I$89,3,0)*VLOOKUP('Données projet'!$B$10,Paramètres!$A$1:$I$89,5,0)</f>
        <v>4.9658410716801891E-14</v>
      </c>
      <c r="AK168" s="13">
        <f t="shared" si="164"/>
        <v>8.0934058173791862E-13</v>
      </c>
      <c r="AL168" s="20">
        <f t="shared" si="165"/>
        <v>1.4960899118586383E-12</v>
      </c>
      <c r="AM168" s="59">
        <f t="shared" si="113"/>
        <v>293.33333333333479</v>
      </c>
      <c r="AN168" s="59">
        <f ca="1">AVERAGE(OFFSET($AM$3,0,0,'Données projet'!$E$10+1,1))-AVERAGE(OFFSET($H$3,0,0,'Données projet'!$E$10+1,1))</f>
        <v>243.05628303465238</v>
      </c>
      <c r="AO168" s="59">
        <f t="shared" si="144"/>
        <v>352.47096767658394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0.54478796286385955</v>
      </c>
      <c r="AV168" s="21">
        <f>EXP(-LN(2)/25)*AV167+(1-EXP(-LN(2)/25))/(LN(2)/25)*Calculateur!AQ168*Calculateur!AS168*VLOOKUP('Données projet'!$B$10,Paramètres!$A$1:$I$89,3,0)*0.475*44/12</f>
        <v>0.42909170557865406</v>
      </c>
      <c r="AW168" s="21">
        <f>EXP(-LN(2)/2)*AW167+(1-EXP(-LN(2)/2))/(LN(2)/2)*AQ168*AT168*VLOOKUP('Données projet'!$B$10,Paramètres!$A$1:$I$89,3,0)*0.475*44/12</f>
        <v>5.401585806790335E-20</v>
      </c>
      <c r="AX168" s="21">
        <f t="shared" si="166"/>
        <v>0.97387966844251361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-2.8421709430404007E-13</v>
      </c>
      <c r="BE168" s="13">
        <f>BD168*VLOOKUP('Données projet'!$B$11,Paramètres!$A$1:$I$89,3,0)*VLOOKUP('Données projet'!$B$11,Paramètres!$A$1:$I$89,5,0)</f>
        <v>-2.2612312022829427E-13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325.72928944930294</v>
      </c>
      <c r="BJ168" s="59">
        <f t="shared" si="146"/>
        <v>318.38876834819752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1.1947912335055939</v>
      </c>
      <c r="BQ168" s="21">
        <f>EXP(-LN(2)/25)*BQ167+(1-EXP(-LN(2)/25))/(LN(2)/25)*Calculateur!BL168*Calculateur!BN168*VLOOKUP('Données projet'!$B$11,Paramètres!$A$1:$I$89,3,0)*0.475*44/12</f>
        <v>0.48976309410112118</v>
      </c>
      <c r="BR168" s="21">
        <f>EXP(-LN(2)/2)*BR167+(1-EXP(-LN(2)/2))/(LN(2)/2)*BL168*BO168*VLOOKUP('Données projet'!$B$11,Paramètres!$A$1:$I$89,3,0)*0.475*44/12</f>
        <v>5.6682604321131046E-20</v>
      </c>
      <c r="BS168" s="22">
        <f t="shared" si="169"/>
        <v>1.684554327606715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-3.4106051316484809E-13</v>
      </c>
      <c r="BZ168" s="13">
        <f>BY168*VLOOKUP('Données projet'!$B$12,Paramètres!$A$1:$I$89,3,0)*VLOOKUP('Données projet'!$B$12,Paramètres!$A$1:$I$89,5,0)</f>
        <v>-1.9065282685915009E-13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475.54809021014017</v>
      </c>
      <c r="CE168" s="59">
        <f t="shared" si="148"/>
        <v>593.51433014569966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0.50659355624311198</v>
      </c>
      <c r="CL168" s="21">
        <f>EXP(-LN(2)/25)*CL167+(1-EXP(-LN(2)/25))/(LN(2)/25)*Calculateur!CG168*Calculateur!CI168*VLOOKUP('Données projet'!$B$12,Paramètres!$A$1:$I$89,3,0)*0.475*44/12</f>
        <v>1.0091883316086681</v>
      </c>
      <c r="CM168" s="21">
        <f>EXP(-LN(2)/2)*CM167+(1-EXP(-LN(2)/2))/(LN(2)/2)*CG168*CJ168*VLOOKUP('Données projet'!$B$12,Paramètres!$A$1:$I$89,3,0)*0.475*44/12</f>
        <v>6.9084249133409878E-20</v>
      </c>
      <c r="CN168" s="22">
        <f t="shared" si="172"/>
        <v>1.5157818878517801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-1.1368683772161603E-13</v>
      </c>
      <c r="CU168" s="17">
        <f>CT168*VLOOKUP('Données projet'!$B$13,Paramètres!$A$1:$I$89,3,0)*VLOOKUP('Données projet'!$B$13,Paramètres!$A$1:$I$89,5,0)</f>
        <v>-5.3205440053716299E-14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226.0452828290525</v>
      </c>
      <c r="CZ168" s="59">
        <f t="shared" si="150"/>
        <v>179.89696397462069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0.62630630988141034</v>
      </c>
      <c r="DG168" s="21">
        <f>EXP(-LN(2)/25)*DG167+(1-EXP(-LN(2)/25))/(LN(2)/25)*Calculateur!DB168*Calculateur!DD168*VLOOKUP('Données projet'!$B$13,Paramètres!$A$1:$I$89,3,0)*0.475*44/12</f>
        <v>0.26409751235780093</v>
      </c>
      <c r="DH168" s="21">
        <f>EXP(-LN(2)/2)*DH167+(1-EXP(-LN(2)/2))/(LN(2)/2)*DB168*DE168*VLOOKUP('Données projet'!$B$13,Paramètres!$A$1:$I$89,3,0)*0.475*44/12</f>
        <v>5.2913613902553535E-20</v>
      </c>
      <c r="DI168" s="22">
        <f t="shared" si="175"/>
        <v>0.89040382223921122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1.1368683772161603E-13</v>
      </c>
      <c r="DP168" s="17">
        <f>DO168*VLOOKUP('Données projet'!$B$14,Paramètres!$A$1:$I$89,3,0)*VLOOKUP('Données projet'!$B$14,Paramètres!$A$1:$I$89,5,0)</f>
        <v>6.7984728957526396E-14</v>
      </c>
      <c r="DQ168" s="13">
        <f t="shared" si="176"/>
        <v>1.0682447123141398E-12</v>
      </c>
      <c r="DR168" s="20">
        <f t="shared" si="177"/>
        <v>1.978932943548152E-12</v>
      </c>
      <c r="DS168" s="59">
        <f t="shared" si="125"/>
        <v>293.3333333333353</v>
      </c>
      <c r="DT168" s="59">
        <f ca="1">AVERAGE(OFFSET($DS$3,0,0,'Données projet'!$E$14+1,1))-AVERAGE(OFFSET($H$3,0,0,'Données projet'!$E$14+1,1))</f>
        <v>252.81045065813976</v>
      </c>
      <c r="DU168" s="59">
        <f t="shared" si="152"/>
        <v>254.36590349790589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1.2458599304792755</v>
      </c>
      <c r="EB168" s="21">
        <f>EXP(-LN(2)/25)*EB167+(1-EXP(-LN(2)/25))/(LN(2)/25)*Calculateur!DW168*Calculateur!DY168*VLOOKUP('Données projet'!$B$14,Paramètres!$A$1:$I$89,3,0)*0.475*44/12</f>
        <v>0.38191361453864914</v>
      </c>
      <c r="EC168" s="21">
        <f>EXP(-LN(2)/2)*EC167+(1-EXP(-LN(2)/2))/(LN(2)/2)*DW168*DZ168*VLOOKUP('Données projet'!$B$14,Paramètres!$A$1:$I$89,3,0)*0.475*44/12</f>
        <v>2.7510080642319223E-20</v>
      </c>
      <c r="ED168" s="22">
        <f t="shared" si="178"/>
        <v>1.6277735450179245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-2.8421709430404007E-13</v>
      </c>
      <c r="EK168" s="17">
        <f>EJ168*VLOOKUP('Données projet'!$B$15,Paramètres!$A$1:$I$89,3,0)*VLOOKUP('Données projet'!$B$15,Paramètres!$A$1:$I$89,5,0)</f>
        <v>-2.0838797354372215E-13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296.91321813251051</v>
      </c>
      <c r="EP168" s="59">
        <f t="shared" si="154"/>
        <v>291.0718079639509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0.89333077429330643</v>
      </c>
      <c r="EW168" s="21">
        <f>EXP(-LN(2)/25)*EW167+(1-EXP(-LN(2)/25))/(LN(2)/25)*Calculateur!ER168*Calculateur!ET168*VLOOKUP('Données projet'!$B$15,Paramètres!$A$1:$I$89,3,0)*0.475*44/12</f>
        <v>0.36618986799051628</v>
      </c>
      <c r="EX168" s="21">
        <f>EXP(-LN(2)/2)*EX167+(1-EXP(-LN(2)/2))/(LN(2)/2)*ER168*EU168*VLOOKUP('Données projet'!$B$15,Paramètres!$A$1:$I$89,3,0)*0.475*44/12</f>
        <v>5.2236909864571876E-20</v>
      </c>
      <c r="EY168" s="22">
        <f t="shared" si="181"/>
        <v>1.2595206422838228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>
        <f>FE168*VLOOKUP('Données projet'!$B$16,Paramètres!$A$1:$I$89,3,0)*VLOOKUP('Données projet'!$B$16,Paramètres!$A$1:$I$89,5,0)</f>
        <v>0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356.65981389369125</v>
      </c>
      <c r="FK168" s="59">
        <f t="shared" si="156"/>
        <v>231.92898690465887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0.56519019844848573</v>
      </c>
      <c r="FR168" s="21">
        <f>EXP(-LN(2)/25)*FR167+(1-EXP(-LN(2)/25))/(LN(2)/25)*Calculateur!FM168*Calculateur!FO168*VLOOKUP('Données projet'!$B$16,Paramètres!$A$1:$I$89,3,0)*0.475*44/12</f>
        <v>0.24855375147155118</v>
      </c>
      <c r="FS168" s="21">
        <f>EXP(-LN(2)/2)*FS167+(1-EXP(-LN(2)/2))/(LN(2)/2)*FM168*FP168*VLOOKUP('Données projet'!$B$16,Paramètres!$A$1:$I$89,3,0)*0.475*44/12</f>
        <v>4.5830612629967903E-20</v>
      </c>
      <c r="FT168" s="22">
        <f t="shared" si="184"/>
        <v>0.81374394992003696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>
        <f>FZ168*VLOOKUP('Données projet'!$B$17,Paramètres!$A$1:$I$89,3,0)*VLOOKUP('Données projet'!$B$17,Paramètres!$A$1:$I$89,5,0)</f>
        <v>0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337.76140497227715</v>
      </c>
      <c r="GF168" s="59">
        <f t="shared" si="158"/>
        <v>219.76562717496353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0.53910449698163243</v>
      </c>
      <c r="GM168" s="21">
        <f>EXP(-LN(2)/25)*GM167+(1-EXP(-LN(2)/25))/(LN(2)/25)*Calculateur!GH168*Calculateur!GJ168*VLOOKUP('Données projet'!$B$17,Paramètres!$A$1:$I$89,3,0)*0.475*44/12</f>
        <v>0.23708203986517196</v>
      </c>
      <c r="GN168" s="21">
        <f>EXP(-LN(2)/2)*GN167+(1-EXP(-LN(2)/2))/(LN(2)/2)*GH168*GK168*VLOOKUP('Données projet'!$B$17,Paramètres!$A$1:$I$89,3,0)*0.475*44/12</f>
        <v>4.3715353585507856E-20</v>
      </c>
      <c r="GO168" s="21">
        <f t="shared" si="187"/>
        <v>0.77618653684680439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312.53389584272878</v>
      </c>
      <c r="T169" s="59">
        <f t="shared" si="142"/>
        <v>203.5274665601915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0.49443408425470387</v>
      </c>
      <c r="AA169" s="21">
        <f>EXP(-LN(2)/25)*AA168+(1-EXP(-LN(2)/25))/(LN(2)/25)*Calculateur!V169*Calculateur!X169*VLOOKUP('Données projet'!$B$9,Paramètres!$A$1:$I$89,3,0)*0.475*44/12</f>
        <v>0.21572166295181333</v>
      </c>
      <c r="AB169" s="21">
        <f>EXP(-LN(2)/2)*AB168+(1-EXP(-LN(2)/2))/(LN(2)/2)*V169*Y169*VLOOKUP('Données projet'!$B$9,Paramètres!$A$1:$I$89,3,0)*0.475*44/12</f>
        <v>2.8917137609875073E-20</v>
      </c>
      <c r="AC169" s="22">
        <f t="shared" si="163"/>
        <v>0.7101557472065172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5.6843418860808015E-14</v>
      </c>
      <c r="AJ169" s="13">
        <f>AI169*VLOOKUP('Données projet'!$B$10,Paramètres!$A$1:$I$89,3,0)*VLOOKUP('Données projet'!$B$10,Paramètres!$A$1:$I$89,5,0)</f>
        <v>4.9658410716801891E-14</v>
      </c>
      <c r="AK169" s="13">
        <f t="shared" si="164"/>
        <v>8.0934058173791862E-13</v>
      </c>
      <c r="AL169" s="20">
        <f t="shared" si="165"/>
        <v>1.4960899118586383E-12</v>
      </c>
      <c r="AM169" s="59">
        <f t="shared" si="113"/>
        <v>293.33333333333479</v>
      </c>
      <c r="AN169" s="59">
        <f ca="1">AVERAGE(OFFSET($AM$3,0,0,'Données projet'!$E$10+1,1))-AVERAGE(OFFSET($H$3,0,0,'Données projet'!$E$10+1,1))</f>
        <v>243.05628303465238</v>
      </c>
      <c r="AO169" s="59">
        <f t="shared" si="144"/>
        <v>352.47096767658394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0.53410500319994592</v>
      </c>
      <c r="AV169" s="21">
        <f>EXP(-LN(2)/25)*AV168+(1-EXP(-LN(2)/25))/(LN(2)/25)*Calculateur!AQ169*Calculateur!AS169*VLOOKUP('Données projet'!$B$10,Paramètres!$A$1:$I$89,3,0)*0.475*44/12</f>
        <v>0.41735817032465367</v>
      </c>
      <c r="AW169" s="21">
        <f>EXP(-LN(2)/2)*AW168+(1-EXP(-LN(2)/2))/(LN(2)/2)*AQ169*AT169*VLOOKUP('Données projet'!$B$10,Paramètres!$A$1:$I$89,3,0)*0.475*44/12</f>
        <v>3.8194979531424547E-20</v>
      </c>
      <c r="AX169" s="21">
        <f t="shared" si="166"/>
        <v>0.95146317352459953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-2.8421709430404007E-13</v>
      </c>
      <c r="BE169" s="13">
        <f>BD169*VLOOKUP('Données projet'!$B$11,Paramètres!$A$1:$I$89,3,0)*VLOOKUP('Données projet'!$B$11,Paramètres!$A$1:$I$89,5,0)</f>
        <v>-2.2612312022829427E-13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325.72928944930294</v>
      </c>
      <c r="BJ169" s="59">
        <f t="shared" si="146"/>
        <v>318.38876834819752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1.1713621061672435</v>
      </c>
      <c r="BQ169" s="21">
        <f>EXP(-LN(2)/25)*BQ168+(1-EXP(-LN(2)/25))/(LN(2)/25)*Calculateur!BL169*Calculateur!BN169*VLOOKUP('Données projet'!$B$11,Paramètres!$A$1:$I$89,3,0)*0.475*44/12</f>
        <v>0.47637049653740426</v>
      </c>
      <c r="BR169" s="21">
        <f>EXP(-LN(2)/2)*BR168+(1-EXP(-LN(2)/2))/(LN(2)/2)*BL169*BO169*VLOOKUP('Données projet'!$B$11,Paramètres!$A$1:$I$89,3,0)*0.475*44/12</f>
        <v>4.0080653890785665E-20</v>
      </c>
      <c r="BS169" s="22">
        <f t="shared" si="169"/>
        <v>1.6477326027046477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-3.4106051316484809E-13</v>
      </c>
      <c r="BZ169" s="13">
        <f>BY169*VLOOKUP('Données projet'!$B$12,Paramètres!$A$1:$I$89,3,0)*VLOOKUP('Données projet'!$B$12,Paramètres!$A$1:$I$89,5,0)</f>
        <v>-1.9065282685915009E-13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475.54809021014017</v>
      </c>
      <c r="CE169" s="59">
        <f t="shared" si="148"/>
        <v>593.51433014569966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0.49665956559674346</v>
      </c>
      <c r="CL169" s="21">
        <f>EXP(-LN(2)/25)*CL168+(1-EXP(-LN(2)/25))/(LN(2)/25)*Calculateur!CG169*Calculateur!CI169*VLOOKUP('Données projet'!$B$12,Paramètres!$A$1:$I$89,3,0)*0.475*44/12</f>
        <v>0.98159202360992115</v>
      </c>
      <c r="CM169" s="21">
        <f>EXP(-LN(2)/2)*CM168+(1-EXP(-LN(2)/2))/(LN(2)/2)*CG169*CJ169*VLOOKUP('Données projet'!$B$12,Paramètres!$A$1:$I$89,3,0)*0.475*44/12</f>
        <v>4.8849941035414995E-20</v>
      </c>
      <c r="CN169" s="22">
        <f t="shared" si="172"/>
        <v>1.4782515892066646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-1.1368683772161603E-13</v>
      </c>
      <c r="CU169" s="17">
        <f>CT169*VLOOKUP('Données projet'!$B$13,Paramètres!$A$1:$I$89,3,0)*VLOOKUP('Données projet'!$B$13,Paramètres!$A$1:$I$89,5,0)</f>
        <v>-5.3205440053716299E-14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226.0452828290525</v>
      </c>
      <c r="CZ169" s="59">
        <f t="shared" si="150"/>
        <v>179.89696397462069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0.61402482515376466</v>
      </c>
      <c r="DG169" s="21">
        <f>EXP(-LN(2)/25)*DG168+(1-EXP(-LN(2)/25))/(LN(2)/25)*Calculateur!DB169*Calculateur!DD169*VLOOKUP('Données projet'!$B$13,Paramètres!$A$1:$I$89,3,0)*0.475*44/12</f>
        <v>0.25687575199409229</v>
      </c>
      <c r="DH169" s="21">
        <f>EXP(-LN(2)/2)*DH168+(1-EXP(-LN(2)/2))/(LN(2)/2)*DB169*DE169*VLOOKUP('Données projet'!$B$13,Paramètres!$A$1:$I$89,3,0)*0.475*44/12</f>
        <v>3.7415575207582384E-20</v>
      </c>
      <c r="DI169" s="22">
        <f t="shared" si="175"/>
        <v>0.87090057714785696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1.1368683772161603E-13</v>
      </c>
      <c r="DP169" s="17">
        <f>DO169*VLOOKUP('Données projet'!$B$14,Paramètres!$A$1:$I$89,3,0)*VLOOKUP('Données projet'!$B$14,Paramètres!$A$1:$I$89,5,0)</f>
        <v>6.7984728957526396E-14</v>
      </c>
      <c r="DQ169" s="13">
        <f t="shared" si="176"/>
        <v>1.0682447123141398E-12</v>
      </c>
      <c r="DR169" s="20">
        <f t="shared" si="177"/>
        <v>1.978932943548152E-12</v>
      </c>
      <c r="DS169" s="59">
        <f t="shared" si="125"/>
        <v>293.3333333333353</v>
      </c>
      <c r="DT169" s="59">
        <f ca="1">AVERAGE(OFFSET($DS$3,0,0,'Données projet'!$E$14+1,1))-AVERAGE(OFFSET($H$3,0,0,'Données projet'!$E$14+1,1))</f>
        <v>252.81045065813976</v>
      </c>
      <c r="DU169" s="59">
        <f t="shared" si="152"/>
        <v>254.36590349790589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1.2214293771421005</v>
      </c>
      <c r="EB169" s="21">
        <f>EXP(-LN(2)/25)*EB168+(1-EXP(-LN(2)/25))/(LN(2)/25)*Calculateur!DW169*Calculateur!DY169*VLOOKUP('Données projet'!$B$14,Paramètres!$A$1:$I$89,3,0)*0.475*44/12</f>
        <v>0.37147016666512567</v>
      </c>
      <c r="EC169" s="21">
        <f>EXP(-LN(2)/2)*EC168+(1-EXP(-LN(2)/2))/(LN(2)/2)*DW169*DZ169*VLOOKUP('Données projet'!$B$14,Paramètres!$A$1:$I$89,3,0)*0.475*44/12</f>
        <v>1.9452564573172696E-20</v>
      </c>
      <c r="ED169" s="22">
        <f t="shared" si="178"/>
        <v>1.5928995438072262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-2.8421709430404007E-13</v>
      </c>
      <c r="EK169" s="17">
        <f>EJ169*VLOOKUP('Données projet'!$B$15,Paramètres!$A$1:$I$89,3,0)*VLOOKUP('Données projet'!$B$15,Paramètres!$A$1:$I$89,5,0)</f>
        <v>-2.0838797354372215E-13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296.91321813251051</v>
      </c>
      <c r="EP169" s="59">
        <f t="shared" si="154"/>
        <v>291.0718079639509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0.87581310268738477</v>
      </c>
      <c r="EW169" s="21">
        <f>EXP(-LN(2)/25)*EW168+(1-EXP(-LN(2)/25))/(LN(2)/25)*Calculateur!ER169*Calculateur!ET169*VLOOKUP('Données projet'!$B$15,Paramètres!$A$1:$I$89,3,0)*0.475*44/12</f>
        <v>0.35617638679322738</v>
      </c>
      <c r="EX169" s="21">
        <f>EXP(-LN(2)/2)*EX168+(1-EXP(-LN(2)/2))/(LN(2)/2)*ER169*EU169*VLOOKUP('Données projet'!$B$15,Paramètres!$A$1:$I$89,3,0)*0.475*44/12</f>
        <v>3.6937073193469231E-20</v>
      </c>
      <c r="EY169" s="22">
        <f t="shared" si="181"/>
        <v>1.231989489480612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>
        <f>FE169*VLOOKUP('Données projet'!$B$16,Paramètres!$A$1:$I$89,3,0)*VLOOKUP('Données projet'!$B$16,Paramètres!$A$1:$I$89,5,0)</f>
        <v>0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356.65981389369125</v>
      </c>
      <c r="FK169" s="59">
        <f t="shared" si="156"/>
        <v>231.92898690465887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0.55410716338889254</v>
      </c>
      <c r="FR169" s="21">
        <f>EXP(-LN(2)/25)*FR168+(1-EXP(-LN(2)/25))/(LN(2)/25)*Calculateur!FM169*Calculateur!FO169*VLOOKUP('Données projet'!$B$16,Paramètres!$A$1:$I$89,3,0)*0.475*44/12</f>
        <v>0.24175703606668789</v>
      </c>
      <c r="FS169" s="21">
        <f>EXP(-LN(2)/2)*FS168+(1-EXP(-LN(2)/2))/(LN(2)/2)*FM169*FP169*VLOOKUP('Données projet'!$B$16,Paramètres!$A$1:$I$89,3,0)*0.475*44/12</f>
        <v>3.2407136976584135E-20</v>
      </c>
      <c r="FT169" s="22">
        <f t="shared" si="184"/>
        <v>0.7958641994555804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>
        <f>FZ169*VLOOKUP('Données projet'!$B$17,Paramètres!$A$1:$I$89,3,0)*VLOOKUP('Données projet'!$B$17,Paramètres!$A$1:$I$89,5,0)</f>
        <v>0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337.76140497227715</v>
      </c>
      <c r="GF169" s="59">
        <f t="shared" si="158"/>
        <v>219.76562717496353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0.52853298661709736</v>
      </c>
      <c r="GM169" s="21">
        <f>EXP(-LN(2)/25)*GM168+(1-EXP(-LN(2)/25))/(LN(2)/25)*Calculateur!GH169*Calculateur!GJ169*VLOOKUP('Données projet'!$B$17,Paramètres!$A$1:$I$89,3,0)*0.475*44/12</f>
        <v>0.23059901901745622</v>
      </c>
      <c r="GN169" s="21">
        <f>EXP(-LN(2)/2)*GN168+(1-EXP(-LN(2)/2))/(LN(2)/2)*GH169*GK169*VLOOKUP('Données projet'!$B$17,Paramètres!$A$1:$I$89,3,0)*0.475*44/12</f>
        <v>3.0911422962280259E-20</v>
      </c>
      <c r="GO169" s="21">
        <f t="shared" si="187"/>
        <v>0.75913200563455363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312.53389584272878</v>
      </c>
      <c r="T170" s="59">
        <f t="shared" si="142"/>
        <v>203.5274665601915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0.48473853343748247</v>
      </c>
      <c r="AA170" s="21">
        <f>EXP(-LN(2)/25)*AA169+(1-EXP(-LN(2)/25))/(LN(2)/25)*Calculateur!V170*Calculateur!X170*VLOOKUP('Données projet'!$B$9,Paramètres!$A$1:$I$89,3,0)*0.475*44/12</f>
        <v>0.20982274273408677</v>
      </c>
      <c r="AB170" s="21">
        <f>EXP(-LN(2)/2)*AB169+(1-EXP(-LN(2)/2))/(LN(2)/2)*V170*Y170*VLOOKUP('Données projet'!$B$9,Paramètres!$A$1:$I$89,3,0)*0.475*44/12</f>
        <v>2.0447504096447217E-20</v>
      </c>
      <c r="AC170" s="22">
        <f t="shared" si="163"/>
        <v>0.69456127617156926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5.6843418860808015E-14</v>
      </c>
      <c r="AJ170" s="13">
        <f>AI170*VLOOKUP('Données projet'!$B$10,Paramètres!$A$1:$I$89,3,0)*VLOOKUP('Données projet'!$B$10,Paramètres!$A$1:$I$89,5,0)</f>
        <v>4.9658410716801891E-14</v>
      </c>
      <c r="AK170" s="13">
        <f t="shared" si="164"/>
        <v>8.0934058173791862E-13</v>
      </c>
      <c r="AL170" s="20">
        <f t="shared" si="165"/>
        <v>1.4960899118586383E-12</v>
      </c>
      <c r="AM170" s="59">
        <f t="shared" si="113"/>
        <v>293.33333333333479</v>
      </c>
      <c r="AN170" s="59">
        <f ca="1">AVERAGE(OFFSET($AM$3,0,0,'Données projet'!$E$10+1,1))-AVERAGE(OFFSET($H$3,0,0,'Données projet'!$E$10+1,1))</f>
        <v>243.05628303465238</v>
      </c>
      <c r="AO170" s="59">
        <f t="shared" si="144"/>
        <v>352.47096767658394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0.52363152985907968</v>
      </c>
      <c r="AV170" s="21">
        <f>EXP(-LN(2)/25)*AV169+(1-EXP(-LN(2)/25))/(LN(2)/25)*Calculateur!AQ170*Calculateur!AS170*VLOOKUP('Données projet'!$B$10,Paramètres!$A$1:$I$89,3,0)*0.475*44/12</f>
        <v>0.40594548920921369</v>
      </c>
      <c r="AW170" s="21">
        <f>EXP(-LN(2)/2)*AW169+(1-EXP(-LN(2)/2))/(LN(2)/2)*AQ170*AT170*VLOOKUP('Données projet'!$B$10,Paramètres!$A$1:$I$89,3,0)*0.475*44/12</f>
        <v>2.7007929033951681E-20</v>
      </c>
      <c r="AX170" s="21">
        <f t="shared" si="166"/>
        <v>0.92957701906829338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-2.8421709430404007E-13</v>
      </c>
      <c r="BE170" s="13">
        <f>BD170*VLOOKUP('Données projet'!$B$11,Paramètres!$A$1:$I$89,3,0)*VLOOKUP('Données projet'!$B$11,Paramètres!$A$1:$I$89,5,0)</f>
        <v>-2.2612312022829427E-13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325.72928944930294</v>
      </c>
      <c r="BJ170" s="59">
        <f t="shared" si="146"/>
        <v>318.38876834819752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1.1483924097256415</v>
      </c>
      <c r="BQ170" s="21">
        <f>EXP(-LN(2)/25)*BQ169+(1-EXP(-LN(2)/25))/(LN(2)/25)*Calculateur!BL170*Calculateur!BN170*VLOOKUP('Données projet'!$B$11,Paramètres!$A$1:$I$89,3,0)*0.475*44/12</f>
        <v>0.46334412025835331</v>
      </c>
      <c r="BR170" s="21">
        <f>EXP(-LN(2)/2)*BR169+(1-EXP(-LN(2)/2))/(LN(2)/2)*BL170*BO170*VLOOKUP('Données projet'!$B$11,Paramètres!$A$1:$I$89,3,0)*0.475*44/12</f>
        <v>2.8341302160565523E-20</v>
      </c>
      <c r="BS170" s="22">
        <f t="shared" si="169"/>
        <v>1.6117365299839947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-3.4106051316484809E-13</v>
      </c>
      <c r="BZ170" s="13">
        <f>BY170*VLOOKUP('Données projet'!$B$12,Paramètres!$A$1:$I$89,3,0)*VLOOKUP('Données projet'!$B$12,Paramètres!$A$1:$I$89,5,0)</f>
        <v>-1.9065282685915009E-13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475.54809021014017</v>
      </c>
      <c r="CE170" s="59">
        <f t="shared" si="148"/>
        <v>593.51433014569966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0.48692037444781422</v>
      </c>
      <c r="CL170" s="21">
        <f>EXP(-LN(2)/25)*CL169+(1-EXP(-LN(2)/25))/(LN(2)/25)*Calculateur!CG170*Calculateur!CI170*VLOOKUP('Données projet'!$B$12,Paramètres!$A$1:$I$89,3,0)*0.475*44/12</f>
        <v>0.95475033810462684</v>
      </c>
      <c r="CM170" s="21">
        <f>EXP(-LN(2)/2)*CM169+(1-EXP(-LN(2)/2))/(LN(2)/2)*CG170*CJ170*VLOOKUP('Données projet'!$B$12,Paramètres!$A$1:$I$89,3,0)*0.475*44/12</f>
        <v>3.4542124566704939E-20</v>
      </c>
      <c r="CN170" s="22">
        <f t="shared" si="172"/>
        <v>1.4416707125524411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-1.1368683772161603E-13</v>
      </c>
      <c r="CU170" s="17">
        <f>CT170*VLOOKUP('Données projet'!$B$13,Paramètres!$A$1:$I$89,3,0)*VLOOKUP('Données projet'!$B$13,Paramètres!$A$1:$I$89,5,0)</f>
        <v>-5.3205440053716299E-14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226.0452828290525</v>
      </c>
      <c r="CZ170" s="59">
        <f t="shared" si="150"/>
        <v>179.89696397462069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0.60198417285066208</v>
      </c>
      <c r="DG170" s="21">
        <f>EXP(-LN(2)/25)*DG169+(1-EXP(-LN(2)/25))/(LN(2)/25)*Calculateur!DB170*Calculateur!DD170*VLOOKUP('Données projet'!$B$13,Paramètres!$A$1:$I$89,3,0)*0.475*44/12</f>
        <v>0.24985147104730515</v>
      </c>
      <c r="DH170" s="21">
        <f>EXP(-LN(2)/2)*DH169+(1-EXP(-LN(2)/2))/(LN(2)/2)*DB170*DE170*VLOOKUP('Données projet'!$B$13,Paramètres!$A$1:$I$89,3,0)*0.475*44/12</f>
        <v>2.645680695127677E-20</v>
      </c>
      <c r="DI170" s="22">
        <f t="shared" si="175"/>
        <v>0.85183564389796729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1.1368683772161603E-13</v>
      </c>
      <c r="DP170" s="17">
        <f>DO170*VLOOKUP('Données projet'!$B$14,Paramètres!$A$1:$I$89,3,0)*VLOOKUP('Données projet'!$B$14,Paramètres!$A$1:$I$89,5,0)</f>
        <v>6.7984728957526396E-14</v>
      </c>
      <c r="DQ170" s="13">
        <f t="shared" si="176"/>
        <v>1.0682447123141398E-12</v>
      </c>
      <c r="DR170" s="20">
        <f t="shared" si="177"/>
        <v>1.978932943548152E-12</v>
      </c>
      <c r="DS170" s="59">
        <f t="shared" si="125"/>
        <v>293.3333333333353</v>
      </c>
      <c r="DT170" s="59">
        <f ca="1">AVERAGE(OFFSET($DS$3,0,0,'Données projet'!$E$14+1,1))-AVERAGE(OFFSET($H$3,0,0,'Données projet'!$E$14+1,1))</f>
        <v>252.81045065813976</v>
      </c>
      <c r="DU170" s="59">
        <f t="shared" si="152"/>
        <v>254.36590349790589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1.1974778920547016</v>
      </c>
      <c r="EB170" s="21">
        <f>EXP(-LN(2)/25)*EB169+(1-EXP(-LN(2)/25))/(LN(2)/25)*Calculateur!DW170*Calculateur!DY170*VLOOKUP('Données projet'!$B$14,Paramètres!$A$1:$I$89,3,0)*0.475*44/12</f>
        <v>0.36131229542290072</v>
      </c>
      <c r="EC170" s="21">
        <f>EXP(-LN(2)/2)*EC169+(1-EXP(-LN(2)/2))/(LN(2)/2)*DW170*DZ170*VLOOKUP('Données projet'!$B$14,Paramètres!$A$1:$I$89,3,0)*0.475*44/12</f>
        <v>1.3755040321159612E-20</v>
      </c>
      <c r="ED170" s="22">
        <f t="shared" si="178"/>
        <v>1.5587901874776022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-2.8421709430404007E-13</v>
      </c>
      <c r="EK170" s="17">
        <f>EJ170*VLOOKUP('Données projet'!$B$15,Paramètres!$A$1:$I$89,3,0)*VLOOKUP('Données projet'!$B$15,Paramètres!$A$1:$I$89,5,0)</f>
        <v>-2.0838797354372215E-13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296.91321813251051</v>
      </c>
      <c r="EP170" s="59">
        <f t="shared" si="154"/>
        <v>291.0718079639509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0.85863894193693058</v>
      </c>
      <c r="EW170" s="21">
        <f>EXP(-LN(2)/25)*EW169+(1-EXP(-LN(2)/25))/(LN(2)/25)*Calculateur!ER170*Calculateur!ET170*VLOOKUP('Données projet'!$B$15,Paramètres!$A$1:$I$89,3,0)*0.475*44/12</f>
        <v>0.34643672476586446</v>
      </c>
      <c r="EX170" s="21">
        <f>EXP(-LN(2)/2)*EX169+(1-EXP(-LN(2)/2))/(LN(2)/2)*ER170*EU170*VLOOKUP('Données projet'!$B$15,Paramètres!$A$1:$I$89,3,0)*0.475*44/12</f>
        <v>2.6118454932285938E-20</v>
      </c>
      <c r="EY170" s="22">
        <f t="shared" si="181"/>
        <v>1.2050756667027951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>
        <f>FE170*VLOOKUP('Données projet'!$B$16,Paramètres!$A$1:$I$89,3,0)*VLOOKUP('Données projet'!$B$16,Paramètres!$A$1:$I$89,5,0)</f>
        <v>0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356.65981389369125</v>
      </c>
      <c r="FK170" s="59">
        <f t="shared" si="156"/>
        <v>231.92898690465887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0.54324145988683403</v>
      </c>
      <c r="FR170" s="21">
        <f>EXP(-LN(2)/25)*FR169+(1-EXP(-LN(2)/25))/(LN(2)/25)*Calculateur!FM170*Calculateur!FO170*VLOOKUP('Données projet'!$B$16,Paramètres!$A$1:$I$89,3,0)*0.475*44/12</f>
        <v>0.23514617720199432</v>
      </c>
      <c r="FS170" s="21">
        <f>EXP(-LN(2)/2)*FS169+(1-EXP(-LN(2)/2))/(LN(2)/2)*FM170*FP170*VLOOKUP('Données projet'!$B$16,Paramètres!$A$1:$I$89,3,0)*0.475*44/12</f>
        <v>2.2915306314983952E-20</v>
      </c>
      <c r="FT170" s="22">
        <f t="shared" si="184"/>
        <v>0.7783876370888283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>
        <f>FZ170*VLOOKUP('Données projet'!$B$17,Paramètres!$A$1:$I$89,3,0)*VLOOKUP('Données projet'!$B$17,Paramètres!$A$1:$I$89,5,0)</f>
        <v>0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337.76140497227715</v>
      </c>
      <c r="GF170" s="59">
        <f t="shared" si="158"/>
        <v>219.76562717496353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0.51816877712282616</v>
      </c>
      <c r="GM170" s="21">
        <f>EXP(-LN(2)/25)*GM169+(1-EXP(-LN(2)/25))/(LN(2)/25)*Calculateur!GH170*Calculateur!GJ170*VLOOKUP('Données projet'!$B$17,Paramètres!$A$1:$I$89,3,0)*0.475*44/12</f>
        <v>0.2242932767157485</v>
      </c>
      <c r="GN170" s="21">
        <f>EXP(-LN(2)/2)*GN169+(1-EXP(-LN(2)/2))/(LN(2)/2)*GH170*GK170*VLOOKUP('Données projet'!$B$17,Paramètres!$A$1:$I$89,3,0)*0.475*44/12</f>
        <v>2.1857676792753928E-20</v>
      </c>
      <c r="GO170" s="21">
        <f t="shared" si="187"/>
        <v>0.74246205383857466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312.53389584272878</v>
      </c>
      <c r="T171" s="59">
        <f t="shared" si="142"/>
        <v>203.5274665601915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0.4752331064580847</v>
      </c>
      <c r="AA171" s="21">
        <f>EXP(-LN(2)/25)*AA170+(1-EXP(-LN(2)/25))/(LN(2)/25)*Calculateur!V171*Calculateur!X171*VLOOKUP('Données projet'!$B$9,Paramètres!$A$1:$I$89,3,0)*0.475*44/12</f>
        <v>0.20408512879992469</v>
      </c>
      <c r="AB171" s="21">
        <f>EXP(-LN(2)/2)*AB170+(1-EXP(-LN(2)/2))/(LN(2)/2)*V171*Y171*VLOOKUP('Données projet'!$B$9,Paramètres!$A$1:$I$89,3,0)*0.475*44/12</f>
        <v>1.4458568804937537E-20</v>
      </c>
      <c r="AC171" s="22">
        <f t="shared" si="163"/>
        <v>0.67931823525800938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5.6843418860808015E-14</v>
      </c>
      <c r="AJ171" s="13">
        <f>AI171*VLOOKUP('Données projet'!$B$10,Paramètres!$A$1:$I$89,3,0)*VLOOKUP('Données projet'!$B$10,Paramètres!$A$1:$I$89,5,0)</f>
        <v>4.9658410716801891E-14</v>
      </c>
      <c r="AK171" s="13">
        <f t="shared" si="164"/>
        <v>8.0934058173791862E-13</v>
      </c>
      <c r="AL171" s="20">
        <f t="shared" si="165"/>
        <v>1.4960899118586383E-12</v>
      </c>
      <c r="AM171" s="59">
        <f t="shared" si="113"/>
        <v>293.33333333333479</v>
      </c>
      <c r="AN171" s="59">
        <f ca="1">AVERAGE(OFFSET($AM$3,0,0,'Données projet'!$E$10+1,1))-AVERAGE(OFFSET($H$3,0,0,'Données projet'!$E$10+1,1))</f>
        <v>243.05628303465238</v>
      </c>
      <c r="AO171" s="59">
        <f t="shared" si="144"/>
        <v>352.47096767658394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0.51336343494223979</v>
      </c>
      <c r="AV171" s="21">
        <f>EXP(-LN(2)/25)*AV170+(1-EXP(-LN(2)/25))/(LN(2)/25)*Calculateur!AQ171*Calculateur!AS171*VLOOKUP('Données projet'!$B$10,Paramètres!$A$1:$I$89,3,0)*0.475*44/12</f>
        <v>0.39484488845904225</v>
      </c>
      <c r="AW171" s="21">
        <f>EXP(-LN(2)/2)*AW170+(1-EXP(-LN(2)/2))/(LN(2)/2)*AQ171*AT171*VLOOKUP('Données projet'!$B$10,Paramètres!$A$1:$I$89,3,0)*0.475*44/12</f>
        <v>1.9097489765712277E-20</v>
      </c>
      <c r="AX171" s="21">
        <f t="shared" si="166"/>
        <v>0.9082083234012821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-2.8421709430404007E-13</v>
      </c>
      <c r="BE171" s="13">
        <f>BD171*VLOOKUP('Données projet'!$B$11,Paramètres!$A$1:$I$89,3,0)*VLOOKUP('Données projet'!$B$11,Paramètres!$A$1:$I$89,5,0)</f>
        <v>-2.2612312022829427E-13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325.72928944930294</v>
      </c>
      <c r="BJ171" s="59">
        <f t="shared" si="146"/>
        <v>318.38876834819752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1.125873135021128</v>
      </c>
      <c r="BQ171" s="21">
        <f>EXP(-LN(2)/25)*BQ170+(1-EXP(-LN(2)/25))/(LN(2)/25)*Calculateur!BL171*Calculateur!BN171*VLOOKUP('Données projet'!$B$11,Paramètres!$A$1:$I$89,3,0)*0.475*44/12</f>
        <v>0.45067395092368034</v>
      </c>
      <c r="BR171" s="21">
        <f>EXP(-LN(2)/2)*BR170+(1-EXP(-LN(2)/2))/(LN(2)/2)*BL171*BO171*VLOOKUP('Données projet'!$B$11,Paramètres!$A$1:$I$89,3,0)*0.475*44/12</f>
        <v>2.0040326945392833E-20</v>
      </c>
      <c r="BS171" s="22">
        <f t="shared" si="169"/>
        <v>1.5765470859448083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-3.4106051316484809E-13</v>
      </c>
      <c r="BZ171" s="13">
        <f>BY171*VLOOKUP('Données projet'!$B$12,Paramètres!$A$1:$I$89,3,0)*VLOOKUP('Données projet'!$B$12,Paramètres!$A$1:$I$89,5,0)</f>
        <v>-1.9065282685915009E-13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475.54809021014017</v>
      </c>
      <c r="CE171" s="59">
        <f t="shared" si="148"/>
        <v>593.51433014569966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0.47737216289699547</v>
      </c>
      <c r="CL171" s="21">
        <f>EXP(-LN(2)/25)*CL170+(1-EXP(-LN(2)/25))/(LN(2)/25)*Calculateur!CG171*Calculateur!CI171*VLOOKUP('Données projet'!$B$12,Paramètres!$A$1:$I$89,3,0)*0.475*44/12</f>
        <v>0.9286426399010177</v>
      </c>
      <c r="CM171" s="21">
        <f>EXP(-LN(2)/2)*CM170+(1-EXP(-LN(2)/2))/(LN(2)/2)*CG171*CJ171*VLOOKUP('Données projet'!$B$12,Paramètres!$A$1:$I$89,3,0)*0.475*44/12</f>
        <v>2.4424970517707498E-20</v>
      </c>
      <c r="CN171" s="22">
        <f t="shared" si="172"/>
        <v>1.4060148027980133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-1.1368683772161603E-13</v>
      </c>
      <c r="CU171" s="17">
        <f>CT171*VLOOKUP('Données projet'!$B$13,Paramètres!$A$1:$I$89,3,0)*VLOOKUP('Données projet'!$B$13,Paramètres!$A$1:$I$89,5,0)</f>
        <v>-5.3205440053716299E-14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226.0452828290525</v>
      </c>
      <c r="CZ171" s="59">
        <f t="shared" si="150"/>
        <v>179.89696397462069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0.59017963039515065</v>
      </c>
      <c r="DG171" s="21">
        <f>EXP(-LN(2)/25)*DG170+(1-EXP(-LN(2)/25))/(LN(2)/25)*Calculateur!DB171*Calculateur!DD171*VLOOKUP('Données projet'!$B$13,Paramètres!$A$1:$I$89,3,0)*0.475*44/12</f>
        <v>0.24301926943239877</v>
      </c>
      <c r="DH171" s="21">
        <f>EXP(-LN(2)/2)*DH170+(1-EXP(-LN(2)/2))/(LN(2)/2)*DB171*DE171*VLOOKUP('Données projet'!$B$13,Paramètres!$A$1:$I$89,3,0)*0.475*44/12</f>
        <v>1.8707787603791195E-20</v>
      </c>
      <c r="DI171" s="22">
        <f t="shared" si="175"/>
        <v>0.83319889982754947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1.1368683772161603E-13</v>
      </c>
      <c r="DP171" s="17">
        <f>DO171*VLOOKUP('Données projet'!$B$14,Paramètres!$A$1:$I$89,3,0)*VLOOKUP('Données projet'!$B$14,Paramètres!$A$1:$I$89,5,0)</f>
        <v>6.7984728957526396E-14</v>
      </c>
      <c r="DQ171" s="13">
        <f t="shared" si="176"/>
        <v>1.0682447123141398E-12</v>
      </c>
      <c r="DR171" s="20">
        <f t="shared" si="177"/>
        <v>1.978932943548152E-12</v>
      </c>
      <c r="DS171" s="59">
        <f t="shared" si="125"/>
        <v>293.3333333333353</v>
      </c>
      <c r="DT171" s="59">
        <f ca="1">AVERAGE(OFFSET($DS$3,0,0,'Données projet'!$E$14+1,1))-AVERAGE(OFFSET($H$3,0,0,'Données projet'!$E$14+1,1))</f>
        <v>252.81045065813976</v>
      </c>
      <c r="DU171" s="59">
        <f t="shared" si="152"/>
        <v>254.36590349790589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1.1739960809809031</v>
      </c>
      <c r="EB171" s="21">
        <f>EXP(-LN(2)/25)*EB170+(1-EXP(-LN(2)/25))/(LN(2)/25)*Calculateur!DW171*Calculateur!DY171*VLOOKUP('Données projet'!$B$14,Paramètres!$A$1:$I$89,3,0)*0.475*44/12</f>
        <v>0.35143219170397366</v>
      </c>
      <c r="EC171" s="21">
        <f>EXP(-LN(2)/2)*EC170+(1-EXP(-LN(2)/2))/(LN(2)/2)*DW171*DZ171*VLOOKUP('Données projet'!$B$14,Paramètres!$A$1:$I$89,3,0)*0.475*44/12</f>
        <v>9.7262822865863479E-21</v>
      </c>
      <c r="ED171" s="22">
        <f t="shared" si="178"/>
        <v>1.5254282726848767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-2.8421709430404007E-13</v>
      </c>
      <c r="EK171" s="17">
        <f>EJ171*VLOOKUP('Données projet'!$B$15,Paramètres!$A$1:$I$89,3,0)*VLOOKUP('Données projet'!$B$15,Paramètres!$A$1:$I$89,5,0)</f>
        <v>-2.0838797354372215E-13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296.91321813251051</v>
      </c>
      <c r="EP171" s="59">
        <f t="shared" si="154"/>
        <v>291.0718079639509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0.84180155600358908</v>
      </c>
      <c r="EW171" s="21">
        <f>EXP(-LN(2)/25)*EW170+(1-EXP(-LN(2)/25))/(LN(2)/25)*Calculateur!ER171*Calculateur!ET171*VLOOKUP('Données projet'!$B$15,Paramètres!$A$1:$I$89,3,0)*0.475*44/12</f>
        <v>0.33696339430882633</v>
      </c>
      <c r="EX171" s="21">
        <f>EXP(-LN(2)/2)*EX170+(1-EXP(-LN(2)/2))/(LN(2)/2)*ER171*EU171*VLOOKUP('Données projet'!$B$15,Paramètres!$A$1:$I$89,3,0)*0.475*44/12</f>
        <v>1.8468536596734615E-20</v>
      </c>
      <c r="EY171" s="22">
        <f t="shared" si="181"/>
        <v>1.1787649503124153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>
        <f>FE171*VLOOKUP('Données projet'!$B$16,Paramètres!$A$1:$I$89,3,0)*VLOOKUP('Données projet'!$B$16,Paramètres!$A$1:$I$89,5,0)</f>
        <v>0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356.65981389369125</v>
      </c>
      <c r="FK171" s="59">
        <f t="shared" si="156"/>
        <v>231.92898690465887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0.53258882620302617</v>
      </c>
      <c r="FR171" s="21">
        <f>EXP(-LN(2)/25)*FR170+(1-EXP(-LN(2)/25))/(LN(2)/25)*Calculateur!FM171*Calculateur!FO171*VLOOKUP('Données projet'!$B$16,Paramètres!$A$1:$I$89,3,0)*0.475*44/12</f>
        <v>0.22871609262060577</v>
      </c>
      <c r="FS171" s="21">
        <f>EXP(-LN(2)/2)*FS170+(1-EXP(-LN(2)/2))/(LN(2)/2)*FM171*FP171*VLOOKUP('Données projet'!$B$16,Paramètres!$A$1:$I$89,3,0)*0.475*44/12</f>
        <v>1.6203568488292068E-20</v>
      </c>
      <c r="FT171" s="22">
        <f t="shared" si="184"/>
        <v>0.76130491882363194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>
        <f>FZ171*VLOOKUP('Données projet'!$B$17,Paramètres!$A$1:$I$89,3,0)*VLOOKUP('Données projet'!$B$17,Paramètres!$A$1:$I$89,5,0)</f>
        <v>0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337.76140497227715</v>
      </c>
      <c r="GF171" s="59">
        <f t="shared" si="158"/>
        <v>219.76562717496353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0.50800780345519403</v>
      </c>
      <c r="GM171" s="21">
        <f>EXP(-LN(2)/25)*GM170+(1-EXP(-LN(2)/25))/(LN(2)/25)*Calculateur!GH171*Calculateur!GJ171*VLOOKUP('Données projet'!$B$17,Paramètres!$A$1:$I$89,3,0)*0.475*44/12</f>
        <v>0.21815996526888556</v>
      </c>
      <c r="GN171" s="21">
        <f>EXP(-LN(2)/2)*GN170+(1-EXP(-LN(2)/2))/(LN(2)/2)*GH171*GK171*VLOOKUP('Données projet'!$B$17,Paramètres!$A$1:$I$89,3,0)*0.475*44/12</f>
        <v>1.545571148114013E-20</v>
      </c>
      <c r="GO171" s="21">
        <f t="shared" si="187"/>
        <v>0.72616776872407962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312.53389584272878</v>
      </c>
      <c r="T172" s="59">
        <f t="shared" si="142"/>
        <v>203.5274665601915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0.46591407510401495</v>
      </c>
      <c r="AA172" s="21">
        <f>EXP(-LN(2)/25)*AA171+(1-EXP(-LN(2)/25))/(LN(2)/25)*Calculateur!V172*Calculateur!X172*VLOOKUP('Données projet'!$B$9,Paramètres!$A$1:$I$89,3,0)*0.475*44/12</f>
        <v>0.19850441022052026</v>
      </c>
      <c r="AB172" s="21">
        <f>EXP(-LN(2)/2)*AB171+(1-EXP(-LN(2)/2))/(LN(2)/2)*V172*Y172*VLOOKUP('Données projet'!$B$9,Paramètres!$A$1:$I$89,3,0)*0.475*44/12</f>
        <v>1.0223752048223609E-20</v>
      </c>
      <c r="AC172" s="22">
        <f t="shared" si="163"/>
        <v>0.66441848532453518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5.6843418860808015E-14</v>
      </c>
      <c r="AJ172" s="13">
        <f>AI172*VLOOKUP('Données projet'!$B$10,Paramètres!$A$1:$I$89,3,0)*VLOOKUP('Données projet'!$B$10,Paramètres!$A$1:$I$89,5,0)</f>
        <v>4.9658410716801891E-14</v>
      </c>
      <c r="AK172" s="13">
        <f t="shared" si="164"/>
        <v>8.0934058173791862E-13</v>
      </c>
      <c r="AL172" s="20">
        <f t="shared" si="165"/>
        <v>1.4960899118586383E-12</v>
      </c>
      <c r="AM172" s="59">
        <f t="shared" si="113"/>
        <v>293.33333333333479</v>
      </c>
      <c r="AN172" s="59">
        <f ca="1">AVERAGE(OFFSET($AM$3,0,0,'Données projet'!$E$10+1,1))-AVERAGE(OFFSET($H$3,0,0,'Données projet'!$E$10+1,1))</f>
        <v>243.05628303465238</v>
      </c>
      <c r="AO172" s="59">
        <f t="shared" si="144"/>
        <v>352.47096767658394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0.50329669110379971</v>
      </c>
      <c r="AV172" s="21">
        <f>EXP(-LN(2)/25)*AV171+(1-EXP(-LN(2)/25))/(LN(2)/25)*Calculateur!AQ172*Calculateur!AS172*VLOOKUP('Données projet'!$B$10,Paramètres!$A$1:$I$89,3,0)*0.475*44/12</f>
        <v>0.38404783422013949</v>
      </c>
      <c r="AW172" s="21">
        <f>EXP(-LN(2)/2)*AW171+(1-EXP(-LN(2)/2))/(LN(2)/2)*AQ172*AT172*VLOOKUP('Données projet'!$B$10,Paramètres!$A$1:$I$89,3,0)*0.475*44/12</f>
        <v>1.3503964516975842E-20</v>
      </c>
      <c r="AX172" s="21">
        <f t="shared" si="166"/>
        <v>0.88734452532393915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-2.8421709430404007E-13</v>
      </c>
      <c r="BE172" s="13">
        <f>BD172*VLOOKUP('Données projet'!$B$11,Paramètres!$A$1:$I$89,3,0)*VLOOKUP('Données projet'!$B$11,Paramètres!$A$1:$I$89,5,0)</f>
        <v>-2.2612312022829427E-13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325.72928944930294</v>
      </c>
      <c r="BJ172" s="59">
        <f t="shared" si="146"/>
        <v>318.38876834819752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1.1037954495581686</v>
      </c>
      <c r="BQ172" s="21">
        <f>EXP(-LN(2)/25)*BQ171+(1-EXP(-LN(2)/25))/(LN(2)/25)*Calculateur!BL172*Calculateur!BN172*VLOOKUP('Données projet'!$B$11,Paramètres!$A$1:$I$89,3,0)*0.475*44/12</f>
        <v>0.43835024803575928</v>
      </c>
      <c r="BR172" s="21">
        <f>EXP(-LN(2)/2)*BR171+(1-EXP(-LN(2)/2))/(LN(2)/2)*BL172*BO172*VLOOKUP('Données projet'!$B$11,Paramètres!$A$1:$I$89,3,0)*0.475*44/12</f>
        <v>1.4170651080282761E-20</v>
      </c>
      <c r="BS172" s="22">
        <f t="shared" si="169"/>
        <v>1.5421456975939278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-3.4106051316484809E-13</v>
      </c>
      <c r="BZ172" s="13">
        <f>BY172*VLOOKUP('Données projet'!$B$12,Paramètres!$A$1:$I$89,3,0)*VLOOKUP('Données projet'!$B$12,Paramètres!$A$1:$I$89,5,0)</f>
        <v>-1.9065282685915009E-13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475.54809021014017</v>
      </c>
      <c r="CE172" s="59">
        <f t="shared" si="148"/>
        <v>593.51433014569966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0.46801118595085428</v>
      </c>
      <c r="CL172" s="21">
        <f>EXP(-LN(2)/25)*CL171+(1-EXP(-LN(2)/25))/(LN(2)/25)*Calculateur!CG172*Calculateur!CI172*VLOOKUP('Données projet'!$B$12,Paramètres!$A$1:$I$89,3,0)*0.475*44/12</f>
        <v>0.90324885807773037</v>
      </c>
      <c r="CM172" s="21">
        <f>EXP(-LN(2)/2)*CM171+(1-EXP(-LN(2)/2))/(LN(2)/2)*CG172*CJ172*VLOOKUP('Données projet'!$B$12,Paramètres!$A$1:$I$89,3,0)*0.475*44/12</f>
        <v>1.727106228335247E-20</v>
      </c>
      <c r="CN172" s="22">
        <f t="shared" si="172"/>
        <v>1.3712600440285847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-1.1368683772161603E-13</v>
      </c>
      <c r="CU172" s="17">
        <f>CT172*VLOOKUP('Données projet'!$B$13,Paramètres!$A$1:$I$89,3,0)*VLOOKUP('Données projet'!$B$13,Paramètres!$A$1:$I$89,5,0)</f>
        <v>-5.3205440053716299E-14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226.0452828290525</v>
      </c>
      <c r="CZ172" s="59">
        <f t="shared" si="150"/>
        <v>179.89696397462069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0.57860656781713182</v>
      </c>
      <c r="DG172" s="21">
        <f>EXP(-LN(2)/25)*DG171+(1-EXP(-LN(2)/25))/(LN(2)/25)*Calculateur!DB172*Calculateur!DD172*VLOOKUP('Données projet'!$B$13,Paramètres!$A$1:$I$89,3,0)*0.475*44/12</f>
        <v>0.23637389472994186</v>
      </c>
      <c r="DH172" s="21">
        <f>EXP(-LN(2)/2)*DH171+(1-EXP(-LN(2)/2))/(LN(2)/2)*DB172*DE172*VLOOKUP('Données projet'!$B$13,Paramètres!$A$1:$I$89,3,0)*0.475*44/12</f>
        <v>1.3228403475638388E-20</v>
      </c>
      <c r="DI172" s="22">
        <f t="shared" si="175"/>
        <v>0.81498046254707368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1.1368683772161603E-13</v>
      </c>
      <c r="DP172" s="17">
        <f>DO172*VLOOKUP('Données projet'!$B$14,Paramètres!$A$1:$I$89,3,0)*VLOOKUP('Données projet'!$B$14,Paramètres!$A$1:$I$89,5,0)</f>
        <v>6.7984728957526396E-14</v>
      </c>
      <c r="DQ172" s="13">
        <f t="shared" si="176"/>
        <v>1.0682447123141398E-12</v>
      </c>
      <c r="DR172" s="20">
        <f t="shared" si="177"/>
        <v>1.978932943548152E-12</v>
      </c>
      <c r="DS172" s="59">
        <f t="shared" si="125"/>
        <v>293.3333333333353</v>
      </c>
      <c r="DT172" s="59">
        <f ca="1">AVERAGE(OFFSET($DS$3,0,0,'Données projet'!$E$14+1,1))-AVERAGE(OFFSET($H$3,0,0,'Données projet'!$E$14+1,1))</f>
        <v>252.81045065813976</v>
      </c>
      <c r="DU172" s="59">
        <f t="shared" si="152"/>
        <v>254.36590349790589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1.1509747338997713</v>
      </c>
      <c r="EB172" s="21">
        <f>EXP(-LN(2)/25)*EB171+(1-EXP(-LN(2)/25))/(LN(2)/25)*Calculateur!DW172*Calculateur!DY172*VLOOKUP('Données projet'!$B$14,Paramètres!$A$1:$I$89,3,0)*0.475*44/12</f>
        <v>0.34182225994081272</v>
      </c>
      <c r="EC172" s="21">
        <f>EXP(-LN(2)/2)*EC171+(1-EXP(-LN(2)/2))/(LN(2)/2)*DW172*DZ172*VLOOKUP('Données projet'!$B$14,Paramètres!$A$1:$I$89,3,0)*0.475*44/12</f>
        <v>6.8775201605798058E-21</v>
      </c>
      <c r="ED172" s="22">
        <f t="shared" si="178"/>
        <v>1.4927969938405841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-2.8421709430404007E-13</v>
      </c>
      <c r="EK172" s="17">
        <f>EJ172*VLOOKUP('Données projet'!$B$15,Paramètres!$A$1:$I$89,3,0)*VLOOKUP('Données projet'!$B$15,Paramètres!$A$1:$I$89,5,0)</f>
        <v>-2.0838797354372215E-13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296.91321813251051</v>
      </c>
      <c r="EP172" s="59">
        <f t="shared" si="154"/>
        <v>291.0718079639509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0.82529434093860909</v>
      </c>
      <c r="EW172" s="21">
        <f>EXP(-LN(2)/25)*EW171+(1-EXP(-LN(2)/25))/(LN(2)/25)*Calculateur!ER172*Calculateur!ET172*VLOOKUP('Données projet'!$B$15,Paramètres!$A$1:$I$89,3,0)*0.475*44/12</f>
        <v>0.32774911257131673</v>
      </c>
      <c r="EX172" s="21">
        <f>EXP(-LN(2)/2)*EX171+(1-EXP(-LN(2)/2))/(LN(2)/2)*ER172*EU172*VLOOKUP('Données projet'!$B$15,Paramètres!$A$1:$I$89,3,0)*0.475*44/12</f>
        <v>1.3059227466142969E-20</v>
      </c>
      <c r="EY172" s="22">
        <f t="shared" si="181"/>
        <v>1.1530434535099259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>
        <f>FE172*VLOOKUP('Données projet'!$B$16,Paramètres!$A$1:$I$89,3,0)*VLOOKUP('Données projet'!$B$16,Paramètres!$A$1:$I$89,5,0)</f>
        <v>0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356.65981389369125</v>
      </c>
      <c r="FK172" s="59">
        <f t="shared" si="156"/>
        <v>231.92898690465887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0.52214508416829286</v>
      </c>
      <c r="FR172" s="21">
        <f>EXP(-LN(2)/25)*FR171+(1-EXP(-LN(2)/25))/(LN(2)/25)*Calculateur!FM172*Calculateur!FO172*VLOOKUP('Données projet'!$B$16,Paramètres!$A$1:$I$89,3,0)*0.475*44/12</f>
        <v>0.22246183904023872</v>
      </c>
      <c r="FS172" s="21">
        <f>EXP(-LN(2)/2)*FS171+(1-EXP(-LN(2)/2))/(LN(2)/2)*FM172*FP172*VLOOKUP('Données projet'!$B$16,Paramètres!$A$1:$I$89,3,0)*0.475*44/12</f>
        <v>1.1457653157491976E-20</v>
      </c>
      <c r="FT172" s="22">
        <f t="shared" si="184"/>
        <v>0.74460692320853161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>
        <f>FZ172*VLOOKUP('Données projet'!$B$17,Paramètres!$A$1:$I$89,3,0)*VLOOKUP('Données projet'!$B$17,Paramètres!$A$1:$I$89,5,0)</f>
        <v>0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337.76140497227715</v>
      </c>
      <c r="GF172" s="59">
        <f t="shared" si="158"/>
        <v>219.76562717496353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0.4980460802836022</v>
      </c>
      <c r="GM172" s="21">
        <f>EXP(-LN(2)/25)*GM171+(1-EXP(-LN(2)/25))/(LN(2)/25)*Calculateur!GH172*Calculateur!GJ172*VLOOKUP('Données projet'!$B$17,Paramètres!$A$1:$I$89,3,0)*0.475*44/12</f>
        <v>0.21219436954607393</v>
      </c>
      <c r="GN172" s="21">
        <f>EXP(-LN(2)/2)*GN171+(1-EXP(-LN(2)/2))/(LN(2)/2)*GH172*GK172*VLOOKUP('Données projet'!$B$17,Paramètres!$A$1:$I$89,3,0)*0.475*44/12</f>
        <v>1.0928838396376964E-20</v>
      </c>
      <c r="GO172" s="21">
        <f t="shared" si="187"/>
        <v>0.71024044982967616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312.53389584272878</v>
      </c>
      <c r="T173" s="59">
        <f t="shared" si="142"/>
        <v>203.5274665601915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0.45677778427075061</v>
      </c>
      <c r="AA173" s="21">
        <f>EXP(-LN(2)/25)*AA172+(1-EXP(-LN(2)/25))/(LN(2)/25)*Calculateur!V173*Calculateur!X173*VLOOKUP('Données projet'!$B$9,Paramètres!$A$1:$I$89,3,0)*0.475*44/12</f>
        <v>0.19307629668414689</v>
      </c>
      <c r="AB173" s="21">
        <f>EXP(-LN(2)/2)*AB172+(1-EXP(-LN(2)/2))/(LN(2)/2)*V173*Y173*VLOOKUP('Données projet'!$B$9,Paramètres!$A$1:$I$89,3,0)*0.475*44/12</f>
        <v>7.2292844024687683E-21</v>
      </c>
      <c r="AC173" s="22">
        <f t="shared" si="163"/>
        <v>0.6498540809548975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5.6843418860808015E-14</v>
      </c>
      <c r="AJ173" s="13">
        <f>AI173*VLOOKUP('Données projet'!$B$10,Paramètres!$A$1:$I$89,3,0)*VLOOKUP('Données projet'!$B$10,Paramètres!$A$1:$I$89,5,0)</f>
        <v>4.9658410716801891E-14</v>
      </c>
      <c r="AK173" s="13">
        <f t="shared" si="164"/>
        <v>8.0934058173791862E-13</v>
      </c>
      <c r="AL173" s="20">
        <f t="shared" si="165"/>
        <v>1.4960899118586383E-12</v>
      </c>
      <c r="AM173" s="59">
        <f t="shared" si="113"/>
        <v>293.33333333333479</v>
      </c>
      <c r="AN173" s="59">
        <f ca="1">AVERAGE(OFFSET($AM$3,0,0,'Données projet'!$E$10+1,1))-AVERAGE(OFFSET($H$3,0,0,'Données projet'!$E$10+1,1))</f>
        <v>243.05628303465238</v>
      </c>
      <c r="AO173" s="59">
        <f t="shared" si="144"/>
        <v>352.47096767658394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0.49342734997192395</v>
      </c>
      <c r="AV173" s="21">
        <f>EXP(-LN(2)/25)*AV172+(1-EXP(-LN(2)/25))/(LN(2)/25)*Calculateur!AQ173*Calculateur!AS173*VLOOKUP('Données projet'!$B$10,Paramètres!$A$1:$I$89,3,0)*0.475*44/12</f>
        <v>0.37354602599719194</v>
      </c>
      <c r="AW173" s="21">
        <f>EXP(-LN(2)/2)*AW172+(1-EXP(-LN(2)/2))/(LN(2)/2)*AQ173*AT173*VLOOKUP('Données projet'!$B$10,Paramètres!$A$1:$I$89,3,0)*0.475*44/12</f>
        <v>9.5487448828561398E-21</v>
      </c>
      <c r="AX173" s="21">
        <f t="shared" si="166"/>
        <v>0.86697337596911583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-2.8421709430404007E-13</v>
      </c>
      <c r="BE173" s="13">
        <f>BD173*VLOOKUP('Données projet'!$B$11,Paramètres!$A$1:$I$89,3,0)*VLOOKUP('Données projet'!$B$11,Paramètres!$A$1:$I$89,5,0)</f>
        <v>-2.2612312022829427E-13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325.72928944930294</v>
      </c>
      <c r="BJ173" s="59">
        <f t="shared" si="146"/>
        <v>318.38876834819752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1.0821506940410792</v>
      </c>
      <c r="BQ173" s="21">
        <f>EXP(-LN(2)/25)*BQ172+(1-EXP(-LN(2)/25))/(LN(2)/25)*Calculateur!BL173*Calculateur!BN173*VLOOKUP('Données projet'!$B$11,Paramètres!$A$1:$I$89,3,0)*0.475*44/12</f>
        <v>0.42636353745138378</v>
      </c>
      <c r="BR173" s="21">
        <f>EXP(-LN(2)/2)*BR172+(1-EXP(-LN(2)/2))/(LN(2)/2)*BL173*BO173*VLOOKUP('Données projet'!$B$11,Paramètres!$A$1:$I$89,3,0)*0.475*44/12</f>
        <v>1.0020163472696416E-20</v>
      </c>
      <c r="BS173" s="22">
        <f t="shared" si="169"/>
        <v>1.5085142314924629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-3.4106051316484809E-13</v>
      </c>
      <c r="BZ173" s="13">
        <f>BY173*VLOOKUP('Données projet'!$B$12,Paramètres!$A$1:$I$89,3,0)*VLOOKUP('Données projet'!$B$12,Paramètres!$A$1:$I$89,5,0)</f>
        <v>-1.9065282685915009E-13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475.54809021014017</v>
      </c>
      <c r="CE173" s="59">
        <f t="shared" si="148"/>
        <v>593.51433014569966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0.45883377205299475</v>
      </c>
      <c r="CL173" s="21">
        <f>EXP(-LN(2)/25)*CL172+(1-EXP(-LN(2)/25))/(LN(2)/25)*Calculateur!CG173*Calculateur!CI173*VLOOKUP('Données projet'!$B$12,Paramètres!$A$1:$I$89,3,0)*0.475*44/12</f>
        <v>0.87854947055380184</v>
      </c>
      <c r="CM173" s="21">
        <f>EXP(-LN(2)/2)*CM172+(1-EXP(-LN(2)/2))/(LN(2)/2)*CG173*CJ173*VLOOKUP('Données projet'!$B$12,Paramètres!$A$1:$I$89,3,0)*0.475*44/12</f>
        <v>1.2212485258853749E-20</v>
      </c>
      <c r="CN173" s="22">
        <f t="shared" si="172"/>
        <v>1.3373832426067966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-1.1368683772161603E-13</v>
      </c>
      <c r="CU173" s="17">
        <f>CT173*VLOOKUP('Données projet'!$B$13,Paramètres!$A$1:$I$89,3,0)*VLOOKUP('Données projet'!$B$13,Paramètres!$A$1:$I$89,5,0)</f>
        <v>-5.3205440053716299E-14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226.0452828290525</v>
      </c>
      <c r="CZ173" s="59">
        <f t="shared" si="150"/>
        <v>179.89696397462069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0.56726044593739677</v>
      </c>
      <c r="DG173" s="21">
        <f>EXP(-LN(2)/25)*DG172+(1-EXP(-LN(2)/25))/(LN(2)/25)*Calculateur!DB173*Calculateur!DD173*VLOOKUP('Données projet'!$B$13,Paramètres!$A$1:$I$89,3,0)*0.475*44/12</f>
        <v>0.2299102381481887</v>
      </c>
      <c r="DH173" s="21">
        <f>EXP(-LN(2)/2)*DH172+(1-EXP(-LN(2)/2))/(LN(2)/2)*DB173*DE173*VLOOKUP('Données projet'!$B$13,Paramètres!$A$1:$I$89,3,0)*0.475*44/12</f>
        <v>9.353893801895599E-21</v>
      </c>
      <c r="DI173" s="22">
        <f t="shared" si="175"/>
        <v>0.79717068408558545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1.1368683772161603E-13</v>
      </c>
      <c r="DP173" s="17">
        <f>DO173*VLOOKUP('Données projet'!$B$14,Paramètres!$A$1:$I$89,3,0)*VLOOKUP('Données projet'!$B$14,Paramètres!$A$1:$I$89,5,0)</f>
        <v>6.7984728957526396E-14</v>
      </c>
      <c r="DQ173" s="13">
        <f t="shared" si="176"/>
        <v>1.0682447123141398E-12</v>
      </c>
      <c r="DR173" s="20">
        <f t="shared" si="177"/>
        <v>1.978932943548152E-12</v>
      </c>
      <c r="DS173" s="59">
        <f t="shared" si="125"/>
        <v>293.3333333333353</v>
      </c>
      <c r="DT173" s="59">
        <f ca="1">AVERAGE(OFFSET($DS$3,0,0,'Données projet'!$E$14+1,1))-AVERAGE(OFFSET($H$3,0,0,'Données projet'!$E$14+1,1))</f>
        <v>252.81045065813976</v>
      </c>
      <c r="DU173" s="59">
        <f t="shared" si="152"/>
        <v>254.36590349790589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1.1284048213932654</v>
      </c>
      <c r="EB173" s="21">
        <f>EXP(-LN(2)/25)*EB172+(1-EXP(-LN(2)/25))/(LN(2)/25)*Calculateur!DW173*Calculateur!DY173*VLOOKUP('Données projet'!$B$14,Paramètres!$A$1:$I$89,3,0)*0.475*44/12</f>
        <v>0.33247511226707982</v>
      </c>
      <c r="EC173" s="21">
        <f>EXP(-LN(2)/2)*EC172+(1-EXP(-LN(2)/2))/(LN(2)/2)*DW173*DZ173*VLOOKUP('Données projet'!$B$14,Paramètres!$A$1:$I$89,3,0)*0.475*44/12</f>
        <v>4.863141143293174E-21</v>
      </c>
      <c r="ED173" s="22">
        <f t="shared" si="178"/>
        <v>1.4608799336603453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-2.8421709430404007E-13</v>
      </c>
      <c r="EK173" s="17">
        <f>EJ173*VLOOKUP('Données projet'!$B$15,Paramètres!$A$1:$I$89,3,0)*VLOOKUP('Données projet'!$B$15,Paramètres!$A$1:$I$89,5,0)</f>
        <v>-2.0838797354372215E-13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296.91321813251051</v>
      </c>
      <c r="EP173" s="59">
        <f t="shared" si="154"/>
        <v>291.0718079639509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0.8091108222926463</v>
      </c>
      <c r="EW173" s="21">
        <f>EXP(-LN(2)/25)*EW172+(1-EXP(-LN(2)/25))/(LN(2)/25)*Calculateur!ER173*Calculateur!ET173*VLOOKUP('Données projet'!$B$15,Paramètres!$A$1:$I$89,3,0)*0.475*44/12</f>
        <v>0.31878679585247732</v>
      </c>
      <c r="EX173" s="21">
        <f>EXP(-LN(2)/2)*EX172+(1-EXP(-LN(2)/2))/(LN(2)/2)*ER173*EU173*VLOOKUP('Données projet'!$B$15,Paramètres!$A$1:$I$89,3,0)*0.475*44/12</f>
        <v>9.2342682983673077E-21</v>
      </c>
      <c r="EY173" s="22">
        <f t="shared" si="181"/>
        <v>1.1278976181451237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>
        <f>FE173*VLOOKUP('Données projet'!$B$16,Paramètres!$A$1:$I$89,3,0)*VLOOKUP('Données projet'!$B$16,Paramètres!$A$1:$I$89,5,0)</f>
        <v>0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356.65981389369125</v>
      </c>
      <c r="FK173" s="59">
        <f t="shared" si="156"/>
        <v>231.92898690465887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0.51190613754480696</v>
      </c>
      <c r="FR173" s="21">
        <f>EXP(-LN(2)/25)*FR172+(1-EXP(-LN(2)/25))/(LN(2)/25)*Calculateur!FM173*Calculateur!FO173*VLOOKUP('Données projet'!$B$16,Paramètres!$A$1:$I$89,3,0)*0.475*44/12</f>
        <v>0.21637860835292372</v>
      </c>
      <c r="FS173" s="21">
        <f>EXP(-LN(2)/2)*FS172+(1-EXP(-LN(2)/2))/(LN(2)/2)*FM173*FP173*VLOOKUP('Données projet'!$B$16,Paramètres!$A$1:$I$89,3,0)*0.475*44/12</f>
        <v>8.1017842441460338E-21</v>
      </c>
      <c r="FT173" s="22">
        <f t="shared" si="184"/>
        <v>0.72828474589773062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>
        <f>FZ173*VLOOKUP('Données projet'!$B$17,Paramètres!$A$1:$I$89,3,0)*VLOOKUP('Données projet'!$B$17,Paramètres!$A$1:$I$89,5,0)</f>
        <v>0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337.76140497227715</v>
      </c>
      <c r="GF173" s="59">
        <f t="shared" si="158"/>
        <v>219.76562717496353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0.48827970042735414</v>
      </c>
      <c r="GM173" s="21">
        <f>EXP(-LN(2)/25)*GM172+(1-EXP(-LN(2)/25))/(LN(2)/25)*Calculateur!GH173*Calculateur!GJ173*VLOOKUP('Données projet'!$B$17,Paramètres!$A$1:$I$89,3,0)*0.475*44/12</f>
        <v>0.20639190335201962</v>
      </c>
      <c r="GN173" s="21">
        <f>EXP(-LN(2)/2)*GN172+(1-EXP(-LN(2)/2))/(LN(2)/2)*GH173*GK173*VLOOKUP('Données projet'!$B$17,Paramètres!$A$1:$I$89,3,0)*0.475*44/12</f>
        <v>7.7278557405700648E-21</v>
      </c>
      <c r="GO173" s="21">
        <f t="shared" si="187"/>
        <v>0.69467160377937376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312.53389584272878</v>
      </c>
      <c r="T174" s="59">
        <f t="shared" si="142"/>
        <v>203.5274665601915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0.44782065052813946</v>
      </c>
      <c r="AA174" s="21">
        <f>EXP(-LN(2)/25)*AA173+(1-EXP(-LN(2)/25))/(LN(2)/25)*Calculateur!V174*Calculateur!X174*VLOOKUP('Données projet'!$B$9,Paramètres!$A$1:$I$89,3,0)*0.475*44/12</f>
        <v>0.18779661519787774</v>
      </c>
      <c r="AB174" s="21">
        <f>EXP(-LN(2)/2)*AB173+(1-EXP(-LN(2)/2))/(LN(2)/2)*V174*Y174*VLOOKUP('Données projet'!$B$9,Paramètres!$A$1:$I$89,3,0)*0.475*44/12</f>
        <v>5.1118760241118044E-21</v>
      </c>
      <c r="AC174" s="22">
        <f t="shared" si="163"/>
        <v>0.63561726572601718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5.6843418860808015E-14</v>
      </c>
      <c r="AJ174" s="13">
        <f>AI174*VLOOKUP('Données projet'!$B$10,Paramètres!$A$1:$I$89,3,0)*VLOOKUP('Données projet'!$B$10,Paramètres!$A$1:$I$89,5,0)</f>
        <v>4.9658410716801891E-14</v>
      </c>
      <c r="AK174" s="13">
        <f t="shared" si="164"/>
        <v>8.0934058173791862E-13</v>
      </c>
      <c r="AL174" s="20">
        <f t="shared" si="165"/>
        <v>1.4960899118586383E-12</v>
      </c>
      <c r="AM174" s="59">
        <f t="shared" si="113"/>
        <v>293.33333333333479</v>
      </c>
      <c r="AN174" s="59">
        <f ca="1">AVERAGE(OFFSET($AM$3,0,0,'Données projet'!$E$10+1,1))-AVERAGE(OFFSET($H$3,0,0,'Données projet'!$E$10+1,1))</f>
        <v>243.05628303465238</v>
      </c>
      <c r="AO174" s="59">
        <f t="shared" si="144"/>
        <v>352.47096767658394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0.48375154059994058</v>
      </c>
      <c r="AV174" s="21">
        <f>EXP(-LN(2)/25)*AV173+(1-EXP(-LN(2)/25))/(LN(2)/25)*Calculateur!AQ174*Calculateur!AS174*VLOOKUP('Données projet'!$B$10,Paramètres!$A$1:$I$89,3,0)*0.475*44/12</f>
        <v>0.36333139027236699</v>
      </c>
      <c r="AW174" s="21">
        <f>EXP(-LN(2)/2)*AW173+(1-EXP(-LN(2)/2))/(LN(2)/2)*AQ174*AT174*VLOOKUP('Données projet'!$B$10,Paramètres!$A$1:$I$89,3,0)*0.475*44/12</f>
        <v>6.7519822584879225E-21</v>
      </c>
      <c r="AX174" s="21">
        <f t="shared" si="166"/>
        <v>0.84708293087230757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-2.8421709430404007E-13</v>
      </c>
      <c r="BE174" s="13">
        <f>BD174*VLOOKUP('Données projet'!$B$11,Paramètres!$A$1:$I$89,3,0)*VLOOKUP('Données projet'!$B$11,Paramètres!$A$1:$I$89,5,0)</f>
        <v>-2.2612312022829427E-13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325.72928944930294</v>
      </c>
      <c r="BJ174" s="59">
        <f t="shared" si="146"/>
        <v>318.38876834819752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1.0609303789776827</v>
      </c>
      <c r="BQ174" s="21">
        <f>EXP(-LN(2)/25)*BQ173+(1-EXP(-LN(2)/25))/(LN(2)/25)*Calculateur!BL174*Calculateur!BN174*VLOOKUP('Données projet'!$B$11,Paramètres!$A$1:$I$89,3,0)*0.475*44/12</f>
        <v>0.41470460409829174</v>
      </c>
      <c r="BR174" s="21">
        <f>EXP(-LN(2)/2)*BR173+(1-EXP(-LN(2)/2))/(LN(2)/2)*BL174*BO174*VLOOKUP('Données projet'!$B$11,Paramètres!$A$1:$I$89,3,0)*0.475*44/12</f>
        <v>7.0853255401413807E-21</v>
      </c>
      <c r="BS174" s="22">
        <f t="shared" si="169"/>
        <v>1.4756349830759745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-3.4106051316484809E-13</v>
      </c>
      <c r="BZ174" s="13">
        <f>BY174*VLOOKUP('Données projet'!$B$12,Paramètres!$A$1:$I$89,3,0)*VLOOKUP('Données projet'!$B$12,Paramètres!$A$1:$I$89,5,0)</f>
        <v>-1.9065282685915009E-13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475.54809021014017</v>
      </c>
      <c r="CE174" s="59">
        <f t="shared" si="148"/>
        <v>593.51433014569966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0.4498363216440025</v>
      </c>
      <c r="CL174" s="21">
        <f>EXP(-LN(2)/25)*CL173+(1-EXP(-LN(2)/25))/(LN(2)/25)*Calculateur!CG174*Calculateur!CI174*VLOOKUP('Données projet'!$B$12,Paramètres!$A$1:$I$89,3,0)*0.475*44/12</f>
        <v>0.85452548908059944</v>
      </c>
      <c r="CM174" s="21">
        <f>EXP(-LN(2)/2)*CM173+(1-EXP(-LN(2)/2))/(LN(2)/2)*CG174*CJ174*VLOOKUP('Données projet'!$B$12,Paramètres!$A$1:$I$89,3,0)*0.475*44/12</f>
        <v>8.6355311416762348E-21</v>
      </c>
      <c r="CN174" s="22">
        <f t="shared" si="172"/>
        <v>1.304361810724602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-1.1368683772161603E-13</v>
      </c>
      <c r="CU174" s="17">
        <f>CT174*VLOOKUP('Données projet'!$B$13,Paramètres!$A$1:$I$89,3,0)*VLOOKUP('Données projet'!$B$13,Paramètres!$A$1:$I$89,5,0)</f>
        <v>-5.3205440053716299E-14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226.0452828290525</v>
      </c>
      <c r="CZ174" s="59">
        <f t="shared" si="150"/>
        <v>179.89696397462069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0.55613681458727227</v>
      </c>
      <c r="DG174" s="21">
        <f>EXP(-LN(2)/25)*DG173+(1-EXP(-LN(2)/25))/(LN(2)/25)*Calculateur!DB174*Calculateur!DD174*VLOOKUP('Données projet'!$B$13,Paramètres!$A$1:$I$89,3,0)*0.475*44/12</f>
        <v>0.22362333059557252</v>
      </c>
      <c r="DH174" s="21">
        <f>EXP(-LN(2)/2)*DH173+(1-EXP(-LN(2)/2))/(LN(2)/2)*DB174*DE174*VLOOKUP('Données projet'!$B$13,Paramètres!$A$1:$I$89,3,0)*0.475*44/12</f>
        <v>6.6142017378191949E-21</v>
      </c>
      <c r="DI174" s="22">
        <f t="shared" si="175"/>
        <v>0.77976014518284475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1.1368683772161603E-13</v>
      </c>
      <c r="DP174" s="17">
        <f>DO174*VLOOKUP('Données projet'!$B$14,Paramètres!$A$1:$I$89,3,0)*VLOOKUP('Données projet'!$B$14,Paramètres!$A$1:$I$89,5,0)</f>
        <v>6.7984728957526396E-14</v>
      </c>
      <c r="DQ174" s="13">
        <f t="shared" si="176"/>
        <v>1.0682447123141398E-12</v>
      </c>
      <c r="DR174" s="20">
        <f t="shared" si="177"/>
        <v>1.978932943548152E-12</v>
      </c>
      <c r="DS174" s="59">
        <f t="shared" si="125"/>
        <v>293.3333333333353</v>
      </c>
      <c r="DT174" s="59">
        <f ca="1">AVERAGE(OFFSET($DS$3,0,0,'Données projet'!$E$14+1,1))-AVERAGE(OFFSET($H$3,0,0,'Données projet'!$E$14+1,1))</f>
        <v>252.81045065813976</v>
      </c>
      <c r="DU174" s="59">
        <f t="shared" si="152"/>
        <v>254.36590349790589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1.1062774911047246</v>
      </c>
      <c r="EB174" s="21">
        <f>EXP(-LN(2)/25)*EB173+(1-EXP(-LN(2)/25))/(LN(2)/25)*Calculateur!DW174*Calculateur!DY174*VLOOKUP('Données projet'!$B$14,Paramètres!$A$1:$I$89,3,0)*0.475*44/12</f>
        <v>0.32338356283803027</v>
      </c>
      <c r="EC174" s="21">
        <f>EXP(-LN(2)/2)*EC173+(1-EXP(-LN(2)/2))/(LN(2)/2)*DW174*DZ174*VLOOKUP('Données projet'!$B$14,Paramètres!$A$1:$I$89,3,0)*0.475*44/12</f>
        <v>3.4387600802899029E-21</v>
      </c>
      <c r="ED174" s="22">
        <f t="shared" si="178"/>
        <v>1.429661053942755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-2.8421709430404007E-13</v>
      </c>
      <c r="EK174" s="17">
        <f>EJ174*VLOOKUP('Données projet'!$B$15,Paramètres!$A$1:$I$89,3,0)*VLOOKUP('Données projet'!$B$15,Paramètres!$A$1:$I$89,5,0)</f>
        <v>-2.0838797354372215E-13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296.91321813251051</v>
      </c>
      <c r="EP174" s="59">
        <f t="shared" si="154"/>
        <v>291.0718079639509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0.79324465257635912</v>
      </c>
      <c r="EW174" s="21">
        <f>EXP(-LN(2)/25)*EW173+(1-EXP(-LN(2)/25))/(LN(2)/25)*Calculateur!ER174*Calculateur!ET174*VLOOKUP('Données projet'!$B$15,Paramètres!$A$1:$I$89,3,0)*0.475*44/12</f>
        <v>0.31006955415562232</v>
      </c>
      <c r="EX174" s="21">
        <f>EXP(-LN(2)/2)*EX173+(1-EXP(-LN(2)/2))/(LN(2)/2)*ER174*EU174*VLOOKUP('Données projet'!$B$15,Paramètres!$A$1:$I$89,3,0)*0.475*44/12</f>
        <v>6.5296137330714845E-21</v>
      </c>
      <c r="EY174" s="22">
        <f t="shared" si="181"/>
        <v>1.1033142067319814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>
        <f>FE174*VLOOKUP('Données projet'!$B$16,Paramètres!$A$1:$I$89,3,0)*VLOOKUP('Données projet'!$B$16,Paramètres!$A$1:$I$89,5,0)</f>
        <v>0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356.65981389369125</v>
      </c>
      <c r="FK174" s="59">
        <f t="shared" si="156"/>
        <v>231.92898690465887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0.50186797041946685</v>
      </c>
      <c r="FR174" s="21">
        <f>EXP(-LN(2)/25)*FR173+(1-EXP(-LN(2)/25))/(LN(2)/25)*Calculateur!FM174*Calculateur!FO174*VLOOKUP('Données projet'!$B$16,Paramètres!$A$1:$I$89,3,0)*0.475*44/12</f>
        <v>0.21046172392865656</v>
      </c>
      <c r="FS174" s="21">
        <f>EXP(-LN(2)/2)*FS173+(1-EXP(-LN(2)/2))/(LN(2)/2)*FM174*FP174*VLOOKUP('Données projet'!$B$16,Paramètres!$A$1:$I$89,3,0)*0.475*44/12</f>
        <v>5.7288265787459879E-21</v>
      </c>
      <c r="FT174" s="22">
        <f t="shared" si="184"/>
        <v>0.71232969434812343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>
        <f>FZ174*VLOOKUP('Données projet'!$B$17,Paramètres!$A$1:$I$89,3,0)*VLOOKUP('Données projet'!$B$17,Paramètres!$A$1:$I$89,5,0)</f>
        <v>0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337.76140497227715</v>
      </c>
      <c r="GF174" s="59">
        <f t="shared" si="158"/>
        <v>219.76562717496353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0.47870483332318359</v>
      </c>
      <c r="GM174" s="21">
        <f>EXP(-LN(2)/25)*GM173+(1-EXP(-LN(2)/25))/(LN(2)/25)*Calculateur!GH174*Calculateur!GJ174*VLOOKUP('Données projet'!$B$17,Paramètres!$A$1:$I$89,3,0)*0.475*44/12</f>
        <v>0.20074810590118017</v>
      </c>
      <c r="GN174" s="21">
        <f>EXP(-LN(2)/2)*GN173+(1-EXP(-LN(2)/2))/(LN(2)/2)*GH174*GK174*VLOOKUP('Données projet'!$B$17,Paramètres!$A$1:$I$89,3,0)*0.475*44/12</f>
        <v>5.4644191981884821E-21</v>
      </c>
      <c r="GO174" s="21">
        <f t="shared" si="187"/>
        <v>0.67945293922436378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312.53389584272878</v>
      </c>
      <c r="T175" s="59">
        <f t="shared" si="142"/>
        <v>203.5274665601915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0.43903916071490878</v>
      </c>
      <c r="AA175" s="21">
        <f>EXP(-LN(2)/25)*AA174+(1-EXP(-LN(2)/25))/(LN(2)/25)*Calculateur!V175*Calculateur!X175*VLOOKUP('Données projet'!$B$9,Paramètres!$A$1:$I$89,3,0)*0.475*44/12</f>
        <v>0.182661306879497</v>
      </c>
      <c r="AB175" s="21">
        <f>EXP(-LN(2)/2)*AB174+(1-EXP(-LN(2)/2))/(LN(2)/2)*V175*Y175*VLOOKUP('Données projet'!$B$9,Paramètres!$A$1:$I$89,3,0)*0.475*44/12</f>
        <v>3.6146422012343841E-21</v>
      </c>
      <c r="AC175" s="22">
        <f t="shared" si="163"/>
        <v>0.62170046759440578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5.6843418860808015E-14</v>
      </c>
      <c r="AJ175" s="13">
        <f>AI175*VLOOKUP('Données projet'!$B$10,Paramètres!$A$1:$I$89,3,0)*VLOOKUP('Données projet'!$B$10,Paramètres!$A$1:$I$89,5,0)</f>
        <v>4.9658410716801891E-14</v>
      </c>
      <c r="AK175" s="13">
        <f t="shared" si="164"/>
        <v>8.0934058173791862E-13</v>
      </c>
      <c r="AL175" s="20">
        <f t="shared" si="165"/>
        <v>1.4960899118586383E-12</v>
      </c>
      <c r="AM175" s="59">
        <f t="shared" si="113"/>
        <v>293.33333333333479</v>
      </c>
      <c r="AN175" s="59">
        <f ca="1">AVERAGE(OFFSET($AM$3,0,0,'Données projet'!$E$10+1,1))-AVERAGE(OFFSET($H$3,0,0,'Données projet'!$E$10+1,1))</f>
        <v>243.05628303465238</v>
      </c>
      <c r="AO175" s="59">
        <f t="shared" si="144"/>
        <v>352.47096767658394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0.47426546794808083</v>
      </c>
      <c r="AV175" s="21">
        <f>EXP(-LN(2)/25)*AV174+(1-EXP(-LN(2)/25))/(LN(2)/25)*Calculateur!AQ175*Calculateur!AS175*VLOOKUP('Données projet'!$B$10,Paramètres!$A$1:$I$89,3,0)*0.475*44/12</f>
        <v>0.3533960742986017</v>
      </c>
      <c r="AW175" s="21">
        <f>EXP(-LN(2)/2)*AW174+(1-EXP(-LN(2)/2))/(LN(2)/2)*AQ175*AT175*VLOOKUP('Données projet'!$B$10,Paramètres!$A$1:$I$89,3,0)*0.475*44/12</f>
        <v>4.7743724414280707E-21</v>
      </c>
      <c r="AX175" s="21">
        <f t="shared" si="166"/>
        <v>0.82766154224668254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-2.8421709430404007E-13</v>
      </c>
      <c r="BE175" s="13">
        <f>BD175*VLOOKUP('Données projet'!$B$11,Paramètres!$A$1:$I$89,3,0)*VLOOKUP('Données projet'!$B$11,Paramètres!$A$1:$I$89,5,0)</f>
        <v>-2.2612312022829427E-13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325.72928944930294</v>
      </c>
      <c r="BJ175" s="59">
        <f t="shared" si="146"/>
        <v>318.38876834819752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1.0401261813495655</v>
      </c>
      <c r="BQ175" s="21">
        <f>EXP(-LN(2)/25)*BQ174+(1-EXP(-LN(2)/25))/(LN(2)/25)*Calculateur!BL175*Calculateur!BN175*VLOOKUP('Données projet'!$B$11,Paramètres!$A$1:$I$89,3,0)*0.475*44/12</f>
        <v>0.40336448489085663</v>
      </c>
      <c r="BR175" s="21">
        <f>EXP(-LN(2)/2)*BR174+(1-EXP(-LN(2)/2))/(LN(2)/2)*BL175*BO175*VLOOKUP('Données projet'!$B$11,Paramètres!$A$1:$I$89,3,0)*0.475*44/12</f>
        <v>5.0100817363482081E-21</v>
      </c>
      <c r="BS175" s="22">
        <f t="shared" si="169"/>
        <v>1.4434906662404221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-3.4106051316484809E-13</v>
      </c>
      <c r="BZ175" s="13">
        <f>BY175*VLOOKUP('Données projet'!$B$12,Paramètres!$A$1:$I$89,3,0)*VLOOKUP('Données projet'!$B$12,Paramètres!$A$1:$I$89,5,0)</f>
        <v>-1.9065282685915009E-13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475.54809021014017</v>
      </c>
      <c r="CE175" s="59">
        <f t="shared" si="148"/>
        <v>593.51433014569966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0.44101530574962772</v>
      </c>
      <c r="CL175" s="21">
        <f>EXP(-LN(2)/25)*CL174+(1-EXP(-LN(2)/25))/(LN(2)/25)*Calculateur!CG175*Calculateur!CI175*VLOOKUP('Données projet'!$B$12,Paramètres!$A$1:$I$89,3,0)*0.475*44/12</f>
        <v>0.83115844464414801</v>
      </c>
      <c r="CM175" s="21">
        <f>EXP(-LN(2)/2)*CM174+(1-EXP(-LN(2)/2))/(LN(2)/2)*CG175*CJ175*VLOOKUP('Données projet'!$B$12,Paramètres!$A$1:$I$89,3,0)*0.475*44/12</f>
        <v>6.1062426294268744E-21</v>
      </c>
      <c r="CN175" s="22">
        <f t="shared" si="172"/>
        <v>1.2721737503937758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-1.1368683772161603E-13</v>
      </c>
      <c r="CU175" s="17">
        <f>CT175*VLOOKUP('Données projet'!$B$13,Paramètres!$A$1:$I$89,3,0)*VLOOKUP('Données projet'!$B$13,Paramètres!$A$1:$I$89,5,0)</f>
        <v>-5.3205440053716299E-14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226.0452828290525</v>
      </c>
      <c r="CZ175" s="59">
        <f t="shared" si="150"/>
        <v>179.89696397462069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0.54523131086317855</v>
      </c>
      <c r="DG175" s="21">
        <f>EXP(-LN(2)/25)*DG174+(1-EXP(-LN(2)/25))/(LN(2)/25)*Calculateur!DB175*Calculateur!DD175*VLOOKUP('Données projet'!$B$13,Paramètres!$A$1:$I$89,3,0)*0.475*44/12</f>
        <v>0.21750833886059673</v>
      </c>
      <c r="DH175" s="21">
        <f>EXP(-LN(2)/2)*DH174+(1-EXP(-LN(2)/2))/(LN(2)/2)*DB175*DE175*VLOOKUP('Données projet'!$B$13,Paramètres!$A$1:$I$89,3,0)*0.475*44/12</f>
        <v>4.6769469009478003E-21</v>
      </c>
      <c r="DI175" s="22">
        <f t="shared" si="175"/>
        <v>0.76273964972377528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1.1368683772161603E-13</v>
      </c>
      <c r="DP175" s="17">
        <f>DO175*VLOOKUP('Données projet'!$B$14,Paramètres!$A$1:$I$89,3,0)*VLOOKUP('Données projet'!$B$14,Paramètres!$A$1:$I$89,5,0)</f>
        <v>6.7984728957526396E-14</v>
      </c>
      <c r="DQ175" s="13">
        <f t="shared" si="176"/>
        <v>1.0682447123141398E-12</v>
      </c>
      <c r="DR175" s="20">
        <f t="shared" si="177"/>
        <v>1.978932943548152E-12</v>
      </c>
      <c r="DS175" s="59">
        <f t="shared" si="125"/>
        <v>293.3333333333353</v>
      </c>
      <c r="DT175" s="59">
        <f ca="1">AVERAGE(OFFSET($DS$3,0,0,'Données projet'!$E$14+1,1))-AVERAGE(OFFSET($H$3,0,0,'Données projet'!$E$14+1,1))</f>
        <v>252.81045065813976</v>
      </c>
      <c r="DU175" s="59">
        <f t="shared" si="152"/>
        <v>254.36590349790589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1.0845840642668032</v>
      </c>
      <c r="EB175" s="21">
        <f>EXP(-LN(2)/25)*EB174+(1-EXP(-LN(2)/25))/(LN(2)/25)*Calculateur!DW175*Calculateur!DY175*VLOOKUP('Données projet'!$B$14,Paramètres!$A$1:$I$89,3,0)*0.475*44/12</f>
        <v>0.31454062230622187</v>
      </c>
      <c r="EC175" s="21">
        <f>EXP(-LN(2)/2)*EC174+(1-EXP(-LN(2)/2))/(LN(2)/2)*DW175*DZ175*VLOOKUP('Données projet'!$B$14,Paramètres!$A$1:$I$89,3,0)*0.475*44/12</f>
        <v>2.431570571646587E-21</v>
      </c>
      <c r="ED175" s="22">
        <f t="shared" si="178"/>
        <v>1.3991246865730251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-2.8421709430404007E-13</v>
      </c>
      <c r="EK175" s="17">
        <f>EJ175*VLOOKUP('Données projet'!$B$15,Paramètres!$A$1:$I$89,3,0)*VLOOKUP('Données projet'!$B$15,Paramètres!$A$1:$I$89,5,0)</f>
        <v>-2.0838797354372215E-13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296.91321813251051</v>
      </c>
      <c r="EP175" s="59">
        <f t="shared" si="154"/>
        <v>291.0718079639509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0.7776896087708004</v>
      </c>
      <c r="EW175" s="21">
        <f>EXP(-LN(2)/25)*EW174+(1-EXP(-LN(2)/25))/(LN(2)/25)*Calculateur!ER175*Calculateur!ET175*VLOOKUP('Données projet'!$B$15,Paramètres!$A$1:$I$89,3,0)*0.475*44/12</f>
        <v>0.30159068589138766</v>
      </c>
      <c r="EX175" s="21">
        <f>EXP(-LN(2)/2)*EX174+(1-EXP(-LN(2)/2))/(LN(2)/2)*ER175*EU175*VLOOKUP('Données projet'!$B$15,Paramètres!$A$1:$I$89,3,0)*0.475*44/12</f>
        <v>4.6171341491836539E-21</v>
      </c>
      <c r="EY175" s="22">
        <f t="shared" si="181"/>
        <v>1.079280294662188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>
        <f>FE175*VLOOKUP('Données projet'!$B$16,Paramètres!$A$1:$I$89,3,0)*VLOOKUP('Données projet'!$B$16,Paramètres!$A$1:$I$89,5,0)</f>
        <v>0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356.65981389369125</v>
      </c>
      <c r="FK175" s="59">
        <f t="shared" si="156"/>
        <v>231.92898690465887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0.49202664562877729</v>
      </c>
      <c r="FR175" s="21">
        <f>EXP(-LN(2)/25)*FR174+(1-EXP(-LN(2)/25))/(LN(2)/25)*Calculateur!FM175*Calculateur!FO175*VLOOKUP('Données projet'!$B$16,Paramètres!$A$1:$I$89,3,0)*0.475*44/12</f>
        <v>0.2047066370201264</v>
      </c>
      <c r="FS175" s="21">
        <f>EXP(-LN(2)/2)*FS174+(1-EXP(-LN(2)/2))/(LN(2)/2)*FM175*FP175*VLOOKUP('Données projet'!$B$16,Paramètres!$A$1:$I$89,3,0)*0.475*44/12</f>
        <v>4.0508921220730169E-21</v>
      </c>
      <c r="FT175" s="22">
        <f t="shared" si="184"/>
        <v>0.69673328264890366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>
        <f>FZ175*VLOOKUP('Données projet'!$B$17,Paramètres!$A$1:$I$89,3,0)*VLOOKUP('Données projet'!$B$17,Paramètres!$A$1:$I$89,5,0)</f>
        <v>0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337.76140497227715</v>
      </c>
      <c r="GF175" s="59">
        <f t="shared" si="158"/>
        <v>219.76562717496353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0.46931772352283352</v>
      </c>
      <c r="GM175" s="21">
        <f>EXP(-LN(2)/25)*GM174+(1-EXP(-LN(2)/25))/(LN(2)/25)*Calculateur!GH175*Calculateur!GJ175*VLOOKUP('Données projet'!$B$17,Paramètres!$A$1:$I$89,3,0)*0.475*44/12</f>
        <v>0.19525863838842833</v>
      </c>
      <c r="GN175" s="21">
        <f>EXP(-LN(2)/2)*GN174+(1-EXP(-LN(2)/2))/(LN(2)/2)*GH175*GK175*VLOOKUP('Données projet'!$B$17,Paramètres!$A$1:$I$89,3,0)*0.475*44/12</f>
        <v>3.8639278702850324E-21</v>
      </c>
      <c r="GO175" s="21">
        <f t="shared" si="187"/>
        <v>0.6645763619112619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312.53389584272878</v>
      </c>
      <c r="T176" s="59">
        <f t="shared" si="142"/>
        <v>203.5274665601915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0.43042987056073562</v>
      </c>
      <c r="AA176" s="21">
        <f>EXP(-LN(2)/25)*AA175+(1-EXP(-LN(2)/25))/(LN(2)/25)*Calculateur!V176*Calculateur!X176*VLOOKUP('Données projet'!$B$9,Paramètres!$A$1:$I$89,3,0)*0.475*44/12</f>
        <v>0.17766642383713649</v>
      </c>
      <c r="AB176" s="21">
        <f>EXP(-LN(2)/2)*AB175+(1-EXP(-LN(2)/2))/(LN(2)/2)*V176*Y176*VLOOKUP('Données projet'!$B$9,Paramètres!$A$1:$I$89,3,0)*0.475*44/12</f>
        <v>2.5559380120559022E-21</v>
      </c>
      <c r="AC176" s="22">
        <f t="shared" si="163"/>
        <v>0.60809629439787205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5.6843418860808015E-14</v>
      </c>
      <c r="AJ176" s="13">
        <f>AI176*VLOOKUP('Données projet'!$B$10,Paramètres!$A$1:$I$89,3,0)*VLOOKUP('Données projet'!$B$10,Paramètres!$A$1:$I$89,5,0)</f>
        <v>4.9658410716801891E-14</v>
      </c>
      <c r="AK176" s="13">
        <f t="shared" si="164"/>
        <v>8.0934058173791862E-13</v>
      </c>
      <c r="AL176" s="20">
        <f t="shared" si="165"/>
        <v>1.4960899118586383E-12</v>
      </c>
      <c r="AM176" s="59">
        <f t="shared" si="113"/>
        <v>293.33333333333479</v>
      </c>
      <c r="AN176" s="59">
        <f ca="1">AVERAGE(OFFSET($AM$3,0,0,'Données projet'!$E$10+1,1))-AVERAGE(OFFSET($H$3,0,0,'Données projet'!$E$10+1,1))</f>
        <v>243.05628303465238</v>
      </c>
      <c r="AO176" s="59">
        <f t="shared" si="144"/>
        <v>352.47096767658394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0.46496541139499104</v>
      </c>
      <c r="AV176" s="21">
        <f>EXP(-LN(2)/25)*AV175+(1-EXP(-LN(2)/25))/(LN(2)/25)*Calculateur!AQ176*Calculateur!AS176*VLOOKUP('Données projet'!$B$10,Paramètres!$A$1:$I$89,3,0)*0.475*44/12</f>
        <v>0.34373244006261461</v>
      </c>
      <c r="AW176" s="21">
        <f>EXP(-LN(2)/2)*AW175+(1-EXP(-LN(2)/2))/(LN(2)/2)*AQ176*AT176*VLOOKUP('Données projet'!$B$10,Paramètres!$A$1:$I$89,3,0)*0.475*44/12</f>
        <v>3.3759911292439616E-21</v>
      </c>
      <c r="AX176" s="21">
        <f t="shared" si="166"/>
        <v>0.80869785145760564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-2.8421709430404007E-13</v>
      </c>
      <c r="BE176" s="13">
        <f>BD176*VLOOKUP('Données projet'!$B$11,Paramètres!$A$1:$I$89,3,0)*VLOOKUP('Données projet'!$B$11,Paramètres!$A$1:$I$89,5,0)</f>
        <v>-2.2612312022829427E-13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325.72928944930294</v>
      </c>
      <c r="BJ176" s="59">
        <f t="shared" si="146"/>
        <v>318.38876834819752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1.019729941347628</v>
      </c>
      <c r="BQ176" s="21">
        <f>EXP(-LN(2)/25)*BQ175+(1-EXP(-LN(2)/25))/(LN(2)/25)*Calculateur!BL176*Calculateur!BN176*VLOOKUP('Données projet'!$B$11,Paramètres!$A$1:$I$89,3,0)*0.475*44/12</f>
        <v>0.39233446183949983</v>
      </c>
      <c r="BR176" s="21">
        <f>EXP(-LN(2)/2)*BR175+(1-EXP(-LN(2)/2))/(LN(2)/2)*BL176*BO176*VLOOKUP('Données projet'!$B$11,Paramètres!$A$1:$I$89,3,0)*0.475*44/12</f>
        <v>3.5426627700706904E-21</v>
      </c>
      <c r="BS176" s="22">
        <f t="shared" si="169"/>
        <v>1.4120644031871277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-3.4106051316484809E-13</v>
      </c>
      <c r="BZ176" s="13">
        <f>BY176*VLOOKUP('Données projet'!$B$12,Paramètres!$A$1:$I$89,3,0)*VLOOKUP('Données projet'!$B$12,Paramètres!$A$1:$I$89,5,0)</f>
        <v>-1.9065282685915009E-13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475.54809021014017</v>
      </c>
      <c r="CE176" s="59">
        <f t="shared" si="148"/>
        <v>593.51433014569966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0.4323672645966532</v>
      </c>
      <c r="CL176" s="21">
        <f>EXP(-LN(2)/25)*CL175+(1-EXP(-LN(2)/25))/(LN(2)/25)*Calculateur!CG176*Calculateur!CI176*VLOOKUP('Données projet'!$B$12,Paramètres!$A$1:$I$89,3,0)*0.475*44/12</f>
        <v>0.80843037326663081</v>
      </c>
      <c r="CM176" s="21">
        <f>EXP(-LN(2)/2)*CM175+(1-EXP(-LN(2)/2))/(LN(2)/2)*CG176*CJ176*VLOOKUP('Données projet'!$B$12,Paramètres!$A$1:$I$89,3,0)*0.475*44/12</f>
        <v>4.3177655708381174E-21</v>
      </c>
      <c r="CN176" s="22">
        <f t="shared" si="172"/>
        <v>1.2407976378632841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-1.1368683772161603E-13</v>
      </c>
      <c r="CU176" s="17">
        <f>CT176*VLOOKUP('Données projet'!$B$13,Paramètres!$A$1:$I$89,3,0)*VLOOKUP('Données projet'!$B$13,Paramètres!$A$1:$I$89,5,0)</f>
        <v>-5.3205440053716299E-14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226.0452828290525</v>
      </c>
      <c r="CZ176" s="59">
        <f t="shared" si="150"/>
        <v>179.89696397462069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0.53453965741541387</v>
      </c>
      <c r="DG176" s="21">
        <f>EXP(-LN(2)/25)*DG175+(1-EXP(-LN(2)/25))/(LN(2)/25)*Calculateur!DB176*Calculateur!DD176*VLOOKUP('Données projet'!$B$13,Paramètres!$A$1:$I$89,3,0)*0.475*44/12</f>
        <v>0.2115605618961873</v>
      </c>
      <c r="DH176" s="21">
        <f>EXP(-LN(2)/2)*DH175+(1-EXP(-LN(2)/2))/(LN(2)/2)*DB176*DE176*VLOOKUP('Données projet'!$B$13,Paramètres!$A$1:$I$89,3,0)*0.475*44/12</f>
        <v>3.3071008689095978E-21</v>
      </c>
      <c r="DI176" s="22">
        <f t="shared" si="175"/>
        <v>0.7461002193116012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1.1368683772161603E-13</v>
      </c>
      <c r="DP176" s="17">
        <f>DO176*VLOOKUP('Données projet'!$B$14,Paramètres!$A$1:$I$89,3,0)*VLOOKUP('Données projet'!$B$14,Paramètres!$A$1:$I$89,5,0)</f>
        <v>6.7984728957526396E-14</v>
      </c>
      <c r="DQ176" s="13">
        <f t="shared" si="176"/>
        <v>1.0682447123141398E-12</v>
      </c>
      <c r="DR176" s="20">
        <f t="shared" si="177"/>
        <v>1.978932943548152E-12</v>
      </c>
      <c r="DS176" s="59">
        <f t="shared" si="125"/>
        <v>293.3333333333353</v>
      </c>
      <c r="DT176" s="59">
        <f ca="1">AVERAGE(OFFSET($DS$3,0,0,'Données projet'!$E$14+1,1))-AVERAGE(OFFSET($H$3,0,0,'Données projet'!$E$14+1,1))</f>
        <v>252.81045065813976</v>
      </c>
      <c r="DU176" s="59">
        <f t="shared" si="152"/>
        <v>254.36590349790589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1.0633160322974897</v>
      </c>
      <c r="EB176" s="21">
        <f>EXP(-LN(2)/25)*EB175+(1-EXP(-LN(2)/25))/(LN(2)/25)*Calculateur!DW176*Calculateur!DY176*VLOOKUP('Données projet'!$B$14,Paramètres!$A$1:$I$89,3,0)*0.475*44/12</f>
        <v>0.30593949244828578</v>
      </c>
      <c r="EC176" s="21">
        <f>EXP(-LN(2)/2)*EC175+(1-EXP(-LN(2)/2))/(LN(2)/2)*DW176*DZ176*VLOOKUP('Données projet'!$B$14,Paramètres!$A$1:$I$89,3,0)*0.475*44/12</f>
        <v>1.7193800401449514E-21</v>
      </c>
      <c r="ED176" s="22">
        <f t="shared" si="178"/>
        <v>1.3692555247457756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-2.8421709430404007E-13</v>
      </c>
      <c r="EK176" s="17">
        <f>EJ176*VLOOKUP('Données projet'!$B$15,Paramètres!$A$1:$I$89,3,0)*VLOOKUP('Données projet'!$B$15,Paramètres!$A$1:$I$89,5,0)</f>
        <v>-2.0838797354372215E-13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296.91321813251051</v>
      </c>
      <c r="EP176" s="59">
        <f t="shared" si="154"/>
        <v>291.0718079639509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0.76243958988662874</v>
      </c>
      <c r="EW176" s="21">
        <f>EXP(-LN(2)/25)*EW175+(1-EXP(-LN(2)/25))/(LN(2)/25)*Calculateur!ER176*Calculateur!ET176*VLOOKUP('Données projet'!$B$15,Paramètres!$A$1:$I$89,3,0)*0.475*44/12</f>
        <v>0.29334367272572276</v>
      </c>
      <c r="EX176" s="21">
        <f>EXP(-LN(2)/2)*EX175+(1-EXP(-LN(2)/2))/(LN(2)/2)*ER176*EU176*VLOOKUP('Données projet'!$B$15,Paramètres!$A$1:$I$89,3,0)*0.475*44/12</f>
        <v>3.2648068665357423E-21</v>
      </c>
      <c r="EY176" s="22">
        <f t="shared" si="181"/>
        <v>1.0557832626123516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>
        <f>FE176*VLOOKUP('Données projet'!$B$16,Paramètres!$A$1:$I$89,3,0)*VLOOKUP('Données projet'!$B$16,Paramètres!$A$1:$I$89,5,0)</f>
        <v>0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356.65981389369125</v>
      </c>
      <c r="FK176" s="59">
        <f t="shared" si="156"/>
        <v>231.92898690465887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0.48237830321461772</v>
      </c>
      <c r="FR176" s="21">
        <f>EXP(-LN(2)/25)*FR175+(1-EXP(-LN(2)/25))/(LN(2)/25)*Calculateur!FM176*Calculateur!FO176*VLOOKUP('Données projet'!$B$16,Paramètres!$A$1:$I$89,3,0)*0.475*44/12</f>
        <v>0.19910892326575685</v>
      </c>
      <c r="FS176" s="21">
        <f>EXP(-LN(2)/2)*FS175+(1-EXP(-LN(2)/2))/(LN(2)/2)*FM176*FP176*VLOOKUP('Données projet'!$B$16,Paramètres!$A$1:$I$89,3,0)*0.475*44/12</f>
        <v>2.8644132893729939E-21</v>
      </c>
      <c r="FT176" s="22">
        <f t="shared" si="184"/>
        <v>0.68148722648037463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>
        <f>FZ176*VLOOKUP('Données projet'!$B$17,Paramètres!$A$1:$I$89,3,0)*VLOOKUP('Données projet'!$B$17,Paramètres!$A$1:$I$89,5,0)</f>
        <v>0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337.76140497227715</v>
      </c>
      <c r="GF176" s="59">
        <f t="shared" si="158"/>
        <v>219.76562717496353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0.46011468922009674</v>
      </c>
      <c r="GM176" s="21">
        <f>EXP(-LN(2)/25)*GM175+(1-EXP(-LN(2)/25))/(LN(2)/25)*Calculateur!GH176*Calculateur!GJ176*VLOOKUP('Données projet'!$B$17,Paramètres!$A$1:$I$89,3,0)*0.475*44/12</f>
        <v>0.18991928065349123</v>
      </c>
      <c r="GN176" s="21">
        <f>EXP(-LN(2)/2)*GN175+(1-EXP(-LN(2)/2))/(LN(2)/2)*GH176*GK176*VLOOKUP('Données projet'!$B$17,Paramètres!$A$1:$I$89,3,0)*0.475*44/12</f>
        <v>2.732209599094241E-21</v>
      </c>
      <c r="GO176" s="21">
        <f t="shared" si="187"/>
        <v>0.65003396987358797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312.53389584272878</v>
      </c>
      <c r="T177" s="59">
        <f t="shared" si="142"/>
        <v>203.5274665601915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0.42198940333533735</v>
      </c>
      <c r="AA177" s="21">
        <f>EXP(-LN(2)/25)*AA176+(1-EXP(-LN(2)/25))/(LN(2)/25)*Calculateur!V177*Calculateur!X177*VLOOKUP('Données projet'!$B$9,Paramètres!$A$1:$I$89,3,0)*0.475*44/12</f>
        <v>0.17280812613423882</v>
      </c>
      <c r="AB177" s="21">
        <f>EXP(-LN(2)/2)*AB176+(1-EXP(-LN(2)/2))/(LN(2)/2)*V177*Y177*VLOOKUP('Données projet'!$B$9,Paramètres!$A$1:$I$89,3,0)*0.475*44/12</f>
        <v>1.8073211006171921E-21</v>
      </c>
      <c r="AC177" s="22">
        <f t="shared" si="163"/>
        <v>0.5947975294695762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5.6843418860808015E-14</v>
      </c>
      <c r="AJ177" s="13">
        <f>AI177*VLOOKUP('Données projet'!$B$10,Paramètres!$A$1:$I$89,3,0)*VLOOKUP('Données projet'!$B$10,Paramètres!$A$1:$I$89,5,0)</f>
        <v>4.9658410716801891E-14</v>
      </c>
      <c r="AK177" s="13">
        <f t="shared" si="164"/>
        <v>8.0934058173791862E-13</v>
      </c>
      <c r="AL177" s="20">
        <f t="shared" si="165"/>
        <v>1.4960899118586383E-12</v>
      </c>
      <c r="AM177" s="59">
        <f t="shared" si="113"/>
        <v>293.33333333333479</v>
      </c>
      <c r="AN177" s="59">
        <f ca="1">AVERAGE(OFFSET($AM$3,0,0,'Données projet'!$E$10+1,1))-AVERAGE(OFFSET($H$3,0,0,'Données projet'!$E$10+1,1))</f>
        <v>243.05628303465238</v>
      </c>
      <c r="AO177" s="59">
        <f t="shared" si="144"/>
        <v>352.47096767658394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0.45584772327843293</v>
      </c>
      <c r="AV177" s="21">
        <f>EXP(-LN(2)/25)*AV176+(1-EXP(-LN(2)/25))/(LN(2)/25)*Calculateur!AQ177*Calculateur!AS177*VLOOKUP('Données projet'!$B$10,Paramètres!$A$1:$I$89,3,0)*0.475*44/12</f>
        <v>0.33433305841299898</v>
      </c>
      <c r="AW177" s="21">
        <f>EXP(-LN(2)/2)*AW176+(1-EXP(-LN(2)/2))/(LN(2)/2)*AQ177*AT177*VLOOKUP('Données projet'!$B$10,Paramètres!$A$1:$I$89,3,0)*0.475*44/12</f>
        <v>2.3871862207140357E-21</v>
      </c>
      <c r="AX177" s="21">
        <f t="shared" si="166"/>
        <v>0.79018078169143191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-2.8421709430404007E-13</v>
      </c>
      <c r="BE177" s="13">
        <f>BD177*VLOOKUP('Données projet'!$B$11,Paramètres!$A$1:$I$89,3,0)*VLOOKUP('Données projet'!$B$11,Paramètres!$A$1:$I$89,5,0)</f>
        <v>-2.2612312022829427E-13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325.72928944930294</v>
      </c>
      <c r="BJ177" s="59">
        <f t="shared" si="146"/>
        <v>318.38876834819752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0.99973365917165036</v>
      </c>
      <c r="BQ177" s="21">
        <f>EXP(-LN(2)/25)*BQ176+(1-EXP(-LN(2)/25))/(LN(2)/25)*Calculateur!BL177*Calculateur!BN177*VLOOKUP('Données projet'!$B$11,Paramètres!$A$1:$I$89,3,0)*0.475*44/12</f>
        <v>0.38160605534852604</v>
      </c>
      <c r="BR177" s="21">
        <f>EXP(-LN(2)/2)*BR176+(1-EXP(-LN(2)/2))/(LN(2)/2)*BL177*BO177*VLOOKUP('Données projet'!$B$11,Paramètres!$A$1:$I$89,3,0)*0.475*44/12</f>
        <v>2.5050408681741041E-21</v>
      </c>
      <c r="BS177" s="22">
        <f t="shared" si="169"/>
        <v>1.3813397145201765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-3.4106051316484809E-13</v>
      </c>
      <c r="BZ177" s="13">
        <f>BY177*VLOOKUP('Données projet'!$B$12,Paramètres!$A$1:$I$89,3,0)*VLOOKUP('Données projet'!$B$12,Paramètres!$A$1:$I$89,5,0)</f>
        <v>-1.9065282685915009E-13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475.54809021014017</v>
      </c>
      <c r="CE177" s="59">
        <f t="shared" si="148"/>
        <v>593.51433014569966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0.42388880625590425</v>
      </c>
      <c r="CL177" s="21">
        <f>EXP(-LN(2)/25)*CL176+(1-EXP(-LN(2)/25))/(LN(2)/25)*Calculateur!CG177*Calculateur!CI177*VLOOKUP('Données projet'!$B$12,Paramètres!$A$1:$I$89,3,0)*0.475*44/12</f>
        <v>0.78632380219614917</v>
      </c>
      <c r="CM177" s="21">
        <f>EXP(-LN(2)/2)*CM176+(1-EXP(-LN(2)/2))/(LN(2)/2)*CG177*CJ177*VLOOKUP('Données projet'!$B$12,Paramètres!$A$1:$I$89,3,0)*0.475*44/12</f>
        <v>3.0531213147134372E-21</v>
      </c>
      <c r="CN177" s="22">
        <f t="shared" si="172"/>
        <v>1.2102126084520535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-1.1368683772161603E-13</v>
      </c>
      <c r="CU177" s="17">
        <f>CT177*VLOOKUP('Données projet'!$B$13,Paramètres!$A$1:$I$89,3,0)*VLOOKUP('Données projet'!$B$13,Paramètres!$A$1:$I$89,5,0)</f>
        <v>-5.3205440053716299E-14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226.0452828290525</v>
      </c>
      <c r="CZ177" s="59">
        <f t="shared" si="150"/>
        <v>179.89696397462069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0.5240576607704952</v>
      </c>
      <c r="DG177" s="21">
        <f>EXP(-LN(2)/25)*DG176+(1-EXP(-LN(2)/25))/(LN(2)/25)*Calculateur!DB177*Calculateur!DD177*VLOOKUP('Données projet'!$B$13,Paramètres!$A$1:$I$89,3,0)*0.475*44/12</f>
        <v>0.20577542720564965</v>
      </c>
      <c r="DH177" s="21">
        <f>EXP(-LN(2)/2)*DH176+(1-EXP(-LN(2)/2))/(LN(2)/2)*DB177*DE177*VLOOKUP('Données projet'!$B$13,Paramètres!$A$1:$I$89,3,0)*0.475*44/12</f>
        <v>2.3384734504739005E-21</v>
      </c>
      <c r="DI177" s="22">
        <f t="shared" si="175"/>
        <v>0.72983308797614488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1.1368683772161603E-13</v>
      </c>
      <c r="DP177" s="17">
        <f>DO177*VLOOKUP('Données projet'!$B$14,Paramètres!$A$1:$I$89,3,0)*VLOOKUP('Données projet'!$B$14,Paramètres!$A$1:$I$89,5,0)</f>
        <v>6.7984728957526396E-14</v>
      </c>
      <c r="DQ177" s="13">
        <f t="shared" si="176"/>
        <v>1.0682447123141398E-12</v>
      </c>
      <c r="DR177" s="20">
        <f t="shared" si="177"/>
        <v>1.978932943548152E-12</v>
      </c>
      <c r="DS177" s="59">
        <f t="shared" si="125"/>
        <v>293.3333333333353</v>
      </c>
      <c r="DT177" s="59">
        <f ca="1">AVERAGE(OFFSET($DS$3,0,0,'Données projet'!$E$14+1,1))-AVERAGE(OFFSET($H$3,0,0,'Données projet'!$E$14+1,1))</f>
        <v>252.81045065813976</v>
      </c>
      <c r="DU177" s="59">
        <f t="shared" si="152"/>
        <v>254.36590349790589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1.0424650534628759</v>
      </c>
      <c r="EB177" s="21">
        <f>EXP(-LN(2)/25)*EB176+(1-EXP(-LN(2)/25))/(LN(2)/25)*Calculateur!DW177*Calculateur!DY177*VLOOKUP('Données projet'!$B$14,Paramètres!$A$1:$I$89,3,0)*0.475*44/12</f>
        <v>0.29757356093862875</v>
      </c>
      <c r="EC177" s="21">
        <f>EXP(-LN(2)/2)*EC176+(1-EXP(-LN(2)/2))/(LN(2)/2)*DW177*DZ177*VLOOKUP('Données projet'!$B$14,Paramètres!$A$1:$I$89,3,0)*0.475*44/12</f>
        <v>1.2157852858232935E-21</v>
      </c>
      <c r="ED177" s="22">
        <f t="shared" si="178"/>
        <v>1.3400386144015046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-2.8421709430404007E-13</v>
      </c>
      <c r="EK177" s="17">
        <f>EJ177*VLOOKUP('Données projet'!$B$15,Paramètres!$A$1:$I$89,3,0)*VLOOKUP('Données projet'!$B$15,Paramètres!$A$1:$I$89,5,0)</f>
        <v>-2.0838797354372215E-13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296.91321813251051</v>
      </c>
      <c r="EP177" s="59">
        <f t="shared" si="154"/>
        <v>291.0718079639509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0.74748861457118265</v>
      </c>
      <c r="EW177" s="21">
        <f>EXP(-LN(2)/25)*EW176+(1-EXP(-LN(2)/25))/(LN(2)/25)*Calculateur!ER177*Calculateur!ET177*VLOOKUP('Données projet'!$B$15,Paramètres!$A$1:$I$89,3,0)*0.475*44/12</f>
        <v>0.28532217456876457</v>
      </c>
      <c r="EX177" s="21">
        <f>EXP(-LN(2)/2)*EX176+(1-EXP(-LN(2)/2))/(LN(2)/2)*ER177*EU177*VLOOKUP('Données projet'!$B$15,Paramètres!$A$1:$I$89,3,0)*0.475*44/12</f>
        <v>2.3085670745918269E-21</v>
      </c>
      <c r="EY177" s="22">
        <f t="shared" si="181"/>
        <v>1.0328107891399472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>
        <f>FE177*VLOOKUP('Données projet'!$B$16,Paramètres!$A$1:$I$89,3,0)*VLOOKUP('Données projet'!$B$16,Paramètres!$A$1:$I$89,5,0)</f>
        <v>0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356.65981389369125</v>
      </c>
      <c r="FK177" s="59">
        <f t="shared" si="156"/>
        <v>231.92898690465887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0.47291915891029207</v>
      </c>
      <c r="FR177" s="21">
        <f>EXP(-LN(2)/25)*FR176+(1-EXP(-LN(2)/25))/(LN(2)/25)*Calculateur!FM177*Calculateur!FO177*VLOOKUP('Données projet'!$B$16,Paramètres!$A$1:$I$89,3,0)*0.475*44/12</f>
        <v>0.19366427928837152</v>
      </c>
      <c r="FS177" s="21">
        <f>EXP(-LN(2)/2)*FS176+(1-EXP(-LN(2)/2))/(LN(2)/2)*FM177*FP177*VLOOKUP('Données projet'!$B$16,Paramètres!$A$1:$I$89,3,0)*0.475*44/12</f>
        <v>2.0254460610365084E-21</v>
      </c>
      <c r="FT177" s="22">
        <f t="shared" si="184"/>
        <v>0.66658343819866361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>
        <f>FZ177*VLOOKUP('Données projet'!$B$17,Paramètres!$A$1:$I$89,3,0)*VLOOKUP('Données projet'!$B$17,Paramètres!$A$1:$I$89,5,0)</f>
        <v>0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337.76140497227715</v>
      </c>
      <c r="GF177" s="59">
        <f t="shared" si="158"/>
        <v>219.76562717496353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0.45109212080673994</v>
      </c>
      <c r="GM177" s="21">
        <f>EXP(-LN(2)/25)*GM176+(1-EXP(-LN(2)/25))/(LN(2)/25)*Calculateur!GH177*Calculateur!GJ177*VLOOKUP('Données projet'!$B$17,Paramètres!$A$1:$I$89,3,0)*0.475*44/12</f>
        <v>0.18472592793660061</v>
      </c>
      <c r="GN177" s="21">
        <f>EXP(-LN(2)/2)*GN176+(1-EXP(-LN(2)/2))/(LN(2)/2)*GH177*GK177*VLOOKUP('Données projet'!$B$17,Paramètres!$A$1:$I$89,3,0)*0.475*44/12</f>
        <v>1.9319639351425162E-21</v>
      </c>
      <c r="GO177" s="21">
        <f t="shared" si="187"/>
        <v>0.63581804874334058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312.53389584272878</v>
      </c>
      <c r="T178" s="59">
        <f t="shared" si="142"/>
        <v>203.5274665601915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0.41371444852405248</v>
      </c>
      <c r="AA178" s="21">
        <f>EXP(-LN(2)/25)*AA177+(1-EXP(-LN(2)/25))/(LN(2)/25)*Calculateur!V178*Calculateur!X178*VLOOKUP('Données projet'!$B$9,Paramètres!$A$1:$I$89,3,0)*0.475*44/12</f>
        <v>0.16808267883751365</v>
      </c>
      <c r="AB178" s="21">
        <f>EXP(-LN(2)/2)*AB177+(1-EXP(-LN(2)/2))/(LN(2)/2)*V178*Y178*VLOOKUP('Données projet'!$B$9,Paramètres!$A$1:$I$89,3,0)*0.475*44/12</f>
        <v>1.2779690060279511E-21</v>
      </c>
      <c r="AC178" s="22">
        <f t="shared" si="163"/>
        <v>0.58179712736156608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5.6843418860808015E-14</v>
      </c>
      <c r="AJ178" s="13">
        <f>AI178*VLOOKUP('Données projet'!$B$10,Paramètres!$A$1:$I$89,3,0)*VLOOKUP('Données projet'!$B$10,Paramètres!$A$1:$I$89,5,0)</f>
        <v>4.9658410716801891E-14</v>
      </c>
      <c r="AK178" s="13">
        <f t="shared" si="164"/>
        <v>8.0934058173791862E-13</v>
      </c>
      <c r="AL178" s="20">
        <f t="shared" si="165"/>
        <v>1.4960899118586383E-12</v>
      </c>
      <c r="AM178" s="59">
        <f t="shared" si="113"/>
        <v>293.33333333333479</v>
      </c>
      <c r="AN178" s="59">
        <f ca="1">AVERAGE(OFFSET($AM$3,0,0,'Données projet'!$E$10+1,1))-AVERAGE(OFFSET($H$3,0,0,'Données projet'!$E$10+1,1))</f>
        <v>243.05628303465238</v>
      </c>
      <c r="AO178" s="59">
        <f t="shared" si="144"/>
        <v>352.47096767658394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0.44690882746459992</v>
      </c>
      <c r="AV178" s="21">
        <f>EXP(-LN(2)/25)*AV177+(1-EXP(-LN(2)/25))/(LN(2)/25)*Calculateur!AQ178*Calculateur!AS178*VLOOKUP('Données projet'!$B$10,Paramètres!$A$1:$I$89,3,0)*0.475*44/12</f>
        <v>0.32519070334888411</v>
      </c>
      <c r="AW178" s="21">
        <f>EXP(-LN(2)/2)*AW177+(1-EXP(-LN(2)/2))/(LN(2)/2)*AQ178*AT178*VLOOKUP('Données projet'!$B$10,Paramètres!$A$1:$I$89,3,0)*0.475*44/12</f>
        <v>1.6879955646219812E-21</v>
      </c>
      <c r="AX178" s="21">
        <f t="shared" si="166"/>
        <v>0.77209953081348404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-2.8421709430404007E-13</v>
      </c>
      <c r="BE178" s="13">
        <f>BD178*VLOOKUP('Données projet'!$B$11,Paramètres!$A$1:$I$89,3,0)*VLOOKUP('Données projet'!$B$11,Paramètres!$A$1:$I$89,5,0)</f>
        <v>-2.2612312022829427E-13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325.72928944930294</v>
      </c>
      <c r="BJ178" s="59">
        <f t="shared" si="146"/>
        <v>318.38876834819752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0.98012949189261589</v>
      </c>
      <c r="BQ178" s="21">
        <f>EXP(-LN(2)/25)*BQ177+(1-EXP(-LN(2)/25))/(LN(2)/25)*Calculateur!BL178*Calculateur!BN178*VLOOKUP('Données projet'!$B$11,Paramètres!$A$1:$I$89,3,0)*0.475*44/12</f>
        <v>0.37117101769723032</v>
      </c>
      <c r="BR178" s="21">
        <f>EXP(-LN(2)/2)*BR177+(1-EXP(-LN(2)/2))/(LN(2)/2)*BL178*BO178*VLOOKUP('Données projet'!$B$11,Paramètres!$A$1:$I$89,3,0)*0.475*44/12</f>
        <v>1.7713313850353452E-21</v>
      </c>
      <c r="BS178" s="22">
        <f t="shared" si="169"/>
        <v>1.3513005095898463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-3.4106051316484809E-13</v>
      </c>
      <c r="BZ178" s="13">
        <f>BY178*VLOOKUP('Données projet'!$B$12,Paramètres!$A$1:$I$89,3,0)*VLOOKUP('Données projet'!$B$12,Paramètres!$A$1:$I$89,5,0)</f>
        <v>-1.9065282685915009E-13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475.54809021014017</v>
      </c>
      <c r="CE178" s="59">
        <f t="shared" si="148"/>
        <v>593.51433014569966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0.41557660531186841</v>
      </c>
      <c r="CL178" s="21">
        <f>EXP(-LN(2)/25)*CL177+(1-EXP(-LN(2)/25))/(LN(2)/25)*Calculateur!CG178*Calculateur!CI178*VLOOKUP('Données projet'!$B$12,Paramètres!$A$1:$I$89,3,0)*0.475*44/12</f>
        <v>0.76482173647412388</v>
      </c>
      <c r="CM178" s="21">
        <f>EXP(-LN(2)/2)*CM177+(1-EXP(-LN(2)/2))/(LN(2)/2)*CG178*CJ178*VLOOKUP('Données projet'!$B$12,Paramètres!$A$1:$I$89,3,0)*0.475*44/12</f>
        <v>2.1588827854190587E-21</v>
      </c>
      <c r="CN178" s="22">
        <f t="shared" si="172"/>
        <v>1.1803983417859922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-1.1368683772161603E-13</v>
      </c>
      <c r="CU178" s="17">
        <f>CT178*VLOOKUP('Données projet'!$B$13,Paramètres!$A$1:$I$89,3,0)*VLOOKUP('Données projet'!$B$13,Paramètres!$A$1:$I$89,5,0)</f>
        <v>-5.3205440053716299E-14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226.0452828290525</v>
      </c>
      <c r="CZ178" s="59">
        <f t="shared" si="150"/>
        <v>179.89696397462069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0.51378120968639662</v>
      </c>
      <c r="DG178" s="21">
        <f>EXP(-LN(2)/25)*DG177+(1-EXP(-LN(2)/25))/(LN(2)/25)*Calculateur!DB178*Calculateur!DD178*VLOOKUP('Données projet'!$B$13,Paramètres!$A$1:$I$89,3,0)*0.475*44/12</f>
        <v>0.20014848732745175</v>
      </c>
      <c r="DH178" s="21">
        <f>EXP(-LN(2)/2)*DH177+(1-EXP(-LN(2)/2))/(LN(2)/2)*DB178*DE178*VLOOKUP('Données projet'!$B$13,Paramètres!$A$1:$I$89,3,0)*0.475*44/12</f>
        <v>1.6535504344547993E-21</v>
      </c>
      <c r="DI178" s="22">
        <f t="shared" si="175"/>
        <v>0.71392969701384834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1.1368683772161603E-13</v>
      </c>
      <c r="DP178" s="17">
        <f>DO178*VLOOKUP('Données projet'!$B$14,Paramètres!$A$1:$I$89,3,0)*VLOOKUP('Données projet'!$B$14,Paramètres!$A$1:$I$89,5,0)</f>
        <v>6.7984728957526396E-14</v>
      </c>
      <c r="DQ178" s="13">
        <f t="shared" si="176"/>
        <v>1.0682447123141398E-12</v>
      </c>
      <c r="DR178" s="20">
        <f t="shared" si="177"/>
        <v>1.978932943548152E-12</v>
      </c>
      <c r="DS178" s="59">
        <f t="shared" si="125"/>
        <v>293.3333333333353</v>
      </c>
      <c r="DT178" s="59">
        <f ca="1">AVERAGE(OFFSET($DS$3,0,0,'Données projet'!$E$14+1,1))-AVERAGE(OFFSET($H$3,0,0,'Données projet'!$E$14+1,1))</f>
        <v>252.81045065813976</v>
      </c>
      <c r="DU178" s="59">
        <f t="shared" si="152"/>
        <v>254.36590349790589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1.0220229496053674</v>
      </c>
      <c r="EB178" s="21">
        <f>EXP(-LN(2)/25)*EB177+(1-EXP(-LN(2)/25))/(LN(2)/25)*Calculateur!DW178*Calculateur!DY178*VLOOKUP('Données projet'!$B$14,Paramètres!$A$1:$I$89,3,0)*0.475*44/12</f>
        <v>0.2894363962660485</v>
      </c>
      <c r="EC178" s="21">
        <f>EXP(-LN(2)/2)*EC177+(1-EXP(-LN(2)/2))/(LN(2)/2)*DW178*DZ178*VLOOKUP('Données projet'!$B$14,Paramètres!$A$1:$I$89,3,0)*0.475*44/12</f>
        <v>8.5969002007247572E-22</v>
      </c>
      <c r="ED178" s="22">
        <f t="shared" si="178"/>
        <v>1.3114593458714159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-2.8421709430404007E-13</v>
      </c>
      <c r="EK178" s="17">
        <f>EJ178*VLOOKUP('Données projet'!$B$15,Paramètres!$A$1:$I$89,3,0)*VLOOKUP('Données projet'!$B$15,Paramètres!$A$1:$I$89,5,0)</f>
        <v>-2.0838797354372215E-13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296.91321813251051</v>
      </c>
      <c r="EP178" s="59">
        <f t="shared" si="154"/>
        <v>291.0718079639509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0.73283081876247802</v>
      </c>
      <c r="EW178" s="21">
        <f>EXP(-LN(2)/25)*EW177+(1-EXP(-LN(2)/25))/(LN(2)/25)*Calculateur!ER178*Calculateur!ET178*VLOOKUP('Données projet'!$B$15,Paramètres!$A$1:$I$89,3,0)*0.475*44/12</f>
        <v>0.27752002470074066</v>
      </c>
      <c r="EX178" s="21">
        <f>EXP(-LN(2)/2)*EX177+(1-EXP(-LN(2)/2))/(LN(2)/2)*ER178*EU178*VLOOKUP('Données projet'!$B$15,Paramètres!$A$1:$I$89,3,0)*0.475*44/12</f>
        <v>1.6324034332678711E-21</v>
      </c>
      <c r="EY178" s="22">
        <f t="shared" si="181"/>
        <v>1.0103508434632187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>
        <f>FE178*VLOOKUP('Données projet'!$B$16,Paramètres!$A$1:$I$89,3,0)*VLOOKUP('Données projet'!$B$16,Paramètres!$A$1:$I$89,5,0)</f>
        <v>0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356.65981389369125</v>
      </c>
      <c r="FK178" s="59">
        <f t="shared" si="156"/>
        <v>231.92898690465887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0.46364550265626586</v>
      </c>
      <c r="FR178" s="21">
        <f>EXP(-LN(2)/25)*FR177+(1-EXP(-LN(2)/25))/(LN(2)/25)*Calculateur!FM178*Calculateur!FO178*VLOOKUP('Données projet'!$B$16,Paramètres!$A$1:$I$89,3,0)*0.475*44/12</f>
        <v>0.18836851938686919</v>
      </c>
      <c r="FS178" s="21">
        <f>EXP(-LN(2)/2)*FS177+(1-EXP(-LN(2)/2))/(LN(2)/2)*FM178*FP178*VLOOKUP('Données projet'!$B$16,Paramètres!$A$1:$I$89,3,0)*0.475*44/12</f>
        <v>1.432206644686497E-21</v>
      </c>
      <c r="FT178" s="22">
        <f t="shared" si="184"/>
        <v>0.65201402204313508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>
        <f>FZ178*VLOOKUP('Données projet'!$B$17,Paramètres!$A$1:$I$89,3,0)*VLOOKUP('Données projet'!$B$17,Paramètres!$A$1:$I$89,5,0)</f>
        <v>0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337.76140497227715</v>
      </c>
      <c r="GF178" s="59">
        <f t="shared" si="158"/>
        <v>219.76562717496353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0.44224647945674572</v>
      </c>
      <c r="GM178" s="21">
        <f>EXP(-LN(2)/25)*GM177+(1-EXP(-LN(2)/25))/(LN(2)/25)*Calculateur!GH178*Calculateur!GJ178*VLOOKUP('Données projet'!$B$17,Paramètres!$A$1:$I$89,3,0)*0.475*44/12</f>
        <v>0.17967458772285991</v>
      </c>
      <c r="GN178" s="21">
        <f>EXP(-LN(2)/2)*GN177+(1-EXP(-LN(2)/2))/(LN(2)/2)*GH178*GK178*VLOOKUP('Données projet'!$B$17,Paramètres!$A$1:$I$89,3,0)*0.475*44/12</f>
        <v>1.3661047995471205E-21</v>
      </c>
      <c r="GO178" s="21">
        <f t="shared" si="187"/>
        <v>0.6219210671796056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312.53389584272878</v>
      </c>
      <c r="T179" s="59">
        <f t="shared" si="142"/>
        <v>203.5274665601915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0.40560176052939284</v>
      </c>
      <c r="AA179" s="21">
        <f>EXP(-LN(2)/25)*AA178+(1-EXP(-LN(2)/25))/(LN(2)/25)*Calculateur!V179*Calculateur!X179*VLOOKUP('Données projet'!$B$9,Paramètres!$A$1:$I$89,3,0)*0.475*44/12</f>
        <v>0.16348644914561791</v>
      </c>
      <c r="AB179" s="21">
        <f>EXP(-LN(2)/2)*AB178+(1-EXP(-LN(2)/2))/(LN(2)/2)*V179*Y179*VLOOKUP('Données projet'!$B$9,Paramètres!$A$1:$I$89,3,0)*0.475*44/12</f>
        <v>9.0366055030859604E-22</v>
      </c>
      <c r="AC179" s="22">
        <f t="shared" si="163"/>
        <v>0.56908820967501073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5.6843418860808015E-14</v>
      </c>
      <c r="AJ179" s="13">
        <f>AI179*VLOOKUP('Données projet'!$B$10,Paramètres!$A$1:$I$89,3,0)*VLOOKUP('Données projet'!$B$10,Paramètres!$A$1:$I$89,5,0)</f>
        <v>4.9658410716801891E-14</v>
      </c>
      <c r="AK179" s="13">
        <f t="shared" si="164"/>
        <v>8.0934058173791862E-13</v>
      </c>
      <c r="AL179" s="20">
        <f t="shared" si="165"/>
        <v>1.4960899118586383E-12</v>
      </c>
      <c r="AM179" s="59">
        <f t="shared" si="113"/>
        <v>293.33333333333479</v>
      </c>
      <c r="AN179" s="59">
        <f ca="1">AVERAGE(OFFSET($AM$3,0,0,'Données projet'!$E$10+1,1))-AVERAGE(OFFSET($H$3,0,0,'Données projet'!$E$10+1,1))</f>
        <v>243.05628303465238</v>
      </c>
      <c r="AO179" s="59">
        <f t="shared" si="144"/>
        <v>352.47096767658394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0.43814521794548811</v>
      </c>
      <c r="AV179" s="21">
        <f>EXP(-LN(2)/25)*AV178+(1-EXP(-LN(2)/25))/(LN(2)/25)*Calculateur!AQ179*Calculateur!AS179*VLOOKUP('Données projet'!$B$10,Paramètres!$A$1:$I$89,3,0)*0.475*44/12</f>
        <v>0.31629834646477301</v>
      </c>
      <c r="AW179" s="21">
        <f>EXP(-LN(2)/2)*AW178+(1-EXP(-LN(2)/2))/(LN(2)/2)*AQ179*AT179*VLOOKUP('Données projet'!$B$10,Paramètres!$A$1:$I$89,3,0)*0.475*44/12</f>
        <v>1.193593110357018E-21</v>
      </c>
      <c r="AX179" s="21">
        <f t="shared" si="166"/>
        <v>0.75444356441026117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-2.8421709430404007E-13</v>
      </c>
      <c r="BE179" s="13">
        <f>BD179*VLOOKUP('Données projet'!$B$11,Paramètres!$A$1:$I$89,3,0)*VLOOKUP('Données projet'!$B$11,Paramètres!$A$1:$I$89,5,0)</f>
        <v>-2.2612312022829427E-13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325.72928944930294</v>
      </c>
      <c r="BJ179" s="59">
        <f t="shared" si="146"/>
        <v>318.38876834819752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0.9609097503765619</v>
      </c>
      <c r="BQ179" s="21">
        <f>EXP(-LN(2)/25)*BQ178+(1-EXP(-LN(2)/25))/(LN(2)/25)*Calculateur!BL179*Calculateur!BN179*VLOOKUP('Données projet'!$B$11,Paramètres!$A$1:$I$89,3,0)*0.475*44/12</f>
        <v>0.36102132669926407</v>
      </c>
      <c r="BR179" s="21">
        <f>EXP(-LN(2)/2)*BR178+(1-EXP(-LN(2)/2))/(LN(2)/2)*BL179*BO179*VLOOKUP('Données projet'!$B$11,Paramètres!$A$1:$I$89,3,0)*0.475*44/12</f>
        <v>1.252520434087052E-21</v>
      </c>
      <c r="BS179" s="22">
        <f t="shared" si="169"/>
        <v>1.3219310770758259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-3.4106051316484809E-13</v>
      </c>
      <c r="BZ179" s="13">
        <f>BY179*VLOOKUP('Données projet'!$B$12,Paramètres!$A$1:$I$89,3,0)*VLOOKUP('Données projet'!$B$12,Paramètres!$A$1:$I$89,5,0)</f>
        <v>-1.9065282685915009E-13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475.54809021014017</v>
      </c>
      <c r="CE179" s="59">
        <f t="shared" si="148"/>
        <v>593.51433014569966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0.40742740155840318</v>
      </c>
      <c r="CL179" s="21">
        <f>EXP(-LN(2)/25)*CL178+(1-EXP(-LN(2)/25))/(LN(2)/25)*Calculateur!CG179*Calculateur!CI179*VLOOKUP('Données projet'!$B$12,Paramètres!$A$1:$I$89,3,0)*0.475*44/12</f>
        <v>0.7439076458700119</v>
      </c>
      <c r="CM179" s="21">
        <f>EXP(-LN(2)/2)*CM178+(1-EXP(-LN(2)/2))/(LN(2)/2)*CG179*CJ179*VLOOKUP('Données projet'!$B$12,Paramètres!$A$1:$I$89,3,0)*0.475*44/12</f>
        <v>1.5265606573567186E-21</v>
      </c>
      <c r="CN179" s="22">
        <f t="shared" si="172"/>
        <v>1.151335047428415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-1.1368683772161603E-13</v>
      </c>
      <c r="CU179" s="17">
        <f>CT179*VLOOKUP('Données projet'!$B$13,Paramètres!$A$1:$I$89,3,0)*VLOOKUP('Données projet'!$B$13,Paramètres!$A$1:$I$89,5,0)</f>
        <v>-5.3205440053716299E-14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226.0452828290525</v>
      </c>
      <c r="CZ179" s="59">
        <f t="shared" si="150"/>
        <v>179.89696397462069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0.50370627354004105</v>
      </c>
      <c r="DG179" s="21">
        <f>EXP(-LN(2)/25)*DG178+(1-EXP(-LN(2)/25))/(LN(2)/25)*Calculateur!DB179*Calculateur!DD179*VLOOKUP('Données projet'!$B$13,Paramètres!$A$1:$I$89,3,0)*0.475*44/12</f>
        <v>0.19467541641613106</v>
      </c>
      <c r="DH179" s="21">
        <f>EXP(-LN(2)/2)*DH178+(1-EXP(-LN(2)/2))/(LN(2)/2)*DB179*DE179*VLOOKUP('Données projet'!$B$13,Paramètres!$A$1:$I$89,3,0)*0.475*44/12</f>
        <v>1.1692367252369504E-21</v>
      </c>
      <c r="DI179" s="22">
        <f t="shared" si="175"/>
        <v>0.69838168995617211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1.1368683772161603E-13</v>
      </c>
      <c r="DP179" s="17">
        <f>DO179*VLOOKUP('Données projet'!$B$14,Paramètres!$A$1:$I$89,3,0)*VLOOKUP('Données projet'!$B$14,Paramètres!$A$1:$I$89,5,0)</f>
        <v>6.7984728957526396E-14</v>
      </c>
      <c r="DQ179" s="13">
        <f t="shared" si="176"/>
        <v>1.0682447123141398E-12</v>
      </c>
      <c r="DR179" s="20">
        <f t="shared" si="177"/>
        <v>1.978932943548152E-12</v>
      </c>
      <c r="DS179" s="59">
        <f t="shared" si="125"/>
        <v>293.3333333333353</v>
      </c>
      <c r="DT179" s="59">
        <f ca="1">AVERAGE(OFFSET($DS$3,0,0,'Données projet'!$E$14+1,1))-AVERAGE(OFFSET($H$3,0,0,'Données projet'!$E$14+1,1))</f>
        <v>252.81045065813976</v>
      </c>
      <c r="DU179" s="59">
        <f t="shared" si="152"/>
        <v>254.36590349790589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1.0019817029360525</v>
      </c>
      <c r="EB179" s="21">
        <f>EXP(-LN(2)/25)*EB178+(1-EXP(-LN(2)/25))/(LN(2)/25)*Calculateur!DW179*Calculateur!DY179*VLOOKUP('Données projet'!$B$14,Paramètres!$A$1:$I$89,3,0)*0.475*44/12</f>
        <v>0.28152174278935482</v>
      </c>
      <c r="EC179" s="21">
        <f>EXP(-LN(2)/2)*EC178+(1-EXP(-LN(2)/2))/(LN(2)/2)*DW179*DZ179*VLOOKUP('Données projet'!$B$14,Paramètres!$A$1:$I$89,3,0)*0.475*44/12</f>
        <v>6.0789264291164675E-22</v>
      </c>
      <c r="ED179" s="22">
        <f t="shared" si="178"/>
        <v>1.2835034457254073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-2.8421709430404007E-13</v>
      </c>
      <c r="EK179" s="17">
        <f>EJ179*VLOOKUP('Données projet'!$B$15,Paramètres!$A$1:$I$89,3,0)*VLOOKUP('Données projet'!$B$15,Paramètres!$A$1:$I$89,5,0)</f>
        <v>-2.0838797354372215E-13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296.91321813251051</v>
      </c>
      <c r="EP179" s="59">
        <f t="shared" si="154"/>
        <v>291.0718079639509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0.71846045338920939</v>
      </c>
      <c r="EW179" s="21">
        <f>EXP(-LN(2)/25)*EW178+(1-EXP(-LN(2)/25))/(LN(2)/25)*Calculateur!ER179*Calculateur!ET179*VLOOKUP('Données projet'!$B$15,Paramètres!$A$1:$I$89,3,0)*0.475*44/12</f>
        <v>0.26993122503115508</v>
      </c>
      <c r="EX179" s="21">
        <f>EXP(-LN(2)/2)*EX178+(1-EXP(-LN(2)/2))/(LN(2)/2)*ER179*EU179*VLOOKUP('Données projet'!$B$15,Paramètres!$A$1:$I$89,3,0)*0.475*44/12</f>
        <v>1.1542835372959135E-21</v>
      </c>
      <c r="EY179" s="22">
        <f t="shared" si="181"/>
        <v>0.98839167842036446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>
        <f>FE179*VLOOKUP('Données projet'!$B$16,Paramètres!$A$1:$I$89,3,0)*VLOOKUP('Données projet'!$B$16,Paramètres!$A$1:$I$89,5,0)</f>
        <v>0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356.65981389369125</v>
      </c>
      <c r="FK179" s="59">
        <f t="shared" si="156"/>
        <v>231.92898690465887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0.45455369714500932</v>
      </c>
      <c r="FR179" s="21">
        <f>EXP(-LN(2)/25)*FR178+(1-EXP(-LN(2)/25))/(LN(2)/25)*Calculateur!FM179*Calculateur!FO179*VLOOKUP('Données projet'!$B$16,Paramètres!$A$1:$I$89,3,0)*0.475*44/12</f>
        <v>0.18321757231836533</v>
      </c>
      <c r="FS179" s="21">
        <f>EXP(-LN(2)/2)*FS178+(1-EXP(-LN(2)/2))/(LN(2)/2)*FM179*FP179*VLOOKUP('Données projet'!$B$16,Paramètres!$A$1:$I$89,3,0)*0.475*44/12</f>
        <v>1.0127230305182542E-21</v>
      </c>
      <c r="FT179" s="22">
        <f t="shared" si="184"/>
        <v>0.63777126946337459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>
        <f>FZ179*VLOOKUP('Données projet'!$B$17,Paramètres!$A$1:$I$89,3,0)*VLOOKUP('Données projet'!$B$17,Paramètres!$A$1:$I$89,5,0)</f>
        <v>0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337.76140497227715</v>
      </c>
      <c r="GF179" s="59">
        <f t="shared" si="158"/>
        <v>219.76562717496353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0.43357429573831641</v>
      </c>
      <c r="GM179" s="21">
        <f>EXP(-LN(2)/25)*GM178+(1-EXP(-LN(2)/25))/(LN(2)/25)*Calculateur!GH179*Calculateur!GJ179*VLOOKUP('Données projet'!$B$17,Paramètres!$A$1:$I$89,3,0)*0.475*44/12</f>
        <v>0.1747613766729024</v>
      </c>
      <c r="GN179" s="21">
        <f>EXP(-LN(2)/2)*GN178+(1-EXP(-LN(2)/2))/(LN(2)/2)*GH179*GK179*VLOOKUP('Données projet'!$B$17,Paramètres!$A$1:$I$89,3,0)*0.475*44/12</f>
        <v>9.659819675712581E-22</v>
      </c>
      <c r="GO179" s="21">
        <f t="shared" si="187"/>
        <v>0.60833567241121878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312.53389584272878</v>
      </c>
      <c r="T180" s="59">
        <f t="shared" si="142"/>
        <v>203.5274665601915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0.39764815739805737</v>
      </c>
      <c r="AA180" s="21">
        <f>EXP(-LN(2)/25)*AA179+(1-EXP(-LN(2)/25))/(LN(2)/25)*Calculateur!V180*Calculateur!X180*VLOOKUP('Données projet'!$B$9,Paramètres!$A$1:$I$89,3,0)*0.475*44/12</f>
        <v>0.15901590359635229</v>
      </c>
      <c r="AB180" s="21">
        <f>EXP(-LN(2)/2)*AB179+(1-EXP(-LN(2)/2))/(LN(2)/2)*V180*Y180*VLOOKUP('Données projet'!$B$9,Paramètres!$A$1:$I$89,3,0)*0.475*44/12</f>
        <v>6.3898450301397555E-22</v>
      </c>
      <c r="AC180" s="22">
        <f t="shared" si="163"/>
        <v>0.55666406099440968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5.6843418860808015E-14</v>
      </c>
      <c r="AJ180" s="13">
        <f>AI180*VLOOKUP('Données projet'!$B$10,Paramètres!$A$1:$I$89,3,0)*VLOOKUP('Données projet'!$B$10,Paramètres!$A$1:$I$89,5,0)</f>
        <v>4.9658410716801891E-14</v>
      </c>
      <c r="AK180" s="13">
        <f t="shared" si="164"/>
        <v>8.0934058173791862E-13</v>
      </c>
      <c r="AL180" s="20">
        <f t="shared" si="165"/>
        <v>1.4960899118586383E-12</v>
      </c>
      <c r="AM180" s="59">
        <f t="shared" si="113"/>
        <v>293.33333333333479</v>
      </c>
      <c r="AN180" s="59">
        <f ca="1">AVERAGE(OFFSET($AM$3,0,0,'Données projet'!$E$10+1,1))-AVERAGE(OFFSET($H$3,0,0,'Données projet'!$E$10+1,1))</f>
        <v>243.05628303465238</v>
      </c>
      <c r="AO180" s="59">
        <f t="shared" si="144"/>
        <v>352.47096767658394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0.42955345746377205</v>
      </c>
      <c r="AV180" s="21">
        <f>EXP(-LN(2)/25)*AV179+(1-EXP(-LN(2)/25))/(LN(2)/25)*Calculateur!AQ180*Calculateur!AS180*VLOOKUP('Données projet'!$B$10,Paramètres!$A$1:$I$89,3,0)*0.475*44/12</f>
        <v>0.30764915154728667</v>
      </c>
      <c r="AW180" s="21">
        <f>EXP(-LN(2)/2)*AW179+(1-EXP(-LN(2)/2))/(LN(2)/2)*AQ180*AT180*VLOOKUP('Données projet'!$B$10,Paramètres!$A$1:$I$89,3,0)*0.475*44/12</f>
        <v>8.4399778231099069E-22</v>
      </c>
      <c r="AX180" s="21">
        <f t="shared" si="166"/>
        <v>0.73720260901105872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-2.8421709430404007E-13</v>
      </c>
      <c r="BE180" s="13">
        <f>BD180*VLOOKUP('Données projet'!$B$11,Paramètres!$A$1:$I$89,3,0)*VLOOKUP('Données projet'!$B$11,Paramètres!$A$1:$I$89,5,0)</f>
        <v>-2.2612312022829427E-13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325.72928944930294</v>
      </c>
      <c r="BJ180" s="59">
        <f t="shared" si="146"/>
        <v>318.38876834819752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0.94206689626875295</v>
      </c>
      <c r="BQ180" s="21">
        <f>EXP(-LN(2)/25)*BQ179+(1-EXP(-LN(2)/25))/(LN(2)/25)*Calculateur!BL180*Calculateur!BN180*VLOOKUP('Données projet'!$B$11,Paramètres!$A$1:$I$89,3,0)*0.475*44/12</f>
        <v>0.35114917953538627</v>
      </c>
      <c r="BR180" s="21">
        <f>EXP(-LN(2)/2)*BR179+(1-EXP(-LN(2)/2))/(LN(2)/2)*BL180*BO180*VLOOKUP('Données projet'!$B$11,Paramètres!$A$1:$I$89,3,0)*0.475*44/12</f>
        <v>8.8566569251767259E-22</v>
      </c>
      <c r="BS180" s="22">
        <f t="shared" si="169"/>
        <v>1.2932160758041391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-3.4106051316484809E-13</v>
      </c>
      <c r="BZ180" s="13">
        <f>BY180*VLOOKUP('Données projet'!$B$12,Paramètres!$A$1:$I$89,3,0)*VLOOKUP('Données projet'!$B$12,Paramètres!$A$1:$I$89,5,0)</f>
        <v>-1.9065282685915009E-13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475.54809021014017</v>
      </c>
      <c r="CE180" s="59">
        <f t="shared" si="148"/>
        <v>593.51433014569966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0.39943799872001989</v>
      </c>
      <c r="CL180" s="21">
        <f>EXP(-LN(2)/25)*CL179+(1-EXP(-LN(2)/25))/(LN(2)/25)*Calculateur!CG180*Calculateur!CI180*VLOOKUP('Données projet'!$B$12,Paramètres!$A$1:$I$89,3,0)*0.475*44/12</f>
        <v>0.7235654521732936</v>
      </c>
      <c r="CM180" s="21">
        <f>EXP(-LN(2)/2)*CM179+(1-EXP(-LN(2)/2))/(LN(2)/2)*CG180*CJ180*VLOOKUP('Données projet'!$B$12,Paramètres!$A$1:$I$89,3,0)*0.475*44/12</f>
        <v>1.0794413927095294E-21</v>
      </c>
      <c r="CN180" s="22">
        <f t="shared" si="172"/>
        <v>1.1230034508933135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-1.1368683772161603E-13</v>
      </c>
      <c r="CU180" s="17">
        <f>CT180*VLOOKUP('Données projet'!$B$13,Paramètres!$A$1:$I$89,3,0)*VLOOKUP('Données projet'!$B$13,Paramètres!$A$1:$I$89,5,0)</f>
        <v>-5.3205440053716299E-14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226.0452828290525</v>
      </c>
      <c r="CZ180" s="59">
        <f t="shared" si="150"/>
        <v>179.89696397462069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0.49382890074641123</v>
      </c>
      <c r="DG180" s="21">
        <f>EXP(-LN(2)/25)*DG179+(1-EXP(-LN(2)/25))/(LN(2)/25)*Calculateur!DB180*Calculateur!DD180*VLOOKUP('Données projet'!$B$13,Paramètres!$A$1:$I$89,3,0)*0.475*44/12</f>
        <v>0.18935200691669674</v>
      </c>
      <c r="DH180" s="21">
        <f>EXP(-LN(2)/2)*DH179+(1-EXP(-LN(2)/2))/(LN(2)/2)*DB180*DE180*VLOOKUP('Données projet'!$B$13,Paramètres!$A$1:$I$89,3,0)*0.475*44/12</f>
        <v>8.2677521722739973E-22</v>
      </c>
      <c r="DI180" s="22">
        <f t="shared" si="175"/>
        <v>0.68318090766310791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1.1368683772161603E-13</v>
      </c>
      <c r="DP180" s="17">
        <f>DO180*VLOOKUP('Données projet'!$B$14,Paramètres!$A$1:$I$89,3,0)*VLOOKUP('Données projet'!$B$14,Paramètres!$A$1:$I$89,5,0)</f>
        <v>6.7984728957526396E-14</v>
      </c>
      <c r="DQ180" s="13">
        <f t="shared" si="176"/>
        <v>1.0682447123141398E-12</v>
      </c>
      <c r="DR180" s="20">
        <f t="shared" si="177"/>
        <v>1.978932943548152E-12</v>
      </c>
      <c r="DS180" s="59">
        <f t="shared" si="125"/>
        <v>293.3333333333353</v>
      </c>
      <c r="DT180" s="59">
        <f ca="1">AVERAGE(OFFSET($DS$3,0,0,'Données projet'!$E$14+1,1))-AVERAGE(OFFSET($H$3,0,0,'Données projet'!$E$14+1,1))</f>
        <v>252.81045065813976</v>
      </c>
      <c r="DU180" s="59">
        <f t="shared" si="152"/>
        <v>254.36590349790589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0.98233345288996943</v>
      </c>
      <c r="EB180" s="21">
        <f>EXP(-LN(2)/25)*EB179+(1-EXP(-LN(2)/25))/(LN(2)/25)*Calculateur!DW180*Calculateur!DY180*VLOOKUP('Données projet'!$B$14,Paramètres!$A$1:$I$89,3,0)*0.475*44/12</f>
        <v>0.27382351592819487</v>
      </c>
      <c r="EC180" s="21">
        <f>EXP(-LN(2)/2)*EC179+(1-EXP(-LN(2)/2))/(LN(2)/2)*DW180*DZ180*VLOOKUP('Données projet'!$B$14,Paramètres!$A$1:$I$89,3,0)*0.475*44/12</f>
        <v>4.2984501003623786E-22</v>
      </c>
      <c r="ED180" s="22">
        <f t="shared" si="178"/>
        <v>1.2561569688181642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-2.8421709430404007E-13</v>
      </c>
      <c r="EK180" s="17">
        <f>EJ180*VLOOKUP('Données projet'!$B$15,Paramètres!$A$1:$I$89,3,0)*VLOOKUP('Données projet'!$B$15,Paramètres!$A$1:$I$89,5,0)</f>
        <v>-2.0838797354372215E-13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296.91321813251051</v>
      </c>
      <c r="EP180" s="59">
        <f t="shared" si="154"/>
        <v>291.0718079639509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0.70437188211585311</v>
      </c>
      <c r="EW180" s="21">
        <f>EXP(-LN(2)/25)*EW179+(1-EXP(-LN(2)/25))/(LN(2)/25)*Calculateur!ER180*Calculateur!ET180*VLOOKUP('Données projet'!$B$15,Paramètres!$A$1:$I$89,3,0)*0.475*44/12</f>
        <v>0.26254994148761196</v>
      </c>
      <c r="EX180" s="21">
        <f>EXP(-LN(2)/2)*EX179+(1-EXP(-LN(2)/2))/(LN(2)/2)*ER180*EU180*VLOOKUP('Données projet'!$B$15,Paramètres!$A$1:$I$89,3,0)*0.475*44/12</f>
        <v>8.1620171663393556E-22</v>
      </c>
      <c r="EY180" s="22">
        <f t="shared" si="181"/>
        <v>0.96692182360346512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>
        <f>FE180*VLOOKUP('Données projet'!$B$16,Paramètres!$A$1:$I$89,3,0)*VLOOKUP('Données projet'!$B$16,Paramètres!$A$1:$I$89,5,0)</f>
        <v>0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356.65981389369125</v>
      </c>
      <c r="FK180" s="59">
        <f t="shared" si="156"/>
        <v>231.92898690465887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0.44564017639437475</v>
      </c>
      <c r="FR180" s="21">
        <f>EXP(-LN(2)/25)*FR179+(1-EXP(-LN(2)/25))/(LN(2)/25)*Calculateur!FM180*Calculateur!FO180*VLOOKUP('Données projet'!$B$16,Paramètres!$A$1:$I$89,3,0)*0.475*44/12</f>
        <v>0.17820747816832624</v>
      </c>
      <c r="FS180" s="21">
        <f>EXP(-LN(2)/2)*FS179+(1-EXP(-LN(2)/2))/(LN(2)/2)*FM180*FP180*VLOOKUP('Données projet'!$B$16,Paramètres!$A$1:$I$89,3,0)*0.475*44/12</f>
        <v>7.1610332234324849E-22</v>
      </c>
      <c r="FT180" s="22">
        <f t="shared" si="184"/>
        <v>0.62384765456270097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>
        <f>FZ180*VLOOKUP('Données projet'!$B$17,Paramètres!$A$1:$I$89,3,0)*VLOOKUP('Données projet'!$B$17,Paramètres!$A$1:$I$89,5,0)</f>
        <v>0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337.76140497227715</v>
      </c>
      <c r="GF180" s="59">
        <f t="shared" si="158"/>
        <v>219.76562717496353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0.42507216825309574</v>
      </c>
      <c r="GM180" s="21">
        <f>EXP(-LN(2)/25)*GM179+(1-EXP(-LN(2)/25))/(LN(2)/25)*Calculateur!GH180*Calculateur!GJ180*VLOOKUP('Données projet'!$B$17,Paramètres!$A$1:$I$89,3,0)*0.475*44/12</f>
        <v>0.16998251763748051</v>
      </c>
      <c r="GN180" s="21">
        <f>EXP(-LN(2)/2)*GN179+(1-EXP(-LN(2)/2))/(LN(2)/2)*GH180*GK180*VLOOKUP('Données projet'!$B$17,Paramètres!$A$1:$I$89,3,0)*0.475*44/12</f>
        <v>6.8305239977356026E-22</v>
      </c>
      <c r="GO180" s="21">
        <f t="shared" si="187"/>
        <v>0.59505468589057631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312.53389584272878</v>
      </c>
      <c r="T181" s="59">
        <f t="shared" si="142"/>
        <v>203.5274665601915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0.3898505195729085</v>
      </c>
      <c r="AA181" s="21">
        <f>EXP(-LN(2)/25)*AA180+(1-EXP(-LN(2)/25))/(LN(2)/25)*Calculateur!V181*Calculateur!X181*VLOOKUP('Données projet'!$B$9,Paramètres!$A$1:$I$89,3,0)*0.475*44/12</f>
        <v>0.15466760535022711</v>
      </c>
      <c r="AB181" s="21">
        <f>EXP(-LN(2)/2)*AB180+(1-EXP(-LN(2)/2))/(LN(2)/2)*V181*Y181*VLOOKUP('Données projet'!$B$9,Paramètres!$A$1:$I$89,3,0)*0.475*44/12</f>
        <v>4.5183027515429802E-22</v>
      </c>
      <c r="AC181" s="22">
        <f t="shared" si="163"/>
        <v>0.54451812492313567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5.6843418860808015E-14</v>
      </c>
      <c r="AJ181" s="13">
        <f>AI181*VLOOKUP('Données projet'!$B$10,Paramètres!$A$1:$I$89,3,0)*VLOOKUP('Données projet'!$B$10,Paramètres!$A$1:$I$89,5,0)</f>
        <v>4.9658410716801891E-14</v>
      </c>
      <c r="AK181" s="13">
        <f t="shared" si="164"/>
        <v>8.0934058173791862E-13</v>
      </c>
      <c r="AL181" s="20">
        <f t="shared" si="165"/>
        <v>1.4960899118586383E-12</v>
      </c>
      <c r="AM181" s="59">
        <f t="shared" si="113"/>
        <v>293.33333333333479</v>
      </c>
      <c r="AN181" s="59">
        <f ca="1">AVERAGE(OFFSET($AM$3,0,0,'Données projet'!$E$10+1,1))-AVERAGE(OFFSET($H$3,0,0,'Données projet'!$E$10+1,1))</f>
        <v>243.05628303465238</v>
      </c>
      <c r="AO181" s="59">
        <f t="shared" si="144"/>
        <v>352.47096767658394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0.42113017616464599</v>
      </c>
      <c r="AV181" s="21">
        <f>EXP(-LN(2)/25)*AV180+(1-EXP(-LN(2)/25))/(LN(2)/25)*Calculateur!AQ181*Calculateur!AS181*VLOOKUP('Données projet'!$B$10,Paramètres!$A$1:$I$89,3,0)*0.475*44/12</f>
        <v>0.29923646931966036</v>
      </c>
      <c r="AW181" s="21">
        <f>EXP(-LN(2)/2)*AW180+(1-EXP(-LN(2)/2))/(LN(2)/2)*AQ181*AT181*VLOOKUP('Données projet'!$B$10,Paramètres!$A$1:$I$89,3,0)*0.475*44/12</f>
        <v>5.9679655517850911E-22</v>
      </c>
      <c r="AX181" s="21">
        <f t="shared" si="166"/>
        <v>0.72036664548430629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-2.8421709430404007E-13</v>
      </c>
      <c r="BE181" s="13">
        <f>BD181*VLOOKUP('Données projet'!$B$11,Paramètres!$A$1:$I$89,3,0)*VLOOKUP('Données projet'!$B$11,Paramètres!$A$1:$I$89,5,0)</f>
        <v>-2.2612312022829427E-13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325.72928944930294</v>
      </c>
      <c r="BJ181" s="59">
        <f t="shared" si="146"/>
        <v>318.38876834819752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0.92359353903699204</v>
      </c>
      <c r="BQ181" s="21">
        <f>EXP(-LN(2)/25)*BQ180+(1-EXP(-LN(2)/25))/(LN(2)/25)*Calculateur!BL181*Calculateur!BN181*VLOOKUP('Données projet'!$B$11,Paramètres!$A$1:$I$89,3,0)*0.475*44/12</f>
        <v>0.34154698675485834</v>
      </c>
      <c r="BR181" s="21">
        <f>EXP(-LN(2)/2)*BR180+(1-EXP(-LN(2)/2))/(LN(2)/2)*BL181*BO181*VLOOKUP('Données projet'!$B$11,Paramètres!$A$1:$I$89,3,0)*0.475*44/12</f>
        <v>6.2626021704352602E-22</v>
      </c>
      <c r="BS181" s="22">
        <f t="shared" si="169"/>
        <v>1.2651405257918504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-3.4106051316484809E-13</v>
      </c>
      <c r="BZ181" s="13">
        <f>BY181*VLOOKUP('Données projet'!$B$12,Paramètres!$A$1:$I$89,3,0)*VLOOKUP('Données projet'!$B$12,Paramètres!$A$1:$I$89,5,0)</f>
        <v>-1.9065282685915009E-13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475.54809021014017</v>
      </c>
      <c r="CE181" s="59">
        <f t="shared" si="148"/>
        <v>593.51433014569966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0.39160526319824274</v>
      </c>
      <c r="CL181" s="21">
        <f>EXP(-LN(2)/25)*CL180+(1-EXP(-LN(2)/25))/(LN(2)/25)*Calculateur!CG181*Calculateur!CI181*VLOOKUP('Données projet'!$B$12,Paramètres!$A$1:$I$89,3,0)*0.475*44/12</f>
        <v>0.70377951683296147</v>
      </c>
      <c r="CM181" s="21">
        <f>EXP(-LN(2)/2)*CM180+(1-EXP(-LN(2)/2))/(LN(2)/2)*CG181*CJ181*VLOOKUP('Données projet'!$B$12,Paramètres!$A$1:$I$89,3,0)*0.475*44/12</f>
        <v>7.632803286783593E-22</v>
      </c>
      <c r="CN181" s="22">
        <f t="shared" si="172"/>
        <v>1.0953847800312042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-1.1368683772161603E-13</v>
      </c>
      <c r="CU181" s="17">
        <f>CT181*VLOOKUP('Données projet'!$B$13,Paramètres!$A$1:$I$89,3,0)*VLOOKUP('Données projet'!$B$13,Paramètres!$A$1:$I$89,5,0)</f>
        <v>-5.3205440053716299E-14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226.0452828290525</v>
      </c>
      <c r="CZ181" s="59">
        <f t="shared" si="150"/>
        <v>179.89696397462069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0.48414521720866194</v>
      </c>
      <c r="DG181" s="21">
        <f>EXP(-LN(2)/25)*DG180+(1-EXP(-LN(2)/25))/(LN(2)/25)*Calculateur!DB181*Calculateur!DD181*VLOOKUP('Données projet'!$B$13,Paramètres!$A$1:$I$89,3,0)*0.475*44/12</f>
        <v>0.18417416632997038</v>
      </c>
      <c r="DH181" s="21">
        <f>EXP(-LN(2)/2)*DH180+(1-EXP(-LN(2)/2))/(LN(2)/2)*DB181*DE181*VLOOKUP('Données projet'!$B$13,Paramètres!$A$1:$I$89,3,0)*0.475*44/12</f>
        <v>5.8461836261847531E-22</v>
      </c>
      <c r="DI181" s="22">
        <f t="shared" si="175"/>
        <v>0.66831938353863229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1.1368683772161603E-13</v>
      </c>
      <c r="DP181" s="17">
        <f>DO181*VLOOKUP('Données projet'!$B$14,Paramètres!$A$1:$I$89,3,0)*VLOOKUP('Données projet'!$B$14,Paramètres!$A$1:$I$89,5,0)</f>
        <v>6.7984728957526396E-14</v>
      </c>
      <c r="DQ181" s="13">
        <f t="shared" si="176"/>
        <v>1.0682447123141398E-12</v>
      </c>
      <c r="DR181" s="20">
        <f t="shared" si="177"/>
        <v>1.978932943548152E-12</v>
      </c>
      <c r="DS181" s="59">
        <f t="shared" si="125"/>
        <v>293.3333333333353</v>
      </c>
      <c r="DT181" s="59">
        <f ca="1">AVERAGE(OFFSET($DS$3,0,0,'Données projet'!$E$14+1,1))-AVERAGE(OFFSET($H$3,0,0,'Données projet'!$E$14+1,1))</f>
        <v>252.81045065813976</v>
      </c>
      <c r="DU181" s="59">
        <f t="shared" si="152"/>
        <v>254.36590349790589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0.96307049304304082</v>
      </c>
      <c r="EB181" s="21">
        <f>EXP(-LN(2)/25)*EB180+(1-EXP(-LN(2)/25))/(LN(2)/25)*Calculateur!DW181*Calculateur!DY181*VLOOKUP('Données projet'!$B$14,Paramètres!$A$1:$I$89,3,0)*0.475*44/12</f>
        <v>0.26633579748538549</v>
      </c>
      <c r="EC181" s="21">
        <f>EXP(-LN(2)/2)*EC180+(1-EXP(-LN(2)/2))/(LN(2)/2)*DW181*DZ181*VLOOKUP('Données projet'!$B$14,Paramètres!$A$1:$I$89,3,0)*0.475*44/12</f>
        <v>3.0394632145582337E-22</v>
      </c>
      <c r="ED181" s="22">
        <f t="shared" si="178"/>
        <v>1.2294062905284262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-2.8421709430404007E-13</v>
      </c>
      <c r="EK181" s="17">
        <f>EJ181*VLOOKUP('Données projet'!$B$15,Paramètres!$A$1:$I$89,3,0)*VLOOKUP('Données projet'!$B$15,Paramètres!$A$1:$I$89,5,0)</f>
        <v>-2.0838797354372215E-13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296.91321813251051</v>
      </c>
      <c r="EP181" s="59">
        <f t="shared" si="154"/>
        <v>291.0718079639509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0.6905595791319874</v>
      </c>
      <c r="EW181" s="21">
        <f>EXP(-LN(2)/25)*EW180+(1-EXP(-LN(2)/25))/(LN(2)/25)*Calculateur!ER181*Calculateur!ET181*VLOOKUP('Données projet'!$B$15,Paramètres!$A$1:$I$89,3,0)*0.475*44/12</f>
        <v>0.25537049953073188</v>
      </c>
      <c r="EX181" s="21">
        <f>EXP(-LN(2)/2)*EX180+(1-EXP(-LN(2)/2))/(LN(2)/2)*ER181*EU181*VLOOKUP('Données projet'!$B$15,Paramètres!$A$1:$I$89,3,0)*0.475*44/12</f>
        <v>5.7714176864795673E-22</v>
      </c>
      <c r="EY181" s="22">
        <f t="shared" si="181"/>
        <v>0.94593007866271928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>
        <f>FE181*VLOOKUP('Données projet'!$B$16,Paramètres!$A$1:$I$89,3,0)*VLOOKUP('Données projet'!$B$16,Paramètres!$A$1:$I$89,5,0)</f>
        <v>0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356.65981389369125</v>
      </c>
      <c r="FK181" s="59">
        <f t="shared" si="156"/>
        <v>231.92898690465887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0.43690144434894929</v>
      </c>
      <c r="FR181" s="21">
        <f>EXP(-LN(2)/25)*FR180+(1-EXP(-LN(2)/25))/(LN(2)/25)*Calculateur!FM181*Calculateur!FO181*VLOOKUP('Données projet'!$B$16,Paramètres!$A$1:$I$89,3,0)*0.475*44/12</f>
        <v>0.17333438530628939</v>
      </c>
      <c r="FS181" s="21">
        <f>EXP(-LN(2)/2)*FS180+(1-EXP(-LN(2)/2))/(LN(2)/2)*FM181*FP181*VLOOKUP('Données projet'!$B$16,Paramètres!$A$1:$I$89,3,0)*0.475*44/12</f>
        <v>5.0636151525912711E-22</v>
      </c>
      <c r="FT181" s="22">
        <f t="shared" si="184"/>
        <v>0.6102358296552387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>
        <f>FZ181*VLOOKUP('Données projet'!$B$17,Paramètres!$A$1:$I$89,3,0)*VLOOKUP('Données projet'!$B$17,Paramètres!$A$1:$I$89,5,0)</f>
        <v>0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337.76140497227715</v>
      </c>
      <c r="GF181" s="59">
        <f t="shared" si="158"/>
        <v>219.76562717496353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0.41673676230207451</v>
      </c>
      <c r="GM181" s="21">
        <f>EXP(-LN(2)/25)*GM180+(1-EXP(-LN(2)/25))/(LN(2)/25)*Calculateur!GH181*Calculateur!GJ181*VLOOKUP('Données projet'!$B$17,Paramètres!$A$1:$I$89,3,0)*0.475*44/12</f>
        <v>0.1653343367536915</v>
      </c>
      <c r="GN181" s="21">
        <f>EXP(-LN(2)/2)*GN180+(1-EXP(-LN(2)/2))/(LN(2)/2)*GH181*GK181*VLOOKUP('Données projet'!$B$17,Paramètres!$A$1:$I$89,3,0)*0.475*44/12</f>
        <v>4.8299098378562905E-22</v>
      </c>
      <c r="GO181" s="21">
        <f t="shared" si="187"/>
        <v>0.58207109905576604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312.53389584272878</v>
      </c>
      <c r="T182" s="59">
        <f t="shared" si="142"/>
        <v>203.5274665601915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0.38220578866942134</v>
      </c>
      <c r="AA182" s="21">
        <f>EXP(-LN(2)/25)*AA181+(1-EXP(-LN(2)/25))/(LN(2)/25)*Calculateur!V182*Calculateur!X182*VLOOKUP('Données projet'!$B$9,Paramètres!$A$1:$I$89,3,0)*0.475*44/12</f>
        <v>0.15043821154830928</v>
      </c>
      <c r="AB182" s="21">
        <f>EXP(-LN(2)/2)*AB181+(1-EXP(-LN(2)/2))/(LN(2)/2)*V182*Y182*VLOOKUP('Données projet'!$B$9,Paramètres!$A$1:$I$89,3,0)*0.475*44/12</f>
        <v>3.1949225150698777E-22</v>
      </c>
      <c r="AC182" s="22">
        <f t="shared" si="163"/>
        <v>0.53264400021773062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5.6843418860808015E-14</v>
      </c>
      <c r="AJ182" s="13">
        <f>AI182*VLOOKUP('Données projet'!$B$10,Paramètres!$A$1:$I$89,3,0)*VLOOKUP('Données projet'!$B$10,Paramètres!$A$1:$I$89,5,0)</f>
        <v>4.9658410716801891E-14</v>
      </c>
      <c r="AK182" s="13">
        <f t="shared" si="164"/>
        <v>8.0934058173791862E-13</v>
      </c>
      <c r="AL182" s="20">
        <f t="shared" si="165"/>
        <v>1.4960899118586383E-12</v>
      </c>
      <c r="AM182" s="59">
        <f t="shared" si="113"/>
        <v>293.33333333333479</v>
      </c>
      <c r="AN182" s="59">
        <f ca="1">AVERAGE(OFFSET($AM$3,0,0,'Données projet'!$E$10+1,1))-AVERAGE(OFFSET($H$3,0,0,'Données projet'!$E$10+1,1))</f>
        <v>243.05628303465238</v>
      </c>
      <c r="AO182" s="59">
        <f t="shared" si="144"/>
        <v>352.47096767658394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0.4128720702741015</v>
      </c>
      <c r="AV182" s="21">
        <f>EXP(-LN(2)/25)*AV181+(1-EXP(-LN(2)/25))/(LN(2)/25)*Calculateur!AQ182*Calculateur!AS182*VLOOKUP('Données projet'!$B$10,Paramètres!$A$1:$I$89,3,0)*0.475*44/12</f>
        <v>0.29105383232995224</v>
      </c>
      <c r="AW182" s="21">
        <f>EXP(-LN(2)/2)*AW181+(1-EXP(-LN(2)/2))/(LN(2)/2)*AQ182*AT182*VLOOKUP('Données projet'!$B$10,Paramètres!$A$1:$I$89,3,0)*0.475*44/12</f>
        <v>4.2199889115549539E-22</v>
      </c>
      <c r="AX182" s="21">
        <f t="shared" si="166"/>
        <v>0.70392590260405374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-2.8421709430404007E-13</v>
      </c>
      <c r="BE182" s="13">
        <f>BD182*VLOOKUP('Données projet'!$B$11,Paramètres!$A$1:$I$89,3,0)*VLOOKUP('Données projet'!$B$11,Paramètres!$A$1:$I$89,5,0)</f>
        <v>-2.2612312022829427E-13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325.72928944930294</v>
      </c>
      <c r="BJ182" s="59">
        <f t="shared" si="146"/>
        <v>318.38876834819752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0.90548243307291054</v>
      </c>
      <c r="BQ182" s="21">
        <f>EXP(-LN(2)/25)*BQ181+(1-EXP(-LN(2)/25))/(LN(2)/25)*Calculateur!BL182*Calculateur!BN182*VLOOKUP('Données projet'!$B$11,Paramètres!$A$1:$I$89,3,0)*0.475*44/12</f>
        <v>0.33220736644087134</v>
      </c>
      <c r="BR182" s="21">
        <f>EXP(-LN(2)/2)*BR181+(1-EXP(-LN(2)/2))/(LN(2)/2)*BL182*BO182*VLOOKUP('Données projet'!$B$11,Paramètres!$A$1:$I$89,3,0)*0.475*44/12</f>
        <v>4.428328462588363E-22</v>
      </c>
      <c r="BS182" s="22">
        <f t="shared" si="169"/>
        <v>1.2376897995137819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-3.4106051316484809E-13</v>
      </c>
      <c r="BZ182" s="13">
        <f>BY182*VLOOKUP('Données projet'!$B$12,Paramètres!$A$1:$I$89,3,0)*VLOOKUP('Données projet'!$B$12,Paramètres!$A$1:$I$89,5,0)</f>
        <v>-1.9065282685915009E-13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475.54809021014017</v>
      </c>
      <c r="CE182" s="59">
        <f t="shared" si="148"/>
        <v>593.51433014569966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0.38392612284255073</v>
      </c>
      <c r="CL182" s="21">
        <f>EXP(-LN(2)/25)*CL181+(1-EXP(-LN(2)/25))/(LN(2)/25)*Calculateur!CG182*Calculateur!CI182*VLOOKUP('Données projet'!$B$12,Paramètres!$A$1:$I$89,3,0)*0.475*44/12</f>
        <v>0.68453462893500783</v>
      </c>
      <c r="CM182" s="21">
        <f>EXP(-LN(2)/2)*CM181+(1-EXP(-LN(2)/2))/(LN(2)/2)*CG182*CJ182*VLOOKUP('Données projet'!$B$12,Paramètres!$A$1:$I$89,3,0)*0.475*44/12</f>
        <v>5.3972069635476468E-22</v>
      </c>
      <c r="CN182" s="22">
        <f t="shared" si="172"/>
        <v>1.0684607517775586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-1.1368683772161603E-13</v>
      </c>
      <c r="CU182" s="17">
        <f>CT182*VLOOKUP('Données projet'!$B$13,Paramètres!$A$1:$I$89,3,0)*VLOOKUP('Données projet'!$B$13,Paramètres!$A$1:$I$89,5,0)</f>
        <v>-5.3205440053716299E-14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226.0452828290525</v>
      </c>
      <c r="CZ182" s="59">
        <f t="shared" si="150"/>
        <v>179.89696397462069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0.47465142479862416</v>
      </c>
      <c r="DG182" s="21">
        <f>EXP(-LN(2)/25)*DG181+(1-EXP(-LN(2)/25))/(LN(2)/25)*Calculateur!DB182*Calculateur!DD182*VLOOKUP('Données projet'!$B$13,Paramètres!$A$1:$I$89,3,0)*0.475*44/12</f>
        <v>0.17913791406637888</v>
      </c>
      <c r="DH182" s="21">
        <f>EXP(-LN(2)/2)*DH181+(1-EXP(-LN(2)/2))/(LN(2)/2)*DB182*DE182*VLOOKUP('Données projet'!$B$13,Paramètres!$A$1:$I$89,3,0)*0.475*44/12</f>
        <v>4.1338760861369996E-22</v>
      </c>
      <c r="DI182" s="22">
        <f t="shared" si="175"/>
        <v>0.65378933886500301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1.1368683772161603E-13</v>
      </c>
      <c r="DP182" s="17">
        <f>DO182*VLOOKUP('Données projet'!$B$14,Paramètres!$A$1:$I$89,3,0)*VLOOKUP('Données projet'!$B$14,Paramètres!$A$1:$I$89,5,0)</f>
        <v>6.7984728957526396E-14</v>
      </c>
      <c r="DQ182" s="13">
        <f t="shared" si="176"/>
        <v>1.0682447123141398E-12</v>
      </c>
      <c r="DR182" s="20">
        <f t="shared" si="177"/>
        <v>1.978932943548152E-12</v>
      </c>
      <c r="DS182" s="59">
        <f t="shared" si="125"/>
        <v>293.3333333333353</v>
      </c>
      <c r="DT182" s="59">
        <f ca="1">AVERAGE(OFFSET($DS$3,0,0,'Données projet'!$E$14+1,1))-AVERAGE(OFFSET($H$3,0,0,'Données projet'!$E$14+1,1))</f>
        <v>252.81045065813976</v>
      </c>
      <c r="DU182" s="59">
        <f t="shared" si="152"/>
        <v>254.36590349790589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0.94418526808946512</v>
      </c>
      <c r="EB182" s="21">
        <f>EXP(-LN(2)/25)*EB181+(1-EXP(-LN(2)/25))/(LN(2)/25)*Calculateur!DW182*Calculateur!DY182*VLOOKUP('Données projet'!$B$14,Paramètres!$A$1:$I$89,3,0)*0.475*44/12</f>
        <v>0.25905283109715677</v>
      </c>
      <c r="EC182" s="21">
        <f>EXP(-LN(2)/2)*EC181+(1-EXP(-LN(2)/2))/(LN(2)/2)*DW182*DZ182*VLOOKUP('Données projet'!$B$14,Paramètres!$A$1:$I$89,3,0)*0.475*44/12</f>
        <v>2.1492250501811893E-22</v>
      </c>
      <c r="ED182" s="22">
        <f t="shared" si="178"/>
        <v>1.2032380991866218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-2.8421709430404007E-13</v>
      </c>
      <c r="EK182" s="17">
        <f>EJ182*VLOOKUP('Données projet'!$B$15,Paramètres!$A$1:$I$89,3,0)*VLOOKUP('Données projet'!$B$15,Paramètres!$A$1:$I$89,5,0)</f>
        <v>-2.0838797354372215E-13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296.91321813251051</v>
      </c>
      <c r="EP182" s="59">
        <f t="shared" si="154"/>
        <v>291.0718079639509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0.67701812698496233</v>
      </c>
      <c r="EW182" s="21">
        <f>EXP(-LN(2)/25)*EW181+(1-EXP(-LN(2)/25))/(LN(2)/25)*Calculateur!ER182*Calculateur!ET182*VLOOKUP('Données projet'!$B$15,Paramètres!$A$1:$I$89,3,0)*0.475*44/12</f>
        <v>0.2483873797917131</v>
      </c>
      <c r="EX182" s="21">
        <f>EXP(-LN(2)/2)*EX181+(1-EXP(-LN(2)/2))/(LN(2)/2)*ER182*EU182*VLOOKUP('Données projet'!$B$15,Paramètres!$A$1:$I$89,3,0)*0.475*44/12</f>
        <v>4.0810085831696778E-22</v>
      </c>
      <c r="EY182" s="22">
        <f t="shared" si="181"/>
        <v>0.92540550677667543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>
        <f>FE182*VLOOKUP('Données projet'!$B$16,Paramètres!$A$1:$I$89,3,0)*VLOOKUP('Données projet'!$B$16,Paramètres!$A$1:$I$89,5,0)</f>
        <v>0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356.65981389369125</v>
      </c>
      <c r="FK182" s="59">
        <f t="shared" si="156"/>
        <v>231.92898690465887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0.4283340735088344</v>
      </c>
      <c r="FR182" s="21">
        <f>EXP(-LN(2)/25)*FR181+(1-EXP(-LN(2)/25))/(LN(2)/25)*Calculateur!FM182*Calculateur!FO182*VLOOKUP('Données projet'!$B$16,Paramètres!$A$1:$I$89,3,0)*0.475*44/12</f>
        <v>0.16859454742482974</v>
      </c>
      <c r="FS182" s="21">
        <f>EXP(-LN(2)/2)*FS181+(1-EXP(-LN(2)/2))/(LN(2)/2)*FM182*FP182*VLOOKUP('Données projet'!$B$16,Paramètres!$A$1:$I$89,3,0)*0.475*44/12</f>
        <v>3.5805166117162424E-22</v>
      </c>
      <c r="FT182" s="22">
        <f t="shared" si="184"/>
        <v>0.59692862093366417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>
        <f>FZ182*VLOOKUP('Données projet'!$B$17,Paramètres!$A$1:$I$89,3,0)*VLOOKUP('Données projet'!$B$17,Paramètres!$A$1:$I$89,5,0)</f>
        <v>0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337.76140497227715</v>
      </c>
      <c r="GF182" s="59">
        <f t="shared" si="158"/>
        <v>219.76562717496353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0.4085648085776572</v>
      </c>
      <c r="GM182" s="21">
        <f>EXP(-LN(2)/25)*GM181+(1-EXP(-LN(2)/25))/(LN(2)/25)*Calculateur!GH182*Calculateur!GJ182*VLOOKUP('Données projet'!$B$17,Paramètres!$A$1:$I$89,3,0)*0.475*44/12</f>
        <v>0.16081326062060691</v>
      </c>
      <c r="GN182" s="21">
        <f>EXP(-LN(2)/2)*GN181+(1-EXP(-LN(2)/2))/(LN(2)/2)*GH182*GK182*VLOOKUP('Données projet'!$B$17,Paramètres!$A$1:$I$89,3,0)*0.475*44/12</f>
        <v>3.4152619988678013E-22</v>
      </c>
      <c r="GO182" s="21">
        <f t="shared" si="187"/>
        <v>0.56937806919826417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312.53389584272878</v>
      </c>
      <c r="T183" s="59">
        <f t="shared" si="142"/>
        <v>203.5274665601915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0.37471096627612616</v>
      </c>
      <c r="AA183" s="21">
        <f>EXP(-LN(2)/25)*AA182+(1-EXP(-LN(2)/25))/(LN(2)/25)*Calculateur!V183*Calculateur!X183*VLOOKUP('Données projet'!$B$9,Paramètres!$A$1:$I$89,3,0)*0.475*44/12</f>
        <v>0.14632447074231905</v>
      </c>
      <c r="AB183" s="21">
        <f>EXP(-LN(2)/2)*AB182+(1-EXP(-LN(2)/2))/(LN(2)/2)*V183*Y183*VLOOKUP('Données projet'!$B$9,Paramètres!$A$1:$I$89,3,0)*0.475*44/12</f>
        <v>2.2591513757714901E-22</v>
      </c>
      <c r="AC183" s="22">
        <f t="shared" si="163"/>
        <v>0.52103543701844524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5.6843418860808015E-14</v>
      </c>
      <c r="AJ183" s="13">
        <f>AI183*VLOOKUP('Données projet'!$B$10,Paramètres!$A$1:$I$89,3,0)*VLOOKUP('Données projet'!$B$10,Paramètres!$A$1:$I$89,5,0)</f>
        <v>4.9658410716801891E-14</v>
      </c>
      <c r="AK183" s="13">
        <f t="shared" si="164"/>
        <v>8.0934058173791862E-13</v>
      </c>
      <c r="AL183" s="20">
        <f t="shared" si="165"/>
        <v>1.4960899118586383E-12</v>
      </c>
      <c r="AM183" s="59">
        <f t="shared" si="113"/>
        <v>293.33333333333479</v>
      </c>
      <c r="AN183" s="59">
        <f ca="1">AVERAGE(OFFSET($AM$3,0,0,'Données projet'!$E$10+1,1))-AVERAGE(OFFSET($H$3,0,0,'Données projet'!$E$10+1,1))</f>
        <v>243.05628303465238</v>
      </c>
      <c r="AO183" s="59">
        <f t="shared" si="144"/>
        <v>352.47096767658394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0.40477590080312337</v>
      </c>
      <c r="AV183" s="21">
        <f>EXP(-LN(2)/25)*AV182+(1-EXP(-LN(2)/25))/(LN(2)/25)*Calculateur!AQ183*Calculateur!AS183*VLOOKUP('Données projet'!$B$10,Paramètres!$A$1:$I$89,3,0)*0.475*44/12</f>
        <v>0.28309494997903389</v>
      </c>
      <c r="AW183" s="21">
        <f>EXP(-LN(2)/2)*AW182+(1-EXP(-LN(2)/2))/(LN(2)/2)*AQ183*AT183*VLOOKUP('Données projet'!$B$10,Paramètres!$A$1:$I$89,3,0)*0.475*44/12</f>
        <v>2.983982775892546E-22</v>
      </c>
      <c r="AX183" s="21">
        <f t="shared" si="166"/>
        <v>0.68787085078215726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-2.8421709430404007E-13</v>
      </c>
      <c r="BE183" s="13">
        <f>BD183*VLOOKUP('Données projet'!$B$11,Paramètres!$A$1:$I$89,3,0)*VLOOKUP('Données projet'!$B$11,Paramètres!$A$1:$I$89,5,0)</f>
        <v>-2.2612312022829427E-13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325.72928944930294</v>
      </c>
      <c r="BJ183" s="59">
        <f t="shared" si="146"/>
        <v>318.38876834819752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0.88772647485010081</v>
      </c>
      <c r="BQ183" s="21">
        <f>EXP(-LN(2)/25)*BQ182+(1-EXP(-LN(2)/25))/(LN(2)/25)*Calculateur!BL183*Calculateur!BN183*VLOOKUP('Données projet'!$B$11,Paramètres!$A$1:$I$89,3,0)*0.475*44/12</f>
        <v>0.32312313853551961</v>
      </c>
      <c r="BR183" s="21">
        <f>EXP(-LN(2)/2)*BR182+(1-EXP(-LN(2)/2))/(LN(2)/2)*BL183*BO183*VLOOKUP('Données projet'!$B$11,Paramètres!$A$1:$I$89,3,0)*0.475*44/12</f>
        <v>3.1313010852176301E-22</v>
      </c>
      <c r="BS183" s="22">
        <f t="shared" si="169"/>
        <v>1.2108496133856204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-3.4106051316484809E-13</v>
      </c>
      <c r="BZ183" s="13">
        <f>BY183*VLOOKUP('Données projet'!$B$12,Paramètres!$A$1:$I$89,3,0)*VLOOKUP('Données projet'!$B$12,Paramètres!$A$1:$I$89,5,0)</f>
        <v>-1.9065282685915009E-13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475.54809021014017</v>
      </c>
      <c r="CE183" s="59">
        <f t="shared" si="148"/>
        <v>593.51433014569966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0.37639756574542071</v>
      </c>
      <c r="CL183" s="21">
        <f>EXP(-LN(2)/25)*CL182+(1-EXP(-LN(2)/25))/(LN(2)/25)*Calculateur!CG183*Calculateur!CI183*VLOOKUP('Données projet'!$B$12,Paramètres!$A$1:$I$89,3,0)*0.475*44/12</f>
        <v>0.66581599350866838</v>
      </c>
      <c r="CM183" s="21">
        <f>EXP(-LN(2)/2)*CM182+(1-EXP(-LN(2)/2))/(LN(2)/2)*CG183*CJ183*VLOOKUP('Données projet'!$B$12,Paramètres!$A$1:$I$89,3,0)*0.475*44/12</f>
        <v>3.8164016433917965E-22</v>
      </c>
      <c r="CN183" s="22">
        <f t="shared" si="172"/>
        <v>1.0422135592540891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-1.1368683772161603E-13</v>
      </c>
      <c r="CU183" s="17">
        <f>CT183*VLOOKUP('Données projet'!$B$13,Paramètres!$A$1:$I$89,3,0)*VLOOKUP('Données projet'!$B$13,Paramètres!$A$1:$I$89,5,0)</f>
        <v>-5.3205440053716299E-14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226.0452828290525</v>
      </c>
      <c r="CZ183" s="59">
        <f t="shared" si="150"/>
        <v>179.89696397462069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0.46534379986710567</v>
      </c>
      <c r="DG183" s="21">
        <f>EXP(-LN(2)/25)*DG182+(1-EXP(-LN(2)/25))/(LN(2)/25)*Calculateur!DB183*Calculateur!DD183*VLOOKUP('Données projet'!$B$13,Paramètres!$A$1:$I$89,3,0)*0.475*44/12</f>
        <v>0.17423937838578027</v>
      </c>
      <c r="DH183" s="21">
        <f>EXP(-LN(2)/2)*DH182+(1-EXP(-LN(2)/2))/(LN(2)/2)*DB183*DE183*VLOOKUP('Données projet'!$B$13,Paramètres!$A$1:$I$89,3,0)*0.475*44/12</f>
        <v>2.923091813092377E-22</v>
      </c>
      <c r="DI183" s="22">
        <f t="shared" si="175"/>
        <v>0.63958317825288591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1.1368683772161603E-13</v>
      </c>
      <c r="DP183" s="17">
        <f>DO183*VLOOKUP('Données projet'!$B$14,Paramètres!$A$1:$I$89,3,0)*VLOOKUP('Données projet'!$B$14,Paramètres!$A$1:$I$89,5,0)</f>
        <v>6.7984728957526396E-14</v>
      </c>
      <c r="DQ183" s="13">
        <f t="shared" si="176"/>
        <v>1.0682447123141398E-12</v>
      </c>
      <c r="DR183" s="20">
        <f t="shared" si="177"/>
        <v>1.978932943548152E-12</v>
      </c>
      <c r="DS183" s="59">
        <f t="shared" si="125"/>
        <v>293.3333333333353</v>
      </c>
      <c r="DT183" s="59">
        <f ca="1">AVERAGE(OFFSET($DS$3,0,0,'Données projet'!$E$14+1,1))-AVERAGE(OFFSET($H$3,0,0,'Données projet'!$E$14+1,1))</f>
        <v>252.81045065813976</v>
      </c>
      <c r="DU183" s="59">
        <f t="shared" si="152"/>
        <v>254.36590349790589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0.92567037087837922</v>
      </c>
      <c r="EB183" s="21">
        <f>EXP(-LN(2)/25)*EB182+(1-EXP(-LN(2)/25))/(LN(2)/25)*Calculateur!DW183*Calculateur!DY183*VLOOKUP('Données projet'!$B$14,Paramètres!$A$1:$I$89,3,0)*0.475*44/12</f>
        <v>0.25196901780780873</v>
      </c>
      <c r="EC183" s="21">
        <f>EXP(-LN(2)/2)*EC182+(1-EXP(-LN(2)/2))/(LN(2)/2)*DW183*DZ183*VLOOKUP('Données projet'!$B$14,Paramètres!$A$1:$I$89,3,0)*0.475*44/12</f>
        <v>1.5197316072791169E-22</v>
      </c>
      <c r="ED183" s="22">
        <f t="shared" si="178"/>
        <v>1.177639388686188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-2.8421709430404007E-13</v>
      </c>
      <c r="EK183" s="17">
        <f>EJ183*VLOOKUP('Données projet'!$B$15,Paramètres!$A$1:$I$89,3,0)*VLOOKUP('Données projet'!$B$15,Paramètres!$A$1:$I$89,5,0)</f>
        <v>-2.0838797354372215E-13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296.91321813251051</v>
      </c>
      <c r="EP183" s="59">
        <f t="shared" si="154"/>
        <v>291.0718079639509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0.6637422144550702</v>
      </c>
      <c r="EW183" s="21">
        <f>EXP(-LN(2)/25)*EW182+(1-EXP(-LN(2)/25))/(LN(2)/25)*Calculateur!ER183*Calculateur!ET183*VLOOKUP('Données projet'!$B$15,Paramètres!$A$1:$I$89,3,0)*0.475*44/12</f>
        <v>0.24159521382918411</v>
      </c>
      <c r="EX183" s="21">
        <f>EXP(-LN(2)/2)*EX182+(1-EXP(-LN(2)/2))/(LN(2)/2)*ER183*EU183*VLOOKUP('Données projet'!$B$15,Paramètres!$A$1:$I$89,3,0)*0.475*44/12</f>
        <v>2.8857088432397837E-22</v>
      </c>
      <c r="EY183" s="22">
        <f t="shared" si="181"/>
        <v>0.90533742828425434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>
        <f>FE183*VLOOKUP('Données projet'!$B$16,Paramètres!$A$1:$I$89,3,0)*VLOOKUP('Données projet'!$B$16,Paramètres!$A$1:$I$89,5,0)</f>
        <v>0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356.65981389369125</v>
      </c>
      <c r="FK183" s="59">
        <f t="shared" si="156"/>
        <v>231.92898690465887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0.41993470358531393</v>
      </c>
      <c r="FR183" s="21">
        <f>EXP(-LN(2)/25)*FR182+(1-EXP(-LN(2)/25))/(LN(2)/25)*Calculateur!FM183*Calculateur!FO183*VLOOKUP('Données projet'!$B$16,Paramètres!$A$1:$I$89,3,0)*0.475*44/12</f>
        <v>0.16398432065949584</v>
      </c>
      <c r="FS183" s="21">
        <f>EXP(-LN(2)/2)*FS182+(1-EXP(-LN(2)/2))/(LN(2)/2)*FM183*FP183*VLOOKUP('Données projet'!$B$16,Paramètres!$A$1:$I$89,3,0)*0.475*44/12</f>
        <v>2.5318075762956356E-22</v>
      </c>
      <c r="FT183" s="22">
        <f t="shared" si="184"/>
        <v>0.58391902424480979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>
        <f>FZ183*VLOOKUP('Données projet'!$B$17,Paramètres!$A$1:$I$89,3,0)*VLOOKUP('Données projet'!$B$17,Paramètres!$A$1:$I$89,5,0)</f>
        <v>0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337.76140497227715</v>
      </c>
      <c r="GF183" s="59">
        <f t="shared" si="158"/>
        <v>219.76562717496353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0.40055310188137611</v>
      </c>
      <c r="GM183" s="21">
        <f>EXP(-LN(2)/25)*GM182+(1-EXP(-LN(2)/25))/(LN(2)/25)*Calculateur!GH183*Calculateur!GJ183*VLOOKUP('Données projet'!$B$17,Paramètres!$A$1:$I$89,3,0)*0.475*44/12</f>
        <v>0.15641581355213457</v>
      </c>
      <c r="GN183" s="21">
        <f>EXP(-LN(2)/2)*GN182+(1-EXP(-LN(2)/2))/(LN(2)/2)*GH183*GK183*VLOOKUP('Données projet'!$B$17,Paramètres!$A$1:$I$89,3,0)*0.475*44/12</f>
        <v>2.4149549189281452E-22</v>
      </c>
      <c r="GO183" s="21">
        <f t="shared" si="187"/>
        <v>0.55696891543351068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312.53389584272878</v>
      </c>
      <c r="T184" s="59">
        <f t="shared" si="142"/>
        <v>203.5274665601915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0.3673631127785732</v>
      </c>
      <c r="AA184" s="21">
        <f>EXP(-LN(2)/25)*AA183+(1-EXP(-LN(2)/25))/(LN(2)/25)*Calculateur!V184*Calculateur!X184*VLOOKUP('Données projet'!$B$9,Paramètres!$A$1:$I$89,3,0)*0.475*44/12</f>
        <v>0.14232322039500084</v>
      </c>
      <c r="AB184" s="21">
        <f>EXP(-LN(2)/2)*AB183+(1-EXP(-LN(2)/2))/(LN(2)/2)*V184*Y184*VLOOKUP('Données projet'!$B$9,Paramètres!$A$1:$I$89,3,0)*0.475*44/12</f>
        <v>1.5974612575349389E-22</v>
      </c>
      <c r="AC184" s="22">
        <f t="shared" si="163"/>
        <v>0.50968633317357404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5.6843418860808015E-14</v>
      </c>
      <c r="AJ184" s="13">
        <f>AI184*VLOOKUP('Données projet'!$B$10,Paramètres!$A$1:$I$89,3,0)*VLOOKUP('Données projet'!$B$10,Paramètres!$A$1:$I$89,5,0)</f>
        <v>4.9658410716801891E-14</v>
      </c>
      <c r="AK184" s="13">
        <f t="shared" si="164"/>
        <v>8.0934058173791862E-13</v>
      </c>
      <c r="AL184" s="20">
        <f t="shared" si="165"/>
        <v>1.4960899118586383E-12</v>
      </c>
      <c r="AM184" s="59">
        <f t="shared" si="113"/>
        <v>293.33333333333479</v>
      </c>
      <c r="AN184" s="59">
        <f ca="1">AVERAGE(OFFSET($AM$3,0,0,'Données projet'!$E$10+1,1))-AVERAGE(OFFSET($H$3,0,0,'Données projet'!$E$10+1,1))</f>
        <v>243.05628303465238</v>
      </c>
      <c r="AO184" s="59">
        <f t="shared" si="144"/>
        <v>352.47096767658394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0.39683849227729534</v>
      </c>
      <c r="AV184" s="21">
        <f>EXP(-LN(2)/25)*AV183+(1-EXP(-LN(2)/25))/(LN(2)/25)*Calculateur!AQ184*Calculateur!AS184*VLOOKUP('Données projet'!$B$10,Paramètres!$A$1:$I$89,3,0)*0.475*44/12</f>
        <v>0.27535370368454082</v>
      </c>
      <c r="AW184" s="21">
        <f>EXP(-LN(2)/2)*AW183+(1-EXP(-LN(2)/2))/(LN(2)/2)*AQ184*AT184*VLOOKUP('Données projet'!$B$10,Paramètres!$A$1:$I$89,3,0)*0.475*44/12</f>
        <v>2.1099944557774774E-22</v>
      </c>
      <c r="AX184" s="21">
        <f t="shared" si="166"/>
        <v>0.67219219596183621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-2.8421709430404007E-13</v>
      </c>
      <c r="BE184" s="13">
        <f>BD184*VLOOKUP('Données projet'!$B$11,Paramètres!$A$1:$I$89,3,0)*VLOOKUP('Données projet'!$B$11,Paramètres!$A$1:$I$89,5,0)</f>
        <v>-2.2612312022829427E-13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325.72928944930294</v>
      </c>
      <c r="BJ184" s="59">
        <f t="shared" si="146"/>
        <v>318.38876834819752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0.8703187001379753</v>
      </c>
      <c r="BQ184" s="21">
        <f>EXP(-LN(2)/25)*BQ183+(1-EXP(-LN(2)/25))/(LN(2)/25)*Calculateur!BL184*Calculateur!BN184*VLOOKUP('Données projet'!$B$11,Paramètres!$A$1:$I$89,3,0)*0.475*44/12</f>
        <v>0.31428731931995846</v>
      </c>
      <c r="BR184" s="21">
        <f>EXP(-LN(2)/2)*BR183+(1-EXP(-LN(2)/2))/(LN(2)/2)*BL184*BO184*VLOOKUP('Données projet'!$B$11,Paramètres!$A$1:$I$89,3,0)*0.475*44/12</f>
        <v>2.2141642312941815E-22</v>
      </c>
      <c r="BS184" s="22">
        <f t="shared" si="169"/>
        <v>1.1846060194579338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-3.4106051316484809E-13</v>
      </c>
      <c r="BZ184" s="13">
        <f>BY184*VLOOKUP('Données projet'!$B$12,Paramètres!$A$1:$I$89,3,0)*VLOOKUP('Données projet'!$B$12,Paramètres!$A$1:$I$89,5,0)</f>
        <v>-1.9065282685915009E-13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475.54809021014017</v>
      </c>
      <c r="CE184" s="59">
        <f t="shared" si="148"/>
        <v>593.51433014569966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0.36901663906099902</v>
      </c>
      <c r="CL184" s="21">
        <f>EXP(-LN(2)/25)*CL183+(1-EXP(-LN(2)/25))/(LN(2)/25)*Calculateur!CG184*Calculateur!CI184*VLOOKUP('Données projet'!$B$12,Paramètres!$A$1:$I$89,3,0)*0.475*44/12</f>
        <v>0.6476092201524325</v>
      </c>
      <c r="CM184" s="21">
        <f>EXP(-LN(2)/2)*CM183+(1-EXP(-LN(2)/2))/(LN(2)/2)*CG184*CJ184*VLOOKUP('Données projet'!$B$12,Paramètres!$A$1:$I$89,3,0)*0.475*44/12</f>
        <v>2.6986034817738234E-22</v>
      </c>
      <c r="CN184" s="22">
        <f t="shared" si="172"/>
        <v>1.0166258592134314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-1.1368683772161603E-13</v>
      </c>
      <c r="CU184" s="17">
        <f>CT184*VLOOKUP('Données projet'!$B$13,Paramètres!$A$1:$I$89,3,0)*VLOOKUP('Données projet'!$B$13,Paramètres!$A$1:$I$89,5,0)</f>
        <v>-5.3205440053716299E-14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226.0452828290525</v>
      </c>
      <c r="CZ184" s="59">
        <f t="shared" si="150"/>
        <v>179.89696397462069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0.45621869178340357</v>
      </c>
      <c r="DG184" s="21">
        <f>EXP(-LN(2)/25)*DG183+(1-EXP(-LN(2)/25))/(LN(2)/25)*Calculateur!DB184*Calculateur!DD184*VLOOKUP('Données projet'!$B$13,Paramètres!$A$1:$I$89,3,0)*0.475*44/12</f>
        <v>0.16947479342097044</v>
      </c>
      <c r="DH184" s="21">
        <f>EXP(-LN(2)/2)*DH183+(1-EXP(-LN(2)/2))/(LN(2)/2)*DB184*DE184*VLOOKUP('Données projet'!$B$13,Paramètres!$A$1:$I$89,3,0)*0.475*44/12</f>
        <v>2.0669380430685E-22</v>
      </c>
      <c r="DI184" s="22">
        <f t="shared" si="175"/>
        <v>0.62569348520437407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1.1368683772161603E-13</v>
      </c>
      <c r="DP184" s="17">
        <f>DO184*VLOOKUP('Données projet'!$B$14,Paramètres!$A$1:$I$89,3,0)*VLOOKUP('Données projet'!$B$14,Paramètres!$A$1:$I$89,5,0)</f>
        <v>6.7984728957526396E-14</v>
      </c>
      <c r="DQ184" s="13">
        <f t="shared" si="176"/>
        <v>1.0682447123141398E-12</v>
      </c>
      <c r="DR184" s="20">
        <f t="shared" si="177"/>
        <v>1.978932943548152E-12</v>
      </c>
      <c r="DS184" s="59">
        <f t="shared" si="125"/>
        <v>293.3333333333353</v>
      </c>
      <c r="DT184" s="59">
        <f ca="1">AVERAGE(OFFSET($DS$3,0,0,'Données projet'!$E$14+1,1))-AVERAGE(OFFSET($H$3,0,0,'Données projet'!$E$14+1,1))</f>
        <v>252.81045065813976</v>
      </c>
      <c r="DU184" s="59">
        <f t="shared" si="152"/>
        <v>254.36590349790589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0.90751853950863048</v>
      </c>
      <c r="EB184" s="21">
        <f>EXP(-LN(2)/25)*EB183+(1-EXP(-LN(2)/25))/(LN(2)/25)*Calculateur!DW184*Calculateur!DY184*VLOOKUP('Données projet'!$B$14,Paramètres!$A$1:$I$89,3,0)*0.475*44/12</f>
        <v>0.24507891176537944</v>
      </c>
      <c r="EC184" s="21">
        <f>EXP(-LN(2)/2)*EC183+(1-EXP(-LN(2)/2))/(LN(2)/2)*DW184*DZ184*VLOOKUP('Données projet'!$B$14,Paramètres!$A$1:$I$89,3,0)*0.475*44/12</f>
        <v>1.0746125250905947E-22</v>
      </c>
      <c r="ED184" s="22">
        <f t="shared" si="178"/>
        <v>1.1525974512740098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-2.8421709430404007E-13</v>
      </c>
      <c r="EK184" s="17">
        <f>EJ184*VLOOKUP('Données projet'!$B$15,Paramètres!$A$1:$I$89,3,0)*VLOOKUP('Données projet'!$B$15,Paramètres!$A$1:$I$89,5,0)</f>
        <v>-2.0838797354372215E-13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296.91321813251051</v>
      </c>
      <c r="EP184" s="59">
        <f t="shared" si="154"/>
        <v>291.0718079639509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0.65072663447238221</v>
      </c>
      <c r="EW184" s="21">
        <f>EXP(-LN(2)/25)*EW183+(1-EXP(-LN(2)/25))/(LN(2)/25)*Calculateur!ER184*Calculateur!ET184*VLOOKUP('Données projet'!$B$15,Paramètres!$A$1:$I$89,3,0)*0.475*44/12</f>
        <v>0.23498878000208495</v>
      </c>
      <c r="EX184" s="21">
        <f>EXP(-LN(2)/2)*EX183+(1-EXP(-LN(2)/2))/(LN(2)/2)*ER184*EU184*VLOOKUP('Données projet'!$B$15,Paramètres!$A$1:$I$89,3,0)*0.475*44/12</f>
        <v>2.0405042915848389E-22</v>
      </c>
      <c r="EY184" s="22">
        <f t="shared" si="181"/>
        <v>0.88571541447446722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>
        <f>FE184*VLOOKUP('Données projet'!$B$16,Paramètres!$A$1:$I$89,3,0)*VLOOKUP('Données projet'!$B$16,Paramètres!$A$1:$I$89,5,0)</f>
        <v>0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356.65981389369125</v>
      </c>
      <c r="FK184" s="59">
        <f t="shared" si="156"/>
        <v>231.92898690465887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0.41170004018288386</v>
      </c>
      <c r="FR184" s="21">
        <f>EXP(-LN(2)/25)*FR183+(1-EXP(-LN(2)/25))/(LN(2)/25)*Calculateur!FM184*Calculateur!FO184*VLOOKUP('Données projet'!$B$16,Paramètres!$A$1:$I$89,3,0)*0.475*44/12</f>
        <v>0.15950016078750129</v>
      </c>
      <c r="FS184" s="21">
        <f>EXP(-LN(2)/2)*FS183+(1-EXP(-LN(2)/2))/(LN(2)/2)*FM184*FP184*VLOOKUP('Données projet'!$B$16,Paramètres!$A$1:$I$89,3,0)*0.475*44/12</f>
        <v>1.7902583058581212E-22</v>
      </c>
      <c r="FT184" s="22">
        <f t="shared" si="184"/>
        <v>0.57120020097038515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>
        <f>FZ184*VLOOKUP('Données projet'!$B$17,Paramètres!$A$1:$I$89,3,0)*VLOOKUP('Données projet'!$B$17,Paramètres!$A$1:$I$89,5,0)</f>
        <v>0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337.76140497227715</v>
      </c>
      <c r="GF184" s="59">
        <f t="shared" si="158"/>
        <v>219.76562717496353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0.39269849986675054</v>
      </c>
      <c r="GM184" s="21">
        <f>EXP(-LN(2)/25)*GM183+(1-EXP(-LN(2)/25))/(LN(2)/25)*Calculateur!GH184*Calculateur!GJ184*VLOOKUP('Données projet'!$B$17,Paramètres!$A$1:$I$89,3,0)*0.475*44/12</f>
        <v>0.1521386149050013</v>
      </c>
      <c r="GN184" s="21">
        <f>EXP(-LN(2)/2)*GN183+(1-EXP(-LN(2)/2))/(LN(2)/2)*GH184*GK184*VLOOKUP('Données projet'!$B$17,Paramètres!$A$1:$I$89,3,0)*0.475*44/12</f>
        <v>1.7076309994339006E-22</v>
      </c>
      <c r="GO184" s="21">
        <f t="shared" si="187"/>
        <v>0.5448371147717519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312.53389584272878</v>
      </c>
      <c r="T185" s="59">
        <f t="shared" si="142"/>
        <v>203.5274665601915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0.36015934620635914</v>
      </c>
      <c r="AA185" s="21">
        <f>EXP(-LN(2)/25)*AA184+(1-EXP(-LN(2)/25))/(LN(2)/25)*Calculateur!V185*Calculateur!X185*VLOOKUP('Données projet'!$B$9,Paramètres!$A$1:$I$89,3,0)*0.475*44/12</f>
        <v>0.13843138444884667</v>
      </c>
      <c r="AB185" s="21">
        <f>EXP(-LN(2)/2)*AB184+(1-EXP(-LN(2)/2))/(LN(2)/2)*V185*Y185*VLOOKUP('Données projet'!$B$9,Paramètres!$A$1:$I$89,3,0)*0.475*44/12</f>
        <v>1.129575687885745E-22</v>
      </c>
      <c r="AC185" s="22">
        <f t="shared" si="163"/>
        <v>0.49859073065520582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5.6843418860808015E-14</v>
      </c>
      <c r="AJ185" s="13">
        <f>AI185*VLOOKUP('Données projet'!$B$10,Paramètres!$A$1:$I$89,3,0)*VLOOKUP('Données projet'!$B$10,Paramètres!$A$1:$I$89,5,0)</f>
        <v>4.9658410716801891E-14</v>
      </c>
      <c r="AK185" s="13">
        <f t="shared" si="164"/>
        <v>8.0934058173791862E-13</v>
      </c>
      <c r="AL185" s="20">
        <f t="shared" si="165"/>
        <v>1.4960899118586383E-12</v>
      </c>
      <c r="AM185" s="59">
        <f t="shared" si="113"/>
        <v>293.33333333333479</v>
      </c>
      <c r="AN185" s="59">
        <f ca="1">AVERAGE(OFFSET($AM$3,0,0,'Données projet'!$E$10+1,1))-AVERAGE(OFFSET($H$3,0,0,'Données projet'!$E$10+1,1))</f>
        <v>243.05628303465238</v>
      </c>
      <c r="AO185" s="59">
        <f t="shared" si="144"/>
        <v>352.47096767658394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0.38905673149131764</v>
      </c>
      <c r="AV185" s="21">
        <f>EXP(-LN(2)/25)*AV184+(1-EXP(-LN(2)/25))/(LN(2)/25)*Calculateur!AQ185*Calculateur!AS185*VLOOKUP('Données projet'!$B$10,Paramètres!$A$1:$I$89,3,0)*0.475*44/12</f>
        <v>0.26782414217706513</v>
      </c>
      <c r="AW185" s="21">
        <f>EXP(-LN(2)/2)*AW184+(1-EXP(-LN(2)/2))/(LN(2)/2)*AQ185*AT185*VLOOKUP('Données projet'!$B$10,Paramètres!$A$1:$I$89,3,0)*0.475*44/12</f>
        <v>1.4919913879462733E-22</v>
      </c>
      <c r="AX185" s="21">
        <f t="shared" si="166"/>
        <v>0.65688087366838277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-2.8421709430404007E-13</v>
      </c>
      <c r="BE185" s="13">
        <f>BD185*VLOOKUP('Données projet'!$B$11,Paramètres!$A$1:$I$89,3,0)*VLOOKUP('Données projet'!$B$11,Paramètres!$A$1:$I$89,5,0)</f>
        <v>-2.2612312022829427E-13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325.72928944930294</v>
      </c>
      <c r="BJ185" s="59">
        <f t="shared" si="146"/>
        <v>318.38876834819752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0.85325228127026043</v>
      </c>
      <c r="BQ185" s="21">
        <f>EXP(-LN(2)/25)*BQ184+(1-EXP(-LN(2)/25))/(LN(2)/25)*Calculateur!BL185*Calculateur!BN185*VLOOKUP('Données projet'!$B$11,Paramètres!$A$1:$I$89,3,0)*0.475*44/12</f>
        <v>0.30569311604550237</v>
      </c>
      <c r="BR185" s="21">
        <f>EXP(-LN(2)/2)*BR184+(1-EXP(-LN(2)/2))/(LN(2)/2)*BL185*BO185*VLOOKUP('Données projet'!$B$11,Paramètres!$A$1:$I$89,3,0)*0.475*44/12</f>
        <v>1.565650542608815E-22</v>
      </c>
      <c r="BS185" s="22">
        <f t="shared" si="169"/>
        <v>1.1589453973157628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-3.4106051316484809E-13</v>
      </c>
      <c r="BZ185" s="13">
        <f>BY185*VLOOKUP('Données projet'!$B$12,Paramètres!$A$1:$I$89,3,0)*VLOOKUP('Données projet'!$B$12,Paramètres!$A$1:$I$89,5,0)</f>
        <v>-1.9065282685915009E-13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475.54809021014017</v>
      </c>
      <c r="CE185" s="59">
        <f t="shared" si="148"/>
        <v>593.51433014569966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0.36178044784693808</v>
      </c>
      <c r="CL185" s="21">
        <f>EXP(-LN(2)/25)*CL184+(1-EXP(-LN(2)/25))/(LN(2)/25)*Calculateur!CG185*Calculateur!CI185*VLOOKUP('Données projet'!$B$12,Paramètres!$A$1:$I$89,3,0)*0.475*44/12</f>
        <v>0.62990031197107543</v>
      </c>
      <c r="CM185" s="21">
        <f>EXP(-LN(2)/2)*CM184+(1-EXP(-LN(2)/2))/(LN(2)/2)*CG185*CJ185*VLOOKUP('Données projet'!$B$12,Paramètres!$A$1:$I$89,3,0)*0.475*44/12</f>
        <v>1.9082008216958982E-22</v>
      </c>
      <c r="CN185" s="22">
        <f t="shared" si="172"/>
        <v>0.99168075981801351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-1.1368683772161603E-13</v>
      </c>
      <c r="CU185" s="17">
        <f>CT185*VLOOKUP('Données projet'!$B$13,Paramètres!$A$1:$I$89,3,0)*VLOOKUP('Données projet'!$B$13,Paramètres!$A$1:$I$89,5,0)</f>
        <v>-5.3205440053716299E-14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226.0452828290525</v>
      </c>
      <c r="CZ185" s="59">
        <f t="shared" si="150"/>
        <v>179.89696397462069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0.44727252150345653</v>
      </c>
      <c r="DG185" s="21">
        <f>EXP(-LN(2)/25)*DG184+(1-EXP(-LN(2)/25))/(LN(2)/25)*Calculateur!DB185*Calculateur!DD185*VLOOKUP('Données projet'!$B$13,Paramètres!$A$1:$I$89,3,0)*0.475*44/12</f>
        <v>0.16484049628258196</v>
      </c>
      <c r="DH185" s="21">
        <f>EXP(-LN(2)/2)*DH184+(1-EXP(-LN(2)/2))/(LN(2)/2)*DB185*DE185*VLOOKUP('Données projet'!$B$13,Paramètres!$A$1:$I$89,3,0)*0.475*44/12</f>
        <v>1.4615459065461888E-22</v>
      </c>
      <c r="DI185" s="22">
        <f t="shared" si="175"/>
        <v>0.61211301778603855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1.1368683772161603E-13</v>
      </c>
      <c r="DP185" s="17">
        <f>DO185*VLOOKUP('Données projet'!$B$14,Paramètres!$A$1:$I$89,3,0)*VLOOKUP('Données projet'!$B$14,Paramètres!$A$1:$I$89,5,0)</f>
        <v>6.7984728957526396E-14</v>
      </c>
      <c r="DQ185" s="13">
        <f t="shared" si="176"/>
        <v>1.0682447123141398E-12</v>
      </c>
      <c r="DR185" s="20">
        <f t="shared" si="177"/>
        <v>1.978932943548152E-12</v>
      </c>
      <c r="DS185" s="59">
        <f t="shared" si="125"/>
        <v>293.3333333333353</v>
      </c>
      <c r="DT185" s="59">
        <f ca="1">AVERAGE(OFFSET($DS$3,0,0,'Données projet'!$E$14+1,1))-AVERAGE(OFFSET($H$3,0,0,'Données projet'!$E$14+1,1))</f>
        <v>252.81045065813976</v>
      </c>
      <c r="DU185" s="59">
        <f t="shared" si="152"/>
        <v>254.36590349790589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0.88972265448051868</v>
      </c>
      <c r="EB185" s="21">
        <f>EXP(-LN(2)/25)*EB184+(1-EXP(-LN(2)/25))/(LN(2)/25)*Calculateur!DW185*Calculateur!DY185*VLOOKUP('Données projet'!$B$14,Paramètres!$A$1:$I$89,3,0)*0.475*44/12</f>
        <v>0.2383772160350153</v>
      </c>
      <c r="EC185" s="21">
        <f>EXP(-LN(2)/2)*EC184+(1-EXP(-LN(2)/2))/(LN(2)/2)*DW185*DZ185*VLOOKUP('Données projet'!$B$14,Paramètres!$A$1:$I$89,3,0)*0.475*44/12</f>
        <v>7.5986580363955843E-23</v>
      </c>
      <c r="ED185" s="22">
        <f t="shared" si="178"/>
        <v>1.1280998705155341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-2.8421709430404007E-13</v>
      </c>
      <c r="EK185" s="17">
        <f>EJ185*VLOOKUP('Données projet'!$B$15,Paramètres!$A$1:$I$89,3,0)*VLOOKUP('Données projet'!$B$15,Paramètres!$A$1:$I$89,5,0)</f>
        <v>-2.0838797354372215E-13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296.91321813251051</v>
      </c>
      <c r="EP185" s="59">
        <f t="shared" si="154"/>
        <v>291.0718079639509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0.63796628207443484</v>
      </c>
      <c r="EW185" s="21">
        <f>EXP(-LN(2)/25)*EW184+(1-EXP(-LN(2)/25))/(LN(2)/25)*Calculateur!ER185*Calculateur!ET185*VLOOKUP('Données projet'!$B$15,Paramètres!$A$1:$I$89,3,0)*0.475*44/12</f>
        <v>0.22856299945540506</v>
      </c>
      <c r="EX185" s="21">
        <f>EXP(-LN(2)/2)*EX184+(1-EXP(-LN(2)/2))/(LN(2)/2)*ER185*EU185*VLOOKUP('Données projet'!$B$15,Paramètres!$A$1:$I$89,3,0)*0.475*44/12</f>
        <v>1.4428544216198918E-22</v>
      </c>
      <c r="EY185" s="22">
        <f t="shared" si="181"/>
        <v>0.86652928152983988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>
        <f>FE185*VLOOKUP('Données projet'!$B$16,Paramètres!$A$1:$I$89,3,0)*VLOOKUP('Données projet'!$B$16,Paramètres!$A$1:$I$89,5,0)</f>
        <v>0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356.65981389369125</v>
      </c>
      <c r="FK185" s="59">
        <f t="shared" si="156"/>
        <v>231.92898690465887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0.40362685350712674</v>
      </c>
      <c r="FR185" s="21">
        <f>EXP(-LN(2)/25)*FR184+(1-EXP(-LN(2)/25))/(LN(2)/25)*Calculateur!FM185*Calculateur!FO185*VLOOKUP('Données projet'!$B$16,Paramètres!$A$1:$I$89,3,0)*0.475*44/12</f>
        <v>0.15513862050301816</v>
      </c>
      <c r="FS185" s="21">
        <f>EXP(-LN(2)/2)*FS184+(1-EXP(-LN(2)/2))/(LN(2)/2)*FM185*FP185*VLOOKUP('Données projet'!$B$16,Paramètres!$A$1:$I$89,3,0)*0.475*44/12</f>
        <v>1.2659037881478178E-22</v>
      </c>
      <c r="FT185" s="22">
        <f t="shared" si="184"/>
        <v>0.55876547401014487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>
        <f>FZ185*VLOOKUP('Données projet'!$B$17,Paramètres!$A$1:$I$89,3,0)*VLOOKUP('Données projet'!$B$17,Paramètres!$A$1:$I$89,5,0)</f>
        <v>0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337.76140497227715</v>
      </c>
      <c r="GF185" s="59">
        <f t="shared" si="158"/>
        <v>219.76562717496353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0.38499792180679759</v>
      </c>
      <c r="GM185" s="21">
        <f>EXP(-LN(2)/25)*GM184+(1-EXP(-LN(2)/25))/(LN(2)/25)*Calculateur!GH185*Calculateur!GJ185*VLOOKUP('Données projet'!$B$17,Paramètres!$A$1:$I$89,3,0)*0.475*44/12</f>
        <v>0.147978376479802</v>
      </c>
      <c r="GN185" s="21">
        <f>EXP(-LN(2)/2)*GN184+(1-EXP(-LN(2)/2))/(LN(2)/2)*GH185*GK185*VLOOKUP('Données projet'!$B$17,Paramètres!$A$1:$I$89,3,0)*0.475*44/12</f>
        <v>1.2074774594640726E-22</v>
      </c>
      <c r="GO185" s="21">
        <f t="shared" si="187"/>
        <v>0.53297629828659954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312.53389584272878</v>
      </c>
      <c r="T186" s="59">
        <f t="shared" si="142"/>
        <v>203.5274665601915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0.35309684110276246</v>
      </c>
      <c r="AA186" s="21">
        <f>EXP(-LN(2)/25)*AA185+(1-EXP(-LN(2)/25))/(LN(2)/25)*Calculateur!V186*Calculateur!X186*VLOOKUP('Données projet'!$B$9,Paramètres!$A$1:$I$89,3,0)*0.475*44/12</f>
        <v>0.13464597096130285</v>
      </c>
      <c r="AB186" s="21">
        <f>EXP(-LN(2)/2)*AB185+(1-EXP(-LN(2)/2))/(LN(2)/2)*V186*Y186*VLOOKUP('Données projet'!$B$9,Paramètres!$A$1:$I$89,3,0)*0.475*44/12</f>
        <v>7.9873062876746943E-23</v>
      </c>
      <c r="AC186" s="22">
        <f t="shared" si="163"/>
        <v>0.48774281206406533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5.6843418860808015E-14</v>
      </c>
      <c r="AJ186" s="13">
        <f>AI186*VLOOKUP('Données projet'!$B$10,Paramètres!$A$1:$I$89,3,0)*VLOOKUP('Données projet'!$B$10,Paramètres!$A$1:$I$89,5,0)</f>
        <v>4.9658410716801891E-14</v>
      </c>
      <c r="AK186" s="13">
        <f t="shared" si="164"/>
        <v>8.0934058173791862E-13</v>
      </c>
      <c r="AL186" s="20">
        <f t="shared" si="165"/>
        <v>1.4960899118586383E-12</v>
      </c>
      <c r="AM186" s="59">
        <f t="shared" si="113"/>
        <v>293.33333333333479</v>
      </c>
      <c r="AN186" s="59">
        <f ca="1">AVERAGE(OFFSET($AM$3,0,0,'Données projet'!$E$10+1,1))-AVERAGE(OFFSET($H$3,0,0,'Données projet'!$E$10+1,1))</f>
        <v>243.05628303465238</v>
      </c>
      <c r="AO186" s="59">
        <f t="shared" si="144"/>
        <v>352.47096767658394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0.38142756628794755</v>
      </c>
      <c r="AV186" s="21">
        <f>EXP(-LN(2)/25)*AV185+(1-EXP(-LN(2)/25))/(LN(2)/25)*Calculateur!AQ186*Calculateur!AS186*VLOOKUP('Données projet'!$B$10,Paramètres!$A$1:$I$89,3,0)*0.475*44/12</f>
        <v>0.26050047692497375</v>
      </c>
      <c r="AW186" s="21">
        <f>EXP(-LN(2)/2)*AW185+(1-EXP(-LN(2)/2))/(LN(2)/2)*AQ186*AT186*VLOOKUP('Données projet'!$B$10,Paramètres!$A$1:$I$89,3,0)*0.475*44/12</f>
        <v>1.0549972278887388E-22</v>
      </c>
      <c r="AX186" s="21">
        <f t="shared" si="166"/>
        <v>0.6419280432129213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-2.8421709430404007E-13</v>
      </c>
      <c r="BE186" s="13">
        <f>BD186*VLOOKUP('Données projet'!$B$11,Paramètres!$A$1:$I$89,3,0)*VLOOKUP('Données projet'!$B$11,Paramètres!$A$1:$I$89,5,0)</f>
        <v>-2.2612312022829427E-13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325.72928944930294</v>
      </c>
      <c r="BJ186" s="59">
        <f t="shared" si="146"/>
        <v>318.38876834819752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0.83652052446705372</v>
      </c>
      <c r="BQ186" s="21">
        <f>EXP(-LN(2)/25)*BQ185+(1-EXP(-LN(2)/25))/(LN(2)/25)*Calculateur!BL186*Calculateur!BN186*VLOOKUP('Données projet'!$B$11,Paramètres!$A$1:$I$89,3,0)*0.475*44/12</f>
        <v>0.29733392171153578</v>
      </c>
      <c r="BR186" s="21">
        <f>EXP(-LN(2)/2)*BR185+(1-EXP(-LN(2)/2))/(LN(2)/2)*BL186*BO186*VLOOKUP('Données projet'!$B$11,Paramètres!$A$1:$I$89,3,0)*0.475*44/12</f>
        <v>1.1070821156470907E-22</v>
      </c>
      <c r="BS186" s="22">
        <f t="shared" si="169"/>
        <v>1.1338544461785895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-3.4106051316484809E-13</v>
      </c>
      <c r="BZ186" s="13">
        <f>BY186*VLOOKUP('Données projet'!$B$12,Paramètres!$A$1:$I$89,3,0)*VLOOKUP('Données projet'!$B$12,Paramètres!$A$1:$I$89,5,0)</f>
        <v>-1.9065282685915009E-13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475.54809021014017</v>
      </c>
      <c r="CE186" s="59">
        <f t="shared" si="148"/>
        <v>593.51433014569966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0.35468615392894404</v>
      </c>
      <c r="CL186" s="21">
        <f>EXP(-LN(2)/25)*CL185+(1-EXP(-LN(2)/25))/(LN(2)/25)*Calculateur!CG186*Calculateur!CI186*VLOOKUP('Données projet'!$B$12,Paramètres!$A$1:$I$89,3,0)*0.475*44/12</f>
        <v>0.61267565481520858</v>
      </c>
      <c r="CM186" s="21">
        <f>EXP(-LN(2)/2)*CM185+(1-EXP(-LN(2)/2))/(LN(2)/2)*CG186*CJ186*VLOOKUP('Données projet'!$B$12,Paramètres!$A$1:$I$89,3,0)*0.475*44/12</f>
        <v>1.3493017408869117E-22</v>
      </c>
      <c r="CN186" s="22">
        <f t="shared" si="172"/>
        <v>0.96736180874415267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-1.1368683772161603E-13</v>
      </c>
      <c r="CU186" s="17">
        <f>CT186*VLOOKUP('Données projet'!$B$13,Paramètres!$A$1:$I$89,3,0)*VLOOKUP('Données projet'!$B$13,Paramètres!$A$1:$I$89,5,0)</f>
        <v>-5.3205440053716299E-14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226.0452828290525</v>
      </c>
      <c r="CZ186" s="59">
        <f t="shared" si="150"/>
        <v>179.89696397462069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0.43850178016607416</v>
      </c>
      <c r="DG186" s="21">
        <f>EXP(-LN(2)/25)*DG185+(1-EXP(-LN(2)/25))/(LN(2)/25)*Calculateur!DB186*Calculateur!DD186*VLOOKUP('Données projet'!$B$13,Paramètres!$A$1:$I$89,3,0)*0.475*44/12</f>
        <v>0.16033292424314979</v>
      </c>
      <c r="DH186" s="21">
        <f>EXP(-LN(2)/2)*DH185+(1-EXP(-LN(2)/2))/(LN(2)/2)*DB186*DE186*VLOOKUP('Données projet'!$B$13,Paramètres!$A$1:$I$89,3,0)*0.475*44/12</f>
        <v>1.0334690215342503E-22</v>
      </c>
      <c r="DI186" s="22">
        <f t="shared" si="175"/>
        <v>0.59883470440922393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1.1368683772161603E-13</v>
      </c>
      <c r="DP186" s="17">
        <f>DO186*VLOOKUP('Données projet'!$B$14,Paramètres!$A$1:$I$89,3,0)*VLOOKUP('Données projet'!$B$14,Paramètres!$A$1:$I$89,5,0)</f>
        <v>6.7984728957526396E-14</v>
      </c>
      <c r="DQ186" s="13">
        <f t="shared" si="176"/>
        <v>1.0682447123141398E-12</v>
      </c>
      <c r="DR186" s="20">
        <f t="shared" si="177"/>
        <v>1.978932943548152E-12</v>
      </c>
      <c r="DS186" s="59">
        <f t="shared" si="125"/>
        <v>293.3333333333353</v>
      </c>
      <c r="DT186" s="59">
        <f ca="1">AVERAGE(OFFSET($DS$3,0,0,'Données projet'!$E$14+1,1))-AVERAGE(OFFSET($H$3,0,0,'Données projet'!$E$14+1,1))</f>
        <v>252.81045065813976</v>
      </c>
      <c r="DU186" s="59">
        <f t="shared" si="152"/>
        <v>254.36590349790589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0.87227573590339003</v>
      </c>
      <c r="EB186" s="21">
        <f>EXP(-LN(2)/25)*EB185+(1-EXP(-LN(2)/25))/(LN(2)/25)*Calculateur!DW186*Calculateur!DY186*VLOOKUP('Données projet'!$B$14,Paramètres!$A$1:$I$89,3,0)*0.475*44/12</f>
        <v>0.23185877852682482</v>
      </c>
      <c r="EC186" s="21">
        <f>EXP(-LN(2)/2)*EC185+(1-EXP(-LN(2)/2))/(LN(2)/2)*DW186*DZ186*VLOOKUP('Données projet'!$B$14,Paramètres!$A$1:$I$89,3,0)*0.475*44/12</f>
        <v>5.3730626254529733E-23</v>
      </c>
      <c r="ED186" s="22">
        <f t="shared" si="178"/>
        <v>1.1041345144302148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-2.8421709430404007E-13</v>
      </c>
      <c r="EK186" s="17">
        <f>EJ186*VLOOKUP('Données projet'!$B$15,Paramètres!$A$1:$I$89,3,0)*VLOOKUP('Données projet'!$B$15,Paramètres!$A$1:$I$89,5,0)</f>
        <v>-2.0838797354372215E-13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296.91321813251051</v>
      </c>
      <c r="EP186" s="59">
        <f t="shared" si="154"/>
        <v>291.0718079639509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0.62545615240396468</v>
      </c>
      <c r="EW186" s="21">
        <f>EXP(-LN(2)/25)*EW185+(1-EXP(-LN(2)/25))/(LN(2)/25)*Calculateur!ER186*Calculateur!ET186*VLOOKUP('Données projet'!$B$15,Paramètres!$A$1:$I$89,3,0)*0.475*44/12</f>
        <v>0.22231293221569126</v>
      </c>
      <c r="EX186" s="21">
        <f>EXP(-LN(2)/2)*EX185+(1-EXP(-LN(2)/2))/(LN(2)/2)*ER186*EU186*VLOOKUP('Données projet'!$B$15,Paramètres!$A$1:$I$89,3,0)*0.475*44/12</f>
        <v>1.0202521457924195E-22</v>
      </c>
      <c r="EY186" s="22">
        <f t="shared" si="181"/>
        <v>0.84776908461965594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>
        <f>FE186*VLOOKUP('Données projet'!$B$16,Paramètres!$A$1:$I$89,3,0)*VLOOKUP('Données projet'!$B$16,Paramètres!$A$1:$I$89,5,0)</f>
        <v>0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356.65981389369125</v>
      </c>
      <c r="FK186" s="59">
        <f t="shared" si="156"/>
        <v>231.92898690465887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0.39571197709792355</v>
      </c>
      <c r="FR186" s="21">
        <f>EXP(-LN(2)/25)*FR185+(1-EXP(-LN(2)/25))/(LN(2)/25)*Calculateur!FM186*Calculateur!FO186*VLOOKUP('Données projet'!$B$16,Paramètres!$A$1:$I$89,3,0)*0.475*44/12</f>
        <v>0.15089634676697766</v>
      </c>
      <c r="FS186" s="21">
        <f>EXP(-LN(2)/2)*FS185+(1-EXP(-LN(2)/2))/(LN(2)/2)*FM186*FP186*VLOOKUP('Données projet'!$B$16,Paramètres!$A$1:$I$89,3,0)*0.475*44/12</f>
        <v>8.9512915292906061E-23</v>
      </c>
      <c r="FT186" s="22">
        <f t="shared" si="184"/>
        <v>0.54660832386490121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>
        <f>FZ186*VLOOKUP('Données projet'!$B$17,Paramètres!$A$1:$I$89,3,0)*VLOOKUP('Données projet'!$B$17,Paramètres!$A$1:$I$89,5,0)</f>
        <v>0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337.76140497227715</v>
      </c>
      <c r="GF186" s="59">
        <f t="shared" si="158"/>
        <v>219.76562717496353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0.37744834738571148</v>
      </c>
      <c r="GM186" s="21">
        <f>EXP(-LN(2)/25)*GM185+(1-EXP(-LN(2)/25))/(LN(2)/25)*Calculateur!GH186*Calculateur!GJ186*VLOOKUP('Données projet'!$B$17,Paramètres!$A$1:$I$89,3,0)*0.475*44/12</f>
        <v>0.1439318999931172</v>
      </c>
      <c r="GN186" s="21">
        <f>EXP(-LN(2)/2)*GN185+(1-EXP(-LN(2)/2))/(LN(2)/2)*GH186*GK186*VLOOKUP('Données projet'!$B$17,Paramètres!$A$1:$I$89,3,0)*0.475*44/12</f>
        <v>8.5381549971695032E-23</v>
      </c>
      <c r="GO186" s="21">
        <f t="shared" si="187"/>
        <v>0.52138024737882871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312.53389584272878</v>
      </c>
      <c r="T187" s="59">
        <f t="shared" si="142"/>
        <v>203.5274665601915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0.34617282741654454</v>
      </c>
      <c r="AA187" s="21">
        <f>EXP(-LN(2)/25)*AA186+(1-EXP(-LN(2)/25))/(LN(2)/25)*Calculateur!V187*Calculateur!X187*VLOOKUP('Données projet'!$B$9,Paramètres!$A$1:$I$89,3,0)*0.475*44/12</f>
        <v>0.13096406980464215</v>
      </c>
      <c r="AB187" s="21">
        <f>EXP(-LN(2)/2)*AB186+(1-EXP(-LN(2)/2))/(LN(2)/2)*V187*Y187*VLOOKUP('Données projet'!$B$9,Paramètres!$A$1:$I$89,3,0)*0.475*44/12</f>
        <v>5.6478784394287252E-23</v>
      </c>
      <c r="AC187" s="22">
        <f t="shared" si="163"/>
        <v>0.47713689722118668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5.6843418860808015E-14</v>
      </c>
      <c r="AJ187" s="13">
        <f>AI187*VLOOKUP('Données projet'!$B$10,Paramètres!$A$1:$I$89,3,0)*VLOOKUP('Données projet'!$B$10,Paramètres!$A$1:$I$89,5,0)</f>
        <v>4.9658410716801891E-14</v>
      </c>
      <c r="AK187" s="13">
        <f t="shared" si="164"/>
        <v>8.0934058173791862E-13</v>
      </c>
      <c r="AL187" s="20">
        <f t="shared" si="165"/>
        <v>1.4960899118586383E-12</v>
      </c>
      <c r="AM187" s="59">
        <f t="shared" si="113"/>
        <v>293.33333333333479</v>
      </c>
      <c r="AN187" s="59">
        <f ca="1">AVERAGE(OFFSET($AM$3,0,0,'Données projet'!$E$10+1,1))-AVERAGE(OFFSET($H$3,0,0,'Données projet'!$E$10+1,1))</f>
        <v>243.05628303465238</v>
      </c>
      <c r="AO187" s="59">
        <f t="shared" si="144"/>
        <v>352.47096767658394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0.37394800436088427</v>
      </c>
      <c r="AV187" s="21">
        <f>EXP(-LN(2)/25)*AV186+(1-EXP(-LN(2)/25))/(LN(2)/25)*Calculateur!AQ187*Calculateur!AS187*VLOOKUP('Données projet'!$B$10,Paramètres!$A$1:$I$89,3,0)*0.475*44/12</f>
        <v>0.25337707768433565</v>
      </c>
      <c r="AW187" s="21">
        <f>EXP(-LN(2)/2)*AW186+(1-EXP(-LN(2)/2))/(LN(2)/2)*AQ187*AT187*VLOOKUP('Données projet'!$B$10,Paramètres!$A$1:$I$89,3,0)*0.475*44/12</f>
        <v>7.4599569397313674E-23</v>
      </c>
      <c r="AX187" s="21">
        <f t="shared" si="166"/>
        <v>0.62732508204521986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-2.8421709430404007E-13</v>
      </c>
      <c r="BE187" s="13">
        <f>BD187*VLOOKUP('Données projet'!$B$11,Paramètres!$A$1:$I$89,3,0)*VLOOKUP('Données projet'!$B$11,Paramètres!$A$1:$I$89,5,0)</f>
        <v>-2.2612312022829427E-13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325.72928944930294</v>
      </c>
      <c r="BJ187" s="59">
        <f t="shared" si="146"/>
        <v>318.38876834819752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0.82011686720939392</v>
      </c>
      <c r="BQ187" s="21">
        <f>EXP(-LN(2)/25)*BQ186+(1-EXP(-LN(2)/25))/(LN(2)/25)*Calculateur!BL187*Calculateur!BN187*VLOOKUP('Données projet'!$B$11,Paramètres!$A$1:$I$89,3,0)*0.475*44/12</f>
        <v>0.28920330998622246</v>
      </c>
      <c r="BR187" s="21">
        <f>EXP(-LN(2)/2)*BR186+(1-EXP(-LN(2)/2))/(LN(2)/2)*BL187*BO187*VLOOKUP('Données projet'!$B$11,Paramètres!$A$1:$I$89,3,0)*0.475*44/12</f>
        <v>7.8282527130440752E-23</v>
      </c>
      <c r="BS187" s="22">
        <f t="shared" si="169"/>
        <v>1.1093201771956163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-3.4106051316484809E-13</v>
      </c>
      <c r="BZ187" s="13">
        <f>BY187*VLOOKUP('Données projet'!$B$12,Paramètres!$A$1:$I$89,3,0)*VLOOKUP('Données projet'!$B$12,Paramètres!$A$1:$I$89,5,0)</f>
        <v>-1.9065282685915009E-13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475.54809021014017</v>
      </c>
      <c r="CE187" s="59">
        <f t="shared" si="148"/>
        <v>593.51433014569966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0.3477309747875898</v>
      </c>
      <c r="CL187" s="21">
        <f>EXP(-LN(2)/25)*CL186+(1-EXP(-LN(2)/25))/(LN(2)/25)*Calculateur!CG187*Calculateur!CI187*VLOOKUP('Données projet'!$B$12,Paramètres!$A$1:$I$89,3,0)*0.475*44/12</f>
        <v>0.59592200681507435</v>
      </c>
      <c r="CM187" s="21">
        <f>EXP(-LN(2)/2)*CM186+(1-EXP(-LN(2)/2))/(LN(2)/2)*CG187*CJ187*VLOOKUP('Données projet'!$B$12,Paramètres!$A$1:$I$89,3,0)*0.475*44/12</f>
        <v>9.5410041084794912E-23</v>
      </c>
      <c r="CN187" s="22">
        <f t="shared" si="172"/>
        <v>0.9436529816026642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-1.1368683772161603E-13</v>
      </c>
      <c r="CU187" s="17">
        <f>CT187*VLOOKUP('Données projet'!$B$13,Paramètres!$A$1:$I$89,3,0)*VLOOKUP('Données projet'!$B$13,Paramètres!$A$1:$I$89,5,0)</f>
        <v>-5.3205440053716299E-14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226.0452828290525</v>
      </c>
      <c r="CZ187" s="59">
        <f t="shared" si="150"/>
        <v>179.89696397462069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0.42990302771669392</v>
      </c>
      <c r="DG187" s="21">
        <f>EXP(-LN(2)/25)*DG186+(1-EXP(-LN(2)/25))/(LN(2)/25)*Calculateur!DB187*Calculateur!DD187*VLOOKUP('Données projet'!$B$13,Paramètres!$A$1:$I$89,3,0)*0.475*44/12</f>
        <v>0.15594861199817883</v>
      </c>
      <c r="DH187" s="21">
        <f>EXP(-LN(2)/2)*DH186+(1-EXP(-LN(2)/2))/(LN(2)/2)*DB187*DE187*VLOOKUP('Données projet'!$B$13,Paramètres!$A$1:$I$89,3,0)*0.475*44/12</f>
        <v>7.307729532730945E-23</v>
      </c>
      <c r="DI187" s="22">
        <f t="shared" si="175"/>
        <v>0.58585163971487275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1.1368683772161603E-13</v>
      </c>
      <c r="DP187" s="17">
        <f>DO187*VLOOKUP('Données projet'!$B$14,Paramètres!$A$1:$I$89,3,0)*VLOOKUP('Données projet'!$B$14,Paramètres!$A$1:$I$89,5,0)</f>
        <v>6.7984728957526396E-14</v>
      </c>
      <c r="DQ187" s="13">
        <f t="shared" si="176"/>
        <v>1.0682447123141398E-12</v>
      </c>
      <c r="DR187" s="20">
        <f t="shared" si="177"/>
        <v>1.978932943548152E-12</v>
      </c>
      <c r="DS187" s="59">
        <f t="shared" si="125"/>
        <v>293.3333333333353</v>
      </c>
      <c r="DT187" s="59">
        <f ca="1">AVERAGE(OFFSET($DS$3,0,0,'Données projet'!$E$14+1,1))-AVERAGE(OFFSET($H$3,0,0,'Données projet'!$E$14+1,1))</f>
        <v>252.81045065813976</v>
      </c>
      <c r="DU187" s="59">
        <f t="shared" si="152"/>
        <v>254.36590349790589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0.85517094075798927</v>
      </c>
      <c r="EB187" s="21">
        <f>EXP(-LN(2)/25)*EB186+(1-EXP(-LN(2)/25))/(LN(2)/25)*Calculateur!DW187*Calculateur!DY187*VLOOKUP('Données projet'!$B$14,Paramètres!$A$1:$I$89,3,0)*0.475*44/12</f>
        <v>0.22551858803508557</v>
      </c>
      <c r="EC187" s="21">
        <f>EXP(-LN(2)/2)*EC186+(1-EXP(-LN(2)/2))/(LN(2)/2)*DW187*DZ187*VLOOKUP('Données projet'!$B$14,Paramètres!$A$1:$I$89,3,0)*0.475*44/12</f>
        <v>3.7993290181977922E-23</v>
      </c>
      <c r="ED187" s="22">
        <f t="shared" si="178"/>
        <v>1.0806895287930749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-2.8421709430404007E-13</v>
      </c>
      <c r="EK187" s="17">
        <f>EJ187*VLOOKUP('Données projet'!$B$15,Paramètres!$A$1:$I$89,3,0)*VLOOKUP('Données projet'!$B$15,Paramètres!$A$1:$I$89,5,0)</f>
        <v>-2.0838797354372215E-13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296.91321813251051</v>
      </c>
      <c r="EP187" s="59">
        <f t="shared" si="154"/>
        <v>291.0718079639509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0.61319133874590681</v>
      </c>
      <c r="EW187" s="21">
        <f>EXP(-LN(2)/25)*EW186+(1-EXP(-LN(2)/25))/(LN(2)/25)*Calculateur!ER187*Calculateur!ET187*VLOOKUP('Données projet'!$B$15,Paramètres!$A$1:$I$89,3,0)*0.475*44/12</f>
        <v>0.21623377339332417</v>
      </c>
      <c r="EX187" s="21">
        <f>EXP(-LN(2)/2)*EX186+(1-EXP(-LN(2)/2))/(LN(2)/2)*ER187*EU187*VLOOKUP('Données projet'!$B$15,Paramètres!$A$1:$I$89,3,0)*0.475*44/12</f>
        <v>7.2142721080994592E-23</v>
      </c>
      <c r="EY187" s="22">
        <f t="shared" si="181"/>
        <v>0.82942511213923098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>
        <f>FE187*VLOOKUP('Données projet'!$B$16,Paramètres!$A$1:$I$89,3,0)*VLOOKUP('Données projet'!$B$16,Paramètres!$A$1:$I$89,5,0)</f>
        <v>0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356.65981389369125</v>
      </c>
      <c r="FK187" s="59">
        <f t="shared" si="156"/>
        <v>231.92898690465887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0.38795230658750696</v>
      </c>
      <c r="FR187" s="21">
        <f>EXP(-LN(2)/25)*FR186+(1-EXP(-LN(2)/25))/(LN(2)/25)*Calculateur!FM187*Calculateur!FO187*VLOOKUP('Données projet'!$B$16,Paramètres!$A$1:$I$89,3,0)*0.475*44/12</f>
        <v>0.14677007822934066</v>
      </c>
      <c r="FS187" s="21">
        <f>EXP(-LN(2)/2)*FS186+(1-EXP(-LN(2)/2))/(LN(2)/2)*FM187*FP187*VLOOKUP('Données projet'!$B$16,Paramètres!$A$1:$I$89,3,0)*0.475*44/12</f>
        <v>6.3295189407390889E-23</v>
      </c>
      <c r="FT187" s="22">
        <f t="shared" si="184"/>
        <v>0.53472238481684764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>
        <f>FZ187*VLOOKUP('Données projet'!$B$17,Paramètres!$A$1:$I$89,3,0)*VLOOKUP('Données projet'!$B$17,Paramètres!$A$1:$I$89,5,0)</f>
        <v>0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337.76140497227715</v>
      </c>
      <c r="GF187" s="59">
        <f t="shared" si="158"/>
        <v>219.76562717496353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0.37004681551423718</v>
      </c>
      <c r="GM187" s="21">
        <f>EXP(-LN(2)/25)*GM186+(1-EXP(-LN(2)/25))/(LN(2)/25)*Calculateur!GH187*Calculateur!GJ187*VLOOKUP('Données projet'!$B$17,Paramètres!$A$1:$I$89,3,0)*0.475*44/12</f>
        <v>0.13999607461875574</v>
      </c>
      <c r="GN187" s="21">
        <f>EXP(-LN(2)/2)*GN186+(1-EXP(-LN(2)/2))/(LN(2)/2)*GH187*GK187*VLOOKUP('Données projet'!$B$17,Paramètres!$A$1:$I$89,3,0)*0.475*44/12</f>
        <v>6.0373872973203631E-23</v>
      </c>
      <c r="GO187" s="21">
        <f t="shared" si="187"/>
        <v>0.51004289013299298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312.53389584272878</v>
      </c>
      <c r="T188" s="59">
        <f t="shared" si="142"/>
        <v>203.5274665601915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0.33938458941548205</v>
      </c>
      <c r="AA188" s="21">
        <f>EXP(-LN(2)/25)*AA187+(1-EXP(-LN(2)/25))/(LN(2)/25)*Calculateur!V188*Calculateur!X188*VLOOKUP('Données projet'!$B$9,Paramètres!$A$1:$I$89,3,0)*0.475*44/12</f>
        <v>0.1273828504287331</v>
      </c>
      <c r="AB188" s="21">
        <f>EXP(-LN(2)/2)*AB187+(1-EXP(-LN(2)/2))/(LN(2)/2)*V188*Y188*VLOOKUP('Données projet'!$B$9,Paramètres!$A$1:$I$89,3,0)*0.475*44/12</f>
        <v>3.9936531438373472E-23</v>
      </c>
      <c r="AC188" s="22">
        <f t="shared" si="163"/>
        <v>0.46676743984421515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5.6843418860808015E-14</v>
      </c>
      <c r="AJ188" s="13">
        <f>AI188*VLOOKUP('Données projet'!$B$10,Paramètres!$A$1:$I$89,3,0)*VLOOKUP('Données projet'!$B$10,Paramètres!$A$1:$I$89,5,0)</f>
        <v>4.9658410716801891E-14</v>
      </c>
      <c r="AK188" s="13">
        <f t="shared" si="164"/>
        <v>8.0934058173791862E-13</v>
      </c>
      <c r="AL188" s="20">
        <f t="shared" si="165"/>
        <v>1.4960899118586383E-12</v>
      </c>
      <c r="AM188" s="59">
        <f t="shared" si="113"/>
        <v>293.33333333333479</v>
      </c>
      <c r="AN188" s="59">
        <f ca="1">AVERAGE(OFFSET($AM$3,0,0,'Données projet'!$E$10+1,1))-AVERAGE(OFFSET($H$3,0,0,'Données projet'!$E$10+1,1))</f>
        <v>243.05628303465238</v>
      </c>
      <c r="AO188" s="59">
        <f t="shared" si="144"/>
        <v>352.47096767658394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0.3666151120811284</v>
      </c>
      <c r="AV188" s="21">
        <f>EXP(-LN(2)/25)*AV187+(1-EXP(-LN(2)/25))/(LN(2)/25)*Calculateur!AQ188*Calculateur!AS188*VLOOKUP('Données projet'!$B$10,Paramètres!$A$1:$I$89,3,0)*0.475*44/12</f>
        <v>0.24644846817053609</v>
      </c>
      <c r="AW188" s="21">
        <f>EXP(-LN(2)/2)*AW187+(1-EXP(-LN(2)/2))/(LN(2)/2)*AQ188*AT188*VLOOKUP('Données projet'!$B$10,Paramètres!$A$1:$I$89,3,0)*0.475*44/12</f>
        <v>5.2749861394436953E-23</v>
      </c>
      <c r="AX188" s="21">
        <f t="shared" si="166"/>
        <v>0.61306358025166452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-2.8421709430404007E-13</v>
      </c>
      <c r="BE188" s="13">
        <f>BD188*VLOOKUP('Données projet'!$B$11,Paramètres!$A$1:$I$89,3,0)*VLOOKUP('Données projet'!$B$11,Paramètres!$A$1:$I$89,5,0)</f>
        <v>-2.2612312022829427E-13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325.72928944930294</v>
      </c>
      <c r="BJ188" s="59">
        <f t="shared" si="146"/>
        <v>318.38876834819752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0.80403487566531384</v>
      </c>
      <c r="BQ188" s="21">
        <f>EXP(-LN(2)/25)*BQ187+(1-EXP(-LN(2)/25))/(LN(2)/25)*Calculateur!BL188*Calculateur!BN188*VLOOKUP('Données projet'!$B$11,Paramètres!$A$1:$I$89,3,0)*0.475*44/12</f>
        <v>0.28129503026610814</v>
      </c>
      <c r="BR188" s="21">
        <f>EXP(-LN(2)/2)*BR187+(1-EXP(-LN(2)/2))/(LN(2)/2)*BL188*BO188*VLOOKUP('Données projet'!$B$11,Paramètres!$A$1:$I$89,3,0)*0.475*44/12</f>
        <v>5.5354105782354537E-23</v>
      </c>
      <c r="BS188" s="22">
        <f t="shared" si="169"/>
        <v>1.0853299059314221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-3.4106051316484809E-13</v>
      </c>
      <c r="BZ188" s="13">
        <f>BY188*VLOOKUP('Données projet'!$B$12,Paramètres!$A$1:$I$89,3,0)*VLOOKUP('Données projet'!$B$12,Paramètres!$A$1:$I$89,5,0)</f>
        <v>-1.9065282685915009E-13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475.54809021014017</v>
      </c>
      <c r="CE188" s="59">
        <f t="shared" si="148"/>
        <v>593.51433014569966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0.34091218246695715</v>
      </c>
      <c r="CL188" s="21">
        <f>EXP(-LN(2)/25)*CL187+(1-EXP(-LN(2)/25))/(LN(2)/25)*Calculateur!CG188*Calculateur!CI188*VLOOKUP('Données projet'!$B$12,Paramètres!$A$1:$I$89,3,0)*0.475*44/12</f>
        <v>0.57962648820053975</v>
      </c>
      <c r="CM188" s="21">
        <f>EXP(-LN(2)/2)*CM187+(1-EXP(-LN(2)/2))/(LN(2)/2)*CG188*CJ188*VLOOKUP('Données projet'!$B$12,Paramètres!$A$1:$I$89,3,0)*0.475*44/12</f>
        <v>6.7465087044345584E-23</v>
      </c>
      <c r="CN188" s="22">
        <f t="shared" si="172"/>
        <v>0.92053867066749695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-1.1368683772161603E-13</v>
      </c>
      <c r="CU188" s="17">
        <f>CT188*VLOOKUP('Données projet'!$B$13,Paramètres!$A$1:$I$89,3,0)*VLOOKUP('Données projet'!$B$13,Paramètres!$A$1:$I$89,5,0)</f>
        <v>-5.3205440053716299E-14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226.0452828290525</v>
      </c>
      <c r="CZ188" s="59">
        <f t="shared" si="150"/>
        <v>179.89696397462069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0.4214728915581249</v>
      </c>
      <c r="DG188" s="21">
        <f>EXP(-LN(2)/25)*DG187+(1-EXP(-LN(2)/25))/(LN(2)/25)*Calculateur!DB188*Calculateur!DD188*VLOOKUP('Données projet'!$B$13,Paramètres!$A$1:$I$89,3,0)*0.475*44/12</f>
        <v>0.15168418900210756</v>
      </c>
      <c r="DH188" s="21">
        <f>EXP(-LN(2)/2)*DH187+(1-EXP(-LN(2)/2))/(LN(2)/2)*DB188*DE188*VLOOKUP('Données projet'!$B$13,Paramètres!$A$1:$I$89,3,0)*0.475*44/12</f>
        <v>5.1673451076712519E-23</v>
      </c>
      <c r="DI188" s="22">
        <f t="shared" si="175"/>
        <v>0.5731570805602324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1.1368683772161603E-13</v>
      </c>
      <c r="DP188" s="17">
        <f>DO188*VLOOKUP('Données projet'!$B$14,Paramètres!$A$1:$I$89,3,0)*VLOOKUP('Données projet'!$B$14,Paramètres!$A$1:$I$89,5,0)</f>
        <v>6.7984728957526396E-14</v>
      </c>
      <c r="DQ188" s="13">
        <f t="shared" si="176"/>
        <v>1.0682447123141398E-12</v>
      </c>
      <c r="DR188" s="20">
        <f t="shared" si="177"/>
        <v>1.978932943548152E-12</v>
      </c>
      <c r="DS188" s="59">
        <f t="shared" si="125"/>
        <v>293.3333333333353</v>
      </c>
      <c r="DT188" s="59">
        <f ca="1">AVERAGE(OFFSET($DS$3,0,0,'Données projet'!$E$14+1,1))-AVERAGE(OFFSET($H$3,0,0,'Données projet'!$E$14+1,1))</f>
        <v>252.81045065813976</v>
      </c>
      <c r="DU188" s="59">
        <f t="shared" si="152"/>
        <v>254.36590349790589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0.83840156021249501</v>
      </c>
      <c r="EB188" s="21">
        <f>EXP(-LN(2)/25)*EB187+(1-EXP(-LN(2)/25))/(LN(2)/25)*Calculateur!DW188*Calculateur!DY188*VLOOKUP('Données projet'!$B$14,Paramètres!$A$1:$I$89,3,0)*0.475*44/12</f>
        <v>0.21935177038575904</v>
      </c>
      <c r="EC188" s="21">
        <f>EXP(-LN(2)/2)*EC187+(1-EXP(-LN(2)/2))/(LN(2)/2)*DW188*DZ188*VLOOKUP('Données projet'!$B$14,Paramètres!$A$1:$I$89,3,0)*0.475*44/12</f>
        <v>2.6865313127264866E-23</v>
      </c>
      <c r="ED188" s="22">
        <f t="shared" si="178"/>
        <v>1.057753330598254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-2.8421709430404007E-13</v>
      </c>
      <c r="EK188" s="17">
        <f>EJ188*VLOOKUP('Données projet'!$B$15,Paramètres!$A$1:$I$89,3,0)*VLOOKUP('Données projet'!$B$15,Paramètres!$A$1:$I$89,5,0)</f>
        <v>-2.0838797354372215E-13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296.91321813251051</v>
      </c>
      <c r="EP188" s="59">
        <f t="shared" si="154"/>
        <v>291.0718079639509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0.60116703060288579</v>
      </c>
      <c r="EW188" s="21">
        <f>EXP(-LN(2)/25)*EW187+(1-EXP(-LN(2)/25))/(LN(2)/25)*Calculateur!ER188*Calculateur!ET188*VLOOKUP('Données projet'!$B$15,Paramètres!$A$1:$I$89,3,0)*0.475*44/12</f>
        <v>0.2103208494886438</v>
      </c>
      <c r="EX188" s="21">
        <f>EXP(-LN(2)/2)*EX187+(1-EXP(-LN(2)/2))/(LN(2)/2)*ER188*EU188*VLOOKUP('Données projet'!$B$15,Paramètres!$A$1:$I$89,3,0)*0.475*44/12</f>
        <v>5.1012607289620973E-23</v>
      </c>
      <c r="EY188" s="22">
        <f t="shared" si="181"/>
        <v>0.81148788009152961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>
        <f>FE188*VLOOKUP('Données projet'!$B$16,Paramètres!$A$1:$I$89,3,0)*VLOOKUP('Données projet'!$B$16,Paramètres!$A$1:$I$89,5,0)</f>
        <v>0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356.65981389369125</v>
      </c>
      <c r="FK188" s="59">
        <f t="shared" si="156"/>
        <v>231.92898690465887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0.38034479848286795</v>
      </c>
      <c r="FR188" s="21">
        <f>EXP(-LN(2)/25)*FR187+(1-EXP(-LN(2)/25))/(LN(2)/25)*Calculateur!FM188*Calculateur!FO188*VLOOKUP('Données projet'!$B$16,Paramètres!$A$1:$I$89,3,0)*0.475*44/12</f>
        <v>0.14275664272185637</v>
      </c>
      <c r="FS188" s="21">
        <f>EXP(-LN(2)/2)*FS187+(1-EXP(-LN(2)/2))/(LN(2)/2)*FM188*FP188*VLOOKUP('Données projet'!$B$16,Paramètres!$A$1:$I$89,3,0)*0.475*44/12</f>
        <v>4.475645764645303E-23</v>
      </c>
      <c r="FT188" s="22">
        <f t="shared" si="184"/>
        <v>0.52310144120472435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>
        <f>FZ188*VLOOKUP('Données projet'!$B$17,Paramètres!$A$1:$I$89,3,0)*VLOOKUP('Données projet'!$B$17,Paramètres!$A$1:$I$89,5,0)</f>
        <v>0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337.76140497227715</v>
      </c>
      <c r="GF188" s="59">
        <f t="shared" si="158"/>
        <v>219.76562717496353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0.36279042316827381</v>
      </c>
      <c r="GM188" s="21">
        <f>EXP(-LN(2)/25)*GM187+(1-EXP(-LN(2)/25))/(LN(2)/25)*Calculateur!GH188*Calculateur!GJ188*VLOOKUP('Données projet'!$B$17,Paramètres!$A$1:$I$89,3,0)*0.475*44/12</f>
        <v>0.13616787459623225</v>
      </c>
      <c r="GN188" s="21">
        <f>EXP(-LN(2)/2)*GN187+(1-EXP(-LN(2)/2))/(LN(2)/2)*GH188*GK188*VLOOKUP('Données projet'!$B$17,Paramètres!$A$1:$I$89,3,0)*0.475*44/12</f>
        <v>4.2690774985847516E-23</v>
      </c>
      <c r="GO188" s="21">
        <f t="shared" si="187"/>
        <v>0.49895829776450606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312.53389584272878</v>
      </c>
      <c r="T189" s="59">
        <f t="shared" si="142"/>
        <v>203.5274665601915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0.33272946462120401</v>
      </c>
      <c r="AA189" s="21">
        <f>EXP(-LN(2)/25)*AA188+(1-EXP(-LN(2)/25))/(LN(2)/25)*Calculateur!V189*Calculateur!X189*VLOOKUP('Données projet'!$B$9,Paramètres!$A$1:$I$89,3,0)*0.475*44/12</f>
        <v>0.12389955968498642</v>
      </c>
      <c r="AB189" s="21">
        <f>EXP(-LN(2)/2)*AB188+(1-EXP(-LN(2)/2))/(LN(2)/2)*V189*Y189*VLOOKUP('Données projet'!$B$9,Paramètres!$A$1:$I$89,3,0)*0.475*44/12</f>
        <v>2.8239392197143626E-23</v>
      </c>
      <c r="AC189" s="22">
        <f t="shared" si="163"/>
        <v>0.45662902430619046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5.6843418860808015E-14</v>
      </c>
      <c r="AJ189" s="13">
        <f>AI189*VLOOKUP('Données projet'!$B$10,Paramètres!$A$1:$I$89,3,0)*VLOOKUP('Données projet'!$B$10,Paramètres!$A$1:$I$89,5,0)</f>
        <v>4.9658410716801891E-14</v>
      </c>
      <c r="AK189" s="13">
        <f t="shared" si="164"/>
        <v>8.0934058173791862E-13</v>
      </c>
      <c r="AL189" s="20">
        <f t="shared" si="165"/>
        <v>1.4960899118586383E-12</v>
      </c>
      <c r="AM189" s="59">
        <f t="shared" si="113"/>
        <v>293.33333333333479</v>
      </c>
      <c r="AN189" s="59">
        <f ca="1">AVERAGE(OFFSET($AM$3,0,0,'Données projet'!$E$10+1,1))-AVERAGE(OFFSET($H$3,0,0,'Données projet'!$E$10+1,1))</f>
        <v>243.05628303465238</v>
      </c>
      <c r="AO189" s="59">
        <f t="shared" si="144"/>
        <v>352.47096767658394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0.35942601334635588</v>
      </c>
      <c r="AV189" s="21">
        <f>EXP(-LN(2)/25)*AV188+(1-EXP(-LN(2)/25))/(LN(2)/25)*Calculateur!AQ189*Calculateur!AS189*VLOOKUP('Données projet'!$B$10,Paramètres!$A$1:$I$89,3,0)*0.475*44/12</f>
        <v>0.23970932184825111</v>
      </c>
      <c r="AW189" s="21">
        <f>EXP(-LN(2)/2)*AW188+(1-EXP(-LN(2)/2))/(LN(2)/2)*AQ189*AT189*VLOOKUP('Données projet'!$B$10,Paramètres!$A$1:$I$89,3,0)*0.475*44/12</f>
        <v>3.7299784698656843E-23</v>
      </c>
      <c r="AX189" s="21">
        <f t="shared" si="166"/>
        <v>0.59913533519460693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-2.8421709430404007E-13</v>
      </c>
      <c r="BE189" s="13">
        <f>BD189*VLOOKUP('Données projet'!$B$11,Paramètres!$A$1:$I$89,3,0)*VLOOKUP('Données projet'!$B$11,Paramètres!$A$1:$I$89,5,0)</f>
        <v>-2.2612312022829427E-13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325.72928944930294</v>
      </c>
      <c r="BJ189" s="59">
        <f t="shared" si="146"/>
        <v>318.38876834819752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0.78826824216636693</v>
      </c>
      <c r="BQ189" s="21">
        <f>EXP(-LN(2)/25)*BQ188+(1-EXP(-LN(2)/25))/(LN(2)/25)*Calculateur!BL189*Calculateur!BN189*VLOOKUP('Données projet'!$B$11,Paramètres!$A$1:$I$89,3,0)*0.475*44/12</f>
        <v>0.27360300287081868</v>
      </c>
      <c r="BR189" s="21">
        <f>EXP(-LN(2)/2)*BR188+(1-EXP(-LN(2)/2))/(LN(2)/2)*BL189*BO189*VLOOKUP('Données projet'!$B$11,Paramètres!$A$1:$I$89,3,0)*0.475*44/12</f>
        <v>3.9141263565220376E-23</v>
      </c>
      <c r="BS189" s="22">
        <f t="shared" si="169"/>
        <v>1.0618712450371857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-3.4106051316484809E-13</v>
      </c>
      <c r="BZ189" s="13">
        <f>BY189*VLOOKUP('Données projet'!$B$12,Paramètres!$A$1:$I$89,3,0)*VLOOKUP('Données projet'!$B$12,Paramètres!$A$1:$I$89,5,0)</f>
        <v>-1.9065282685915009E-13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475.54809021014017</v>
      </c>
      <c r="CE189" s="59">
        <f t="shared" si="148"/>
        <v>593.51433014569966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0.33422710250467946</v>
      </c>
      <c r="CL189" s="21">
        <f>EXP(-LN(2)/25)*CL188+(1-EXP(-LN(2)/25))/(LN(2)/25)*Calculateur!CG189*Calculateur!CI189*VLOOKUP('Données projet'!$B$12,Paramètres!$A$1:$I$89,3,0)*0.475*44/12</f>
        <v>0.56377657139946369</v>
      </c>
      <c r="CM189" s="21">
        <f>EXP(-LN(2)/2)*CM188+(1-EXP(-LN(2)/2))/(LN(2)/2)*CG189*CJ189*VLOOKUP('Données projet'!$B$12,Paramètres!$A$1:$I$89,3,0)*0.475*44/12</f>
        <v>4.7705020542397456E-23</v>
      </c>
      <c r="CN189" s="22">
        <f t="shared" si="172"/>
        <v>0.89800367390414315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-1.1368683772161603E-13</v>
      </c>
      <c r="CU189" s="17">
        <f>CT189*VLOOKUP('Données projet'!$B$13,Paramètres!$A$1:$I$89,3,0)*VLOOKUP('Données projet'!$B$13,Paramètres!$A$1:$I$89,5,0)</f>
        <v>-5.3205440053716299E-14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226.0452828290525</v>
      </c>
      <c r="CZ189" s="59">
        <f t="shared" si="150"/>
        <v>179.89696397462069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0.41320806522775005</v>
      </c>
      <c r="DG189" s="21">
        <f>EXP(-LN(2)/25)*DG188+(1-EXP(-LN(2)/25))/(LN(2)/25)*Calculateur!DB189*Calculateur!DD189*VLOOKUP('Données projet'!$B$13,Paramètres!$A$1:$I$89,3,0)*0.475*44/12</f>
        <v>0.1475363768771201</v>
      </c>
      <c r="DH189" s="21">
        <f>EXP(-LN(2)/2)*DH188+(1-EXP(-LN(2)/2))/(LN(2)/2)*DB189*DE189*VLOOKUP('Données projet'!$B$13,Paramètres!$A$1:$I$89,3,0)*0.475*44/12</f>
        <v>3.6538647663654731E-23</v>
      </c>
      <c r="DI189" s="22">
        <f t="shared" si="175"/>
        <v>0.56074444210487018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1.1368683772161603E-13</v>
      </c>
      <c r="DP189" s="17">
        <f>DO189*VLOOKUP('Données projet'!$B$14,Paramètres!$A$1:$I$89,3,0)*VLOOKUP('Données projet'!$B$14,Paramètres!$A$1:$I$89,5,0)</f>
        <v>6.7984728957526396E-14</v>
      </c>
      <c r="DQ189" s="13">
        <f t="shared" si="176"/>
        <v>1.0682447123141398E-12</v>
      </c>
      <c r="DR189" s="20">
        <f t="shared" si="177"/>
        <v>1.978932943548152E-12</v>
      </c>
      <c r="DS189" s="59">
        <f t="shared" si="125"/>
        <v>293.3333333333353</v>
      </c>
      <c r="DT189" s="59">
        <f ca="1">AVERAGE(OFFSET($DS$3,0,0,'Données projet'!$E$14+1,1))-AVERAGE(OFFSET($H$3,0,0,'Données projet'!$E$14+1,1))</f>
        <v>252.81045065813976</v>
      </c>
      <c r="DU189" s="59">
        <f t="shared" si="152"/>
        <v>254.36590349790589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0.82196101699118573</v>
      </c>
      <c r="EB189" s="21">
        <f>EXP(-LN(2)/25)*EB188+(1-EXP(-LN(2)/25))/(LN(2)/25)*Calculateur!DW189*Calculateur!DY189*VLOOKUP('Données projet'!$B$14,Paramètres!$A$1:$I$89,3,0)*0.475*44/12</f>
        <v>0.2133535846893522</v>
      </c>
      <c r="EC189" s="21">
        <f>EXP(-LN(2)/2)*EC188+(1-EXP(-LN(2)/2))/(LN(2)/2)*DW189*DZ189*VLOOKUP('Données projet'!$B$14,Paramètres!$A$1:$I$89,3,0)*0.475*44/12</f>
        <v>1.8996645090988961E-23</v>
      </c>
      <c r="ED189" s="22">
        <f t="shared" si="178"/>
        <v>1.0353146016805379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-2.8421709430404007E-13</v>
      </c>
      <c r="EK189" s="17">
        <f>EJ189*VLOOKUP('Données projet'!$B$15,Paramètres!$A$1:$I$89,3,0)*VLOOKUP('Données projet'!$B$15,Paramètres!$A$1:$I$89,5,0)</f>
        <v>-2.0838797354372215E-13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296.91321813251051</v>
      </c>
      <c r="EP189" s="59">
        <f t="shared" si="154"/>
        <v>291.0718079639509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0.58937851180844569</v>
      </c>
      <c r="EW189" s="21">
        <f>EXP(-LN(2)/25)*EW188+(1-EXP(-LN(2)/25))/(LN(2)/25)*Calculateur!ER189*Calculateur!ET189*VLOOKUP('Données projet'!$B$15,Paramètres!$A$1:$I$89,3,0)*0.475*44/12</f>
        <v>0.20456961479908406</v>
      </c>
      <c r="EX189" s="21">
        <f>EXP(-LN(2)/2)*EX188+(1-EXP(-LN(2)/2))/(LN(2)/2)*ER189*EU189*VLOOKUP('Données projet'!$B$15,Paramètres!$A$1:$I$89,3,0)*0.475*44/12</f>
        <v>3.6071360540497296E-23</v>
      </c>
      <c r="EY189" s="22">
        <f t="shared" si="181"/>
        <v>0.79394812660752978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>
        <f>FE189*VLOOKUP('Données projet'!$B$16,Paramètres!$A$1:$I$89,3,0)*VLOOKUP('Données projet'!$B$16,Paramètres!$A$1:$I$89,5,0)</f>
        <v>0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356.65981389369125</v>
      </c>
      <c r="FK189" s="59">
        <f t="shared" si="156"/>
        <v>231.92898690465887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0.37288646897203914</v>
      </c>
      <c r="FR189" s="21">
        <f>EXP(-LN(2)/25)*FR188+(1-EXP(-LN(2)/25))/(LN(2)/25)*Calculateur!FM189*Calculateur!FO189*VLOOKUP('Données projet'!$B$16,Paramètres!$A$1:$I$89,3,0)*0.475*44/12</f>
        <v>0.13885295481938165</v>
      </c>
      <c r="FS189" s="21">
        <f>EXP(-LN(2)/2)*FS188+(1-EXP(-LN(2)/2))/(LN(2)/2)*FM189*FP189*VLOOKUP('Données projet'!$B$16,Paramètres!$A$1:$I$89,3,0)*0.475*44/12</f>
        <v>3.1647594703695444E-23</v>
      </c>
      <c r="FT189" s="22">
        <f t="shared" si="184"/>
        <v>0.51173942379142079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>
        <f>FZ189*VLOOKUP('Données projet'!$B$17,Paramètres!$A$1:$I$89,3,0)*VLOOKUP('Données projet'!$B$17,Paramètres!$A$1:$I$89,5,0)</f>
        <v>0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337.76140497227715</v>
      </c>
      <c r="GF189" s="59">
        <f t="shared" si="158"/>
        <v>219.76562717496353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0.35567632425025247</v>
      </c>
      <c r="GM189" s="21">
        <f>EXP(-LN(2)/25)*GM188+(1-EXP(-LN(2)/25))/(LN(2)/25)*Calculateur!GH189*Calculateur!GJ189*VLOOKUP('Données projet'!$B$17,Paramètres!$A$1:$I$89,3,0)*0.475*44/12</f>
        <v>0.13244435690464096</v>
      </c>
      <c r="GN189" s="21">
        <f>EXP(-LN(2)/2)*GN188+(1-EXP(-LN(2)/2))/(LN(2)/2)*GH189*GK189*VLOOKUP('Données projet'!$B$17,Paramètres!$A$1:$I$89,3,0)*0.475*44/12</f>
        <v>3.0186936486601816E-23</v>
      </c>
      <c r="GO189" s="21">
        <f t="shared" si="187"/>
        <v>0.48812068115489343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312.53389584272878</v>
      </c>
      <c r="T190" s="59">
        <f t="shared" si="142"/>
        <v>203.5274665601915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0.32620484276491646</v>
      </c>
      <c r="AA190" s="21">
        <f>EXP(-LN(2)/25)*AA189+(1-EXP(-LN(2)/25))/(LN(2)/25)*Calculateur!V190*Calculateur!X190*VLOOKUP('Données projet'!$B$9,Paramètres!$A$1:$I$89,3,0)*0.475*44/12</f>
        <v>0.12051151970980579</v>
      </c>
      <c r="AB190" s="21">
        <f>EXP(-LN(2)/2)*AB189+(1-EXP(-LN(2)/2))/(LN(2)/2)*V190*Y190*VLOOKUP('Données projet'!$B$9,Paramètres!$A$1:$I$89,3,0)*0.475*44/12</f>
        <v>1.9968265719186736E-23</v>
      </c>
      <c r="AC190" s="22">
        <f t="shared" si="163"/>
        <v>0.44671636247472224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5.6843418860808015E-14</v>
      </c>
      <c r="AJ190" s="13">
        <f>AI190*VLOOKUP('Données projet'!$B$10,Paramètres!$A$1:$I$89,3,0)*VLOOKUP('Données projet'!$B$10,Paramètres!$A$1:$I$89,5,0)</f>
        <v>4.9658410716801891E-14</v>
      </c>
      <c r="AK190" s="13">
        <f t="shared" si="164"/>
        <v>8.0934058173791862E-13</v>
      </c>
      <c r="AL190" s="20">
        <f t="shared" si="165"/>
        <v>1.4960899118586383E-12</v>
      </c>
      <c r="AM190" s="59">
        <f t="shared" si="113"/>
        <v>293.33333333333479</v>
      </c>
      <c r="AN190" s="59">
        <f ca="1">AVERAGE(OFFSET($AM$3,0,0,'Données projet'!$E$10+1,1))-AVERAGE(OFFSET($H$3,0,0,'Données projet'!$E$10+1,1))</f>
        <v>243.05628303465238</v>
      </c>
      <c r="AO190" s="59">
        <f t="shared" si="144"/>
        <v>352.47096767658394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0.352377888452855</v>
      </c>
      <c r="AV190" s="21">
        <f>EXP(-LN(2)/25)*AV189+(1-EXP(-LN(2)/25))/(LN(2)/25)*Calculateur!AQ190*Calculateur!AS190*VLOOKUP('Données projet'!$B$10,Paramètres!$A$1:$I$89,3,0)*0.475*44/12</f>
        <v>0.23315445783654531</v>
      </c>
      <c r="AW190" s="21">
        <f>EXP(-LN(2)/2)*AW189+(1-EXP(-LN(2)/2))/(LN(2)/2)*AQ190*AT190*VLOOKUP('Données projet'!$B$10,Paramètres!$A$1:$I$89,3,0)*0.475*44/12</f>
        <v>2.637493069721848E-23</v>
      </c>
      <c r="AX190" s="21">
        <f t="shared" si="166"/>
        <v>0.58553234628940032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-2.8421709430404007E-13</v>
      </c>
      <c r="BE190" s="13">
        <f>BD190*VLOOKUP('Données projet'!$B$11,Paramètres!$A$1:$I$89,3,0)*VLOOKUP('Données projet'!$B$11,Paramètres!$A$1:$I$89,5,0)</f>
        <v>-2.2612312022829427E-13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325.72928944930294</v>
      </c>
      <c r="BJ190" s="59">
        <f t="shared" si="146"/>
        <v>318.38876834819752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0.77281078273363757</v>
      </c>
      <c r="BQ190" s="21">
        <f>EXP(-LN(2)/25)*BQ189+(1-EXP(-LN(2)/25))/(LN(2)/25)*Calculateur!BL190*Calculateur!BN190*VLOOKUP('Données projet'!$B$11,Paramètres!$A$1:$I$89,3,0)*0.475*44/12</f>
        <v>0.26612131436915953</v>
      </c>
      <c r="BR190" s="21">
        <f>EXP(-LN(2)/2)*BR189+(1-EXP(-LN(2)/2))/(LN(2)/2)*BL190*BO190*VLOOKUP('Données projet'!$B$11,Paramètres!$A$1:$I$89,3,0)*0.475*44/12</f>
        <v>2.7677052891177268E-23</v>
      </c>
      <c r="BS190" s="22">
        <f t="shared" si="169"/>
        <v>1.0389320971027971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-3.4106051316484809E-13</v>
      </c>
      <c r="BZ190" s="13">
        <f>BY190*VLOOKUP('Données projet'!$B$12,Paramètres!$A$1:$I$89,3,0)*VLOOKUP('Données projet'!$B$12,Paramètres!$A$1:$I$89,5,0)</f>
        <v>-1.9065282685915009E-13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475.54809021014017</v>
      </c>
      <c r="CE190" s="59">
        <f t="shared" si="148"/>
        <v>593.51433014569966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0.32767311288296586</v>
      </c>
      <c r="CL190" s="21">
        <f>EXP(-LN(2)/25)*CL189+(1-EXP(-LN(2)/25))/(LN(2)/25)*Calculateur!CG190*Calculateur!CI190*VLOOKUP('Données projet'!$B$12,Paramètres!$A$1:$I$89,3,0)*0.475*44/12</f>
        <v>0.54836007140682397</v>
      </c>
      <c r="CM190" s="21">
        <f>EXP(-LN(2)/2)*CM189+(1-EXP(-LN(2)/2))/(LN(2)/2)*CG190*CJ190*VLOOKUP('Données projet'!$B$12,Paramètres!$A$1:$I$89,3,0)*0.475*44/12</f>
        <v>3.3732543522172792E-23</v>
      </c>
      <c r="CN190" s="22">
        <f t="shared" si="172"/>
        <v>0.87603318428978982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-1.1368683772161603E-13</v>
      </c>
      <c r="CU190" s="17">
        <f>CT190*VLOOKUP('Données projet'!$B$13,Paramètres!$A$1:$I$89,3,0)*VLOOKUP('Données projet'!$B$13,Paramètres!$A$1:$I$89,5,0)</f>
        <v>-5.3205440053716299E-14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226.0452828290525</v>
      </c>
      <c r="CZ190" s="59">
        <f t="shared" si="150"/>
        <v>179.89696397462069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0.40510530710066756</v>
      </c>
      <c r="DG190" s="21">
        <f>EXP(-LN(2)/25)*DG189+(1-EXP(-LN(2)/25))/(LN(2)/25)*Calculateur!DB190*Calculateur!DD190*VLOOKUP('Données projet'!$B$13,Paramètres!$A$1:$I$89,3,0)*0.475*44/12</f>
        <v>0.14350198689281438</v>
      </c>
      <c r="DH190" s="21">
        <f>EXP(-LN(2)/2)*DH189+(1-EXP(-LN(2)/2))/(LN(2)/2)*DB190*DE190*VLOOKUP('Données projet'!$B$13,Paramètres!$A$1:$I$89,3,0)*0.475*44/12</f>
        <v>2.5836725538356262E-23</v>
      </c>
      <c r="DI190" s="22">
        <f t="shared" si="175"/>
        <v>0.54860729399348196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1.1368683772161603E-13</v>
      </c>
      <c r="DP190" s="17">
        <f>DO190*VLOOKUP('Données projet'!$B$14,Paramètres!$A$1:$I$89,3,0)*VLOOKUP('Données projet'!$B$14,Paramètres!$A$1:$I$89,5,0)</f>
        <v>6.7984728957526396E-14</v>
      </c>
      <c r="DQ190" s="13">
        <f t="shared" si="176"/>
        <v>1.0682447123141398E-12</v>
      </c>
      <c r="DR190" s="20">
        <f t="shared" si="177"/>
        <v>1.978932943548152E-12</v>
      </c>
      <c r="DS190" s="59">
        <f t="shared" si="125"/>
        <v>293.3333333333353</v>
      </c>
      <c r="DT190" s="59">
        <f ca="1">AVERAGE(OFFSET($DS$3,0,0,'Données projet'!$E$14+1,1))-AVERAGE(OFFSET($H$3,0,0,'Données projet'!$E$14+1,1))</f>
        <v>252.81045065813976</v>
      </c>
      <c r="DU190" s="59">
        <f t="shared" si="152"/>
        <v>254.36590349790589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0.80584286279470507</v>
      </c>
      <c r="EB190" s="21">
        <f>EXP(-LN(2)/25)*EB189+(1-EXP(-LN(2)/25))/(LN(2)/25)*Calculateur!DW190*Calculateur!DY190*VLOOKUP('Données projet'!$B$14,Paramètres!$A$1:$I$89,3,0)*0.475*44/12</f>
        <v>0.20751941969624446</v>
      </c>
      <c r="EC190" s="21">
        <f>EXP(-LN(2)/2)*EC189+(1-EXP(-LN(2)/2))/(LN(2)/2)*DW190*DZ190*VLOOKUP('Données projet'!$B$14,Paramètres!$A$1:$I$89,3,0)*0.475*44/12</f>
        <v>1.3432656563632433E-23</v>
      </c>
      <c r="ED190" s="22">
        <f t="shared" si="178"/>
        <v>1.0133622824909496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-2.8421709430404007E-13</v>
      </c>
      <c r="EK190" s="17">
        <f>EJ190*VLOOKUP('Données projet'!$B$15,Paramètres!$A$1:$I$89,3,0)*VLOOKUP('Données projet'!$B$15,Paramètres!$A$1:$I$89,5,0)</f>
        <v>-2.0838797354372215E-13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296.91321813251051</v>
      </c>
      <c r="EP190" s="59">
        <f t="shared" si="154"/>
        <v>291.0718079639509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0.57782115867727801</v>
      </c>
      <c r="EW190" s="21">
        <f>EXP(-LN(2)/25)*EW189+(1-EXP(-LN(2)/25))/(LN(2)/25)*Calculateur!ER190*Calculateur!ET190*VLOOKUP('Données projet'!$B$15,Paramètres!$A$1:$I$89,3,0)*0.475*44/12</f>
        <v>0.19897564792455461</v>
      </c>
      <c r="EX190" s="21">
        <f>EXP(-LN(2)/2)*EX189+(1-EXP(-LN(2)/2))/(LN(2)/2)*ER190*EU190*VLOOKUP('Données projet'!$B$15,Paramètres!$A$1:$I$89,3,0)*0.475*44/12</f>
        <v>2.5506303644810486E-23</v>
      </c>
      <c r="EY190" s="22">
        <f t="shared" si="181"/>
        <v>0.77679680660183259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>
        <f>FE190*VLOOKUP('Données projet'!$B$16,Paramètres!$A$1:$I$89,3,0)*VLOOKUP('Données projet'!$B$16,Paramètres!$A$1:$I$89,5,0)</f>
        <v>0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356.65981389369125</v>
      </c>
      <c r="FK190" s="59">
        <f t="shared" si="156"/>
        <v>231.92898690465887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0.36557439275378584</v>
      </c>
      <c r="FR190" s="21">
        <f>EXP(-LN(2)/25)*FR189+(1-EXP(-LN(2)/25))/(LN(2)/25)*Calculateur!FM190*Calculateur!FO190*VLOOKUP('Données projet'!$B$16,Paramètres!$A$1:$I$89,3,0)*0.475*44/12</f>
        <v>0.13505601346788612</v>
      </c>
      <c r="FS190" s="21">
        <f>EXP(-LN(2)/2)*FS189+(1-EXP(-LN(2)/2))/(LN(2)/2)*FM190*FP190*VLOOKUP('Données projet'!$B$16,Paramètres!$A$1:$I$89,3,0)*0.475*44/12</f>
        <v>2.2378228823226515E-23</v>
      </c>
      <c r="FT190" s="22">
        <f t="shared" si="184"/>
        <v>0.50063040622167199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>
        <f>FZ190*VLOOKUP('Données projet'!$B$17,Paramètres!$A$1:$I$89,3,0)*VLOOKUP('Données projet'!$B$17,Paramètres!$A$1:$I$89,5,0)</f>
        <v>0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337.76140497227715</v>
      </c>
      <c r="GF190" s="59">
        <f t="shared" si="158"/>
        <v>219.76562717496353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0.34870172847284164</v>
      </c>
      <c r="GM190" s="21">
        <f>EXP(-LN(2)/25)*GM189+(1-EXP(-LN(2)/25))/(LN(2)/25)*Calculateur!GH190*Calculateur!GJ190*VLOOKUP('Données projet'!$B$17,Paramètres!$A$1:$I$89,3,0)*0.475*44/12</f>
        <v>0.12882265900013753</v>
      </c>
      <c r="GN190" s="21">
        <f>EXP(-LN(2)/2)*GN189+(1-EXP(-LN(2)/2))/(LN(2)/2)*GH190*GK190*VLOOKUP('Données projet'!$B$17,Paramètres!$A$1:$I$89,3,0)*0.475*44/12</f>
        <v>2.1345387492923758E-23</v>
      </c>
      <c r="GO190" s="21">
        <f t="shared" si="187"/>
        <v>0.47752438747297921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312.53389584272878</v>
      </c>
      <c r="T191" s="59">
        <f t="shared" si="142"/>
        <v>203.5274665601915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0.31980816476360435</v>
      </c>
      <c r="AA191" s="21">
        <f>EXP(-LN(2)/25)*AA190+(1-EXP(-LN(2)/25))/(LN(2)/25)*Calculateur!V191*Calculateur!X191*VLOOKUP('Données projet'!$B$9,Paramètres!$A$1:$I$89,3,0)*0.475*44/12</f>
        <v>0.11721612586591576</v>
      </c>
      <c r="AB191" s="21">
        <f>EXP(-LN(2)/2)*AB190+(1-EXP(-LN(2)/2))/(LN(2)/2)*V191*Y191*VLOOKUP('Données projet'!$B$9,Paramètres!$A$1:$I$89,3,0)*0.475*44/12</f>
        <v>1.4119696098571813E-23</v>
      </c>
      <c r="AC191" s="22">
        <f t="shared" si="163"/>
        <v>0.43702429062952008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5.6843418860808015E-14</v>
      </c>
      <c r="AJ191" s="13">
        <f>AI191*VLOOKUP('Données projet'!$B$10,Paramètres!$A$1:$I$89,3,0)*VLOOKUP('Données projet'!$B$10,Paramètres!$A$1:$I$89,5,0)</f>
        <v>4.9658410716801891E-14</v>
      </c>
      <c r="AK191" s="13">
        <f t="shared" si="164"/>
        <v>8.0934058173791862E-13</v>
      </c>
      <c r="AL191" s="20">
        <f t="shared" si="165"/>
        <v>1.4960899118586383E-12</v>
      </c>
      <c r="AM191" s="59">
        <f t="shared" si="113"/>
        <v>293.33333333333479</v>
      </c>
      <c r="AN191" s="59">
        <f ca="1">AVERAGE(OFFSET($AM$3,0,0,'Données projet'!$E$10+1,1))-AVERAGE(OFFSET($H$3,0,0,'Données projet'!$E$10+1,1))</f>
        <v>243.05628303465238</v>
      </c>
      <c r="AO191" s="59">
        <f t="shared" si="144"/>
        <v>352.47096767658394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0.34546797298958398</v>
      </c>
      <c r="AV191" s="21">
        <f>EXP(-LN(2)/25)*AV190+(1-EXP(-LN(2)/25))/(LN(2)/25)*Calculateur!AQ191*Calculateur!AS191*VLOOKUP('Données projet'!$B$10,Paramètres!$A$1:$I$89,3,0)*0.475*44/12</f>
        <v>0.22677883692594492</v>
      </c>
      <c r="AW191" s="21">
        <f>EXP(-LN(2)/2)*AW190+(1-EXP(-LN(2)/2))/(LN(2)/2)*AQ191*AT191*VLOOKUP('Données projet'!$B$10,Paramètres!$A$1:$I$89,3,0)*0.475*44/12</f>
        <v>1.8649892349328424E-23</v>
      </c>
      <c r="AX191" s="21">
        <f t="shared" si="166"/>
        <v>0.5722468099155289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-2.8421709430404007E-13</v>
      </c>
      <c r="BE191" s="13">
        <f>BD191*VLOOKUP('Données projet'!$B$11,Paramètres!$A$1:$I$89,3,0)*VLOOKUP('Données projet'!$B$11,Paramètres!$A$1:$I$89,5,0)</f>
        <v>-2.2612312022829427E-13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325.72928944930294</v>
      </c>
      <c r="BJ191" s="59">
        <f t="shared" si="146"/>
        <v>318.38876834819752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0.75765643465226462</v>
      </c>
      <c r="BQ191" s="21">
        <f>EXP(-LN(2)/25)*BQ190+(1-EXP(-LN(2)/25))/(LN(2)/25)*Calculateur!BL191*Calculateur!BN191*VLOOKUP('Données projet'!$B$11,Paramètres!$A$1:$I$89,3,0)*0.475*44/12</f>
        <v>0.25884421303302318</v>
      </c>
      <c r="BR191" s="21">
        <f>EXP(-LN(2)/2)*BR190+(1-EXP(-LN(2)/2))/(LN(2)/2)*BL191*BO191*VLOOKUP('Données projet'!$B$11,Paramètres!$A$1:$I$89,3,0)*0.475*44/12</f>
        <v>1.9570631782610188E-23</v>
      </c>
      <c r="BS191" s="22">
        <f t="shared" si="169"/>
        <v>1.0165006476852878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-3.4106051316484809E-13</v>
      </c>
      <c r="BZ191" s="13">
        <f>BY191*VLOOKUP('Données projet'!$B$12,Paramètres!$A$1:$I$89,3,0)*VLOOKUP('Données projet'!$B$12,Paramètres!$A$1:$I$89,5,0)</f>
        <v>-1.9065282685915009E-13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475.54809021014017</v>
      </c>
      <c r="CE191" s="59">
        <f t="shared" si="148"/>
        <v>593.51433014569966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0.32124764300019515</v>
      </c>
      <c r="CL191" s="21">
        <f>EXP(-LN(2)/25)*CL190+(1-EXP(-LN(2)/25))/(LN(2)/25)*Calculateur!CG191*Calculateur!CI191*VLOOKUP('Données projet'!$B$12,Paramètres!$A$1:$I$89,3,0)*0.475*44/12</f>
        <v>0.53336513641720151</v>
      </c>
      <c r="CM191" s="21">
        <f>EXP(-LN(2)/2)*CM190+(1-EXP(-LN(2)/2))/(LN(2)/2)*CG191*CJ191*VLOOKUP('Données projet'!$B$12,Paramètres!$A$1:$I$89,3,0)*0.475*44/12</f>
        <v>2.3852510271198728E-23</v>
      </c>
      <c r="CN191" s="22">
        <f t="shared" si="172"/>
        <v>0.85461277941739666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-1.1368683772161603E-13</v>
      </c>
      <c r="CU191" s="17">
        <f>CT191*VLOOKUP('Données projet'!$B$13,Paramètres!$A$1:$I$89,3,0)*VLOOKUP('Données projet'!$B$13,Paramètres!$A$1:$I$89,5,0)</f>
        <v>-5.3205440053716299E-14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226.0452828290525</v>
      </c>
      <c r="CZ191" s="59">
        <f t="shared" si="150"/>
        <v>179.89696397462069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0.39716143911826268</v>
      </c>
      <c r="DG191" s="21">
        <f>EXP(-LN(2)/25)*DG190+(1-EXP(-LN(2)/25))/(LN(2)/25)*Calculateur!DB191*Calculateur!DD191*VLOOKUP('Données projet'!$B$13,Paramètres!$A$1:$I$89,3,0)*0.475*44/12</f>
        <v>0.13957791751478885</v>
      </c>
      <c r="DH191" s="21">
        <f>EXP(-LN(2)/2)*DH190+(1-EXP(-LN(2)/2))/(LN(2)/2)*DB191*DE191*VLOOKUP('Données projet'!$B$13,Paramètres!$A$1:$I$89,3,0)*0.475*44/12</f>
        <v>1.8269323831827368E-23</v>
      </c>
      <c r="DI191" s="22">
        <f t="shared" si="175"/>
        <v>0.5367393566330515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1.1368683772161603E-13</v>
      </c>
      <c r="DP191" s="17">
        <f>DO191*VLOOKUP('Données projet'!$B$14,Paramètres!$A$1:$I$89,3,0)*VLOOKUP('Données projet'!$B$14,Paramètres!$A$1:$I$89,5,0)</f>
        <v>6.7984728957526396E-14</v>
      </c>
      <c r="DQ191" s="13">
        <f t="shared" si="176"/>
        <v>1.0682447123141398E-12</v>
      </c>
      <c r="DR191" s="20">
        <f t="shared" si="177"/>
        <v>1.978932943548152E-12</v>
      </c>
      <c r="DS191" s="59">
        <f t="shared" si="125"/>
        <v>293.3333333333353</v>
      </c>
      <c r="DT191" s="59">
        <f ca="1">AVERAGE(OFFSET($DS$3,0,0,'Données projet'!$E$14+1,1))-AVERAGE(OFFSET($H$3,0,0,'Données projet'!$E$14+1,1))</f>
        <v>252.81045065813976</v>
      </c>
      <c r="DU191" s="59">
        <f t="shared" si="152"/>
        <v>254.36590349790589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0.79004077577091403</v>
      </c>
      <c r="EB191" s="21">
        <f>EXP(-LN(2)/25)*EB190+(1-EXP(-LN(2)/25))/(LN(2)/25)*Calculateur!DW191*Calculateur!DY191*VLOOKUP('Données projet'!$B$14,Paramètres!$A$1:$I$89,3,0)*0.475*44/12</f>
        <v>0.20184479025167867</v>
      </c>
      <c r="EC191" s="21">
        <f>EXP(-LN(2)/2)*EC190+(1-EXP(-LN(2)/2))/(LN(2)/2)*DW191*DZ191*VLOOKUP('Données projet'!$B$14,Paramètres!$A$1:$I$89,3,0)*0.475*44/12</f>
        <v>9.4983225454944804E-24</v>
      </c>
      <c r="ED191" s="22">
        <f t="shared" si="178"/>
        <v>0.9918855660225927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-2.8421709430404007E-13</v>
      </c>
      <c r="EK191" s="17">
        <f>EJ191*VLOOKUP('Données projet'!$B$15,Paramètres!$A$1:$I$89,3,0)*VLOOKUP('Données projet'!$B$15,Paramètres!$A$1:$I$89,5,0)</f>
        <v>-2.0838797354372215E-13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296.91321813251051</v>
      </c>
      <c r="EP191" s="59">
        <f t="shared" si="154"/>
        <v>291.0718079639509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0.56649043819172318</v>
      </c>
      <c r="EW191" s="21">
        <f>EXP(-LN(2)/25)*EW190+(1-EXP(-LN(2)/25))/(LN(2)/25)*Calculateur!ER191*Calculateur!ET191*VLOOKUP('Données projet'!$B$15,Paramètres!$A$1:$I$89,3,0)*0.475*44/12</f>
        <v>0.19353464836838311</v>
      </c>
      <c r="EX191" s="21">
        <f>EXP(-LN(2)/2)*EX190+(1-EXP(-LN(2)/2))/(LN(2)/2)*ER191*EU191*VLOOKUP('Données projet'!$B$15,Paramètres!$A$1:$I$89,3,0)*0.475*44/12</f>
        <v>1.8035680270248648E-23</v>
      </c>
      <c r="EY191" s="22">
        <f t="shared" si="181"/>
        <v>0.76002508656010626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>
        <f>FE191*VLOOKUP('Données projet'!$B$16,Paramètres!$A$1:$I$89,3,0)*VLOOKUP('Données projet'!$B$16,Paramètres!$A$1:$I$89,5,0)</f>
        <v>0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356.65981389369125</v>
      </c>
      <c r="FK191" s="59">
        <f t="shared" si="156"/>
        <v>231.92898690465887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0.3584057018902464</v>
      </c>
      <c r="FR191" s="21">
        <f>EXP(-LN(2)/25)*FR190+(1-EXP(-LN(2)/25))/(LN(2)/25)*Calculateur!FM191*Calculateur!FO191*VLOOKUP('Données projet'!$B$16,Paramètres!$A$1:$I$89,3,0)*0.475*44/12</f>
        <v>0.13136289967731971</v>
      </c>
      <c r="FS191" s="21">
        <f>EXP(-LN(2)/2)*FS190+(1-EXP(-LN(2)/2))/(LN(2)/2)*FM191*FP191*VLOOKUP('Données projet'!$B$16,Paramètres!$A$1:$I$89,3,0)*0.475*44/12</f>
        <v>1.5823797351847722E-23</v>
      </c>
      <c r="FT191" s="22">
        <f t="shared" si="184"/>
        <v>0.48976860156756608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>
        <f>FZ191*VLOOKUP('Données projet'!$B$17,Paramètres!$A$1:$I$89,3,0)*VLOOKUP('Données projet'!$B$17,Paramètres!$A$1:$I$89,5,0)</f>
        <v>0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337.76140497227715</v>
      </c>
      <c r="GF191" s="59">
        <f t="shared" si="158"/>
        <v>219.76562717496353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0.3418639002645425</v>
      </c>
      <c r="GM191" s="21">
        <f>EXP(-LN(2)/25)*GM190+(1-EXP(-LN(2)/25))/(LN(2)/25)*Calculateur!GH191*Calculateur!GJ191*VLOOKUP('Données projet'!$B$17,Paramètres!$A$1:$I$89,3,0)*0.475*44/12</f>
        <v>0.12529999661528957</v>
      </c>
      <c r="GN191" s="21">
        <f>EXP(-LN(2)/2)*GN190+(1-EXP(-LN(2)/2))/(LN(2)/2)*GH191*GK191*VLOOKUP('Données projet'!$B$17,Paramètres!$A$1:$I$89,3,0)*0.475*44/12</f>
        <v>1.5093468243300908E-23</v>
      </c>
      <c r="GO191" s="21">
        <f t="shared" si="187"/>
        <v>0.46716389687983206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312.53389584272878</v>
      </c>
      <c r="T192" s="59">
        <f t="shared" si="142"/>
        <v>203.5274665601915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0.31353692171630965</v>
      </c>
      <c r="AA192" s="21">
        <f>EXP(-LN(2)/25)*AA191+(1-EXP(-LN(2)/25))/(LN(2)/25)*Calculateur!V192*Calculateur!X192*VLOOKUP('Données projet'!$B$9,Paramètres!$A$1:$I$89,3,0)*0.475*44/12</f>
        <v>0.11401084473998413</v>
      </c>
      <c r="AB192" s="21">
        <f>EXP(-LN(2)/2)*AB191+(1-EXP(-LN(2)/2))/(LN(2)/2)*V192*Y192*VLOOKUP('Données projet'!$B$9,Paramètres!$A$1:$I$89,3,0)*0.475*44/12</f>
        <v>9.9841328595933679E-24</v>
      </c>
      <c r="AC192" s="22">
        <f t="shared" si="163"/>
        <v>0.42754776645629378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5.6843418860808015E-14</v>
      </c>
      <c r="AJ192" s="13">
        <f>AI192*VLOOKUP('Données projet'!$B$10,Paramètres!$A$1:$I$89,3,0)*VLOOKUP('Données projet'!$B$10,Paramètres!$A$1:$I$89,5,0)</f>
        <v>4.9658410716801891E-14</v>
      </c>
      <c r="AK192" s="13">
        <f t="shared" si="164"/>
        <v>8.0934058173791862E-13</v>
      </c>
      <c r="AL192" s="20">
        <f t="shared" si="165"/>
        <v>1.4960899118586383E-12</v>
      </c>
      <c r="AM192" s="59">
        <f t="shared" si="113"/>
        <v>293.33333333333479</v>
      </c>
      <c r="AN192" s="59">
        <f ca="1">AVERAGE(OFFSET($AM$3,0,0,'Données projet'!$E$10+1,1))-AVERAGE(OFFSET($H$3,0,0,'Données projet'!$E$10+1,1))</f>
        <v>243.05628303465238</v>
      </c>
      <c r="AO192" s="59">
        <f t="shared" si="144"/>
        <v>352.47096767658394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0.33869355675391544</v>
      </c>
      <c r="AV192" s="21">
        <f>EXP(-LN(2)/25)*AV191+(1-EXP(-LN(2)/25))/(LN(2)/25)*Calculateur!AQ192*Calculateur!AS192*VLOOKUP('Données projet'!$B$10,Paramètres!$A$1:$I$89,3,0)*0.475*44/12</f>
        <v>0.22057755770442422</v>
      </c>
      <c r="AW192" s="21">
        <f>EXP(-LN(2)/2)*AW191+(1-EXP(-LN(2)/2))/(LN(2)/2)*AQ192*AT192*VLOOKUP('Données projet'!$B$10,Paramètres!$A$1:$I$89,3,0)*0.475*44/12</f>
        <v>1.3187465348609241E-23</v>
      </c>
      <c r="AX192" s="21">
        <f t="shared" si="166"/>
        <v>0.55927111445833966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-2.8421709430404007E-13</v>
      </c>
      <c r="BE192" s="13">
        <f>BD192*VLOOKUP('Données projet'!$B$11,Paramètres!$A$1:$I$89,3,0)*VLOOKUP('Données projet'!$B$11,Paramètres!$A$1:$I$89,5,0)</f>
        <v>-2.2612312022829427E-13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325.72928944930294</v>
      </c>
      <c r="BJ192" s="59">
        <f t="shared" si="146"/>
        <v>318.38876834819752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0.74279925409352776</v>
      </c>
      <c r="BQ192" s="21">
        <f>EXP(-LN(2)/25)*BQ191+(1-EXP(-LN(2)/25))/(LN(2)/25)*Calculateur!BL192*Calculateur!BN192*VLOOKUP('Données projet'!$B$11,Paramètres!$A$1:$I$89,3,0)*0.475*44/12</f>
        <v>0.25176610441560959</v>
      </c>
      <c r="BR192" s="21">
        <f>EXP(-LN(2)/2)*BR191+(1-EXP(-LN(2)/2))/(LN(2)/2)*BL192*BO192*VLOOKUP('Données projet'!$B$11,Paramètres!$A$1:$I$89,3,0)*0.475*44/12</f>
        <v>1.3838526445588634E-23</v>
      </c>
      <c r="BS192" s="22">
        <f t="shared" si="169"/>
        <v>0.99456535850913741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-3.4106051316484809E-13</v>
      </c>
      <c r="BZ192" s="13">
        <f>BY192*VLOOKUP('Données projet'!$B$12,Paramètres!$A$1:$I$89,3,0)*VLOOKUP('Données projet'!$B$12,Paramètres!$A$1:$I$89,5,0)</f>
        <v>-1.9065282685915009E-13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475.54809021014017</v>
      </c>
      <c r="CE192" s="59">
        <f t="shared" si="148"/>
        <v>593.51433014569966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0.31494817266267594</v>
      </c>
      <c r="CL192" s="21">
        <f>EXP(-LN(2)/25)*CL191+(1-EXP(-LN(2)/25))/(LN(2)/25)*Calculateur!CG192*Calculateur!CI192*VLOOKUP('Données projet'!$B$12,Paramètres!$A$1:$I$89,3,0)*0.475*44/12</f>
        <v>0.51878023871341961</v>
      </c>
      <c r="CM192" s="21">
        <f>EXP(-LN(2)/2)*CM191+(1-EXP(-LN(2)/2))/(LN(2)/2)*CG192*CJ192*VLOOKUP('Données projet'!$B$12,Paramètres!$A$1:$I$89,3,0)*0.475*44/12</f>
        <v>1.6866271761086396E-23</v>
      </c>
      <c r="CN192" s="22">
        <f t="shared" si="172"/>
        <v>0.83372841137609555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-1.1368683772161603E-13</v>
      </c>
      <c r="CU192" s="17">
        <f>CT192*VLOOKUP('Données projet'!$B$13,Paramètres!$A$1:$I$89,3,0)*VLOOKUP('Données projet'!$B$13,Paramètres!$A$1:$I$89,5,0)</f>
        <v>-5.3205440053716299E-14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226.0452828290525</v>
      </c>
      <c r="CZ192" s="59">
        <f t="shared" si="150"/>
        <v>179.89696397462069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0.38937334554171177</v>
      </c>
      <c r="DG192" s="21">
        <f>EXP(-LN(2)/25)*DG191+(1-EXP(-LN(2)/25))/(LN(2)/25)*Calculateur!DB192*Calculateur!DD192*VLOOKUP('Données projet'!$B$13,Paramètres!$A$1:$I$89,3,0)*0.475*44/12</f>
        <v>0.13576115202026326</v>
      </c>
      <c r="DH192" s="21">
        <f>EXP(-LN(2)/2)*DH191+(1-EXP(-LN(2)/2))/(LN(2)/2)*DB192*DE192*VLOOKUP('Données projet'!$B$13,Paramètres!$A$1:$I$89,3,0)*0.475*44/12</f>
        <v>1.2918362769178134E-23</v>
      </c>
      <c r="DI192" s="22">
        <f t="shared" si="175"/>
        <v>0.52513449756197506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1.1368683772161603E-13</v>
      </c>
      <c r="DP192" s="17">
        <f>DO192*VLOOKUP('Données projet'!$B$14,Paramètres!$A$1:$I$89,3,0)*VLOOKUP('Données projet'!$B$14,Paramètres!$A$1:$I$89,5,0)</f>
        <v>6.7984728957526396E-14</v>
      </c>
      <c r="DQ192" s="13">
        <f t="shared" si="176"/>
        <v>1.0682447123141398E-12</v>
      </c>
      <c r="DR192" s="20">
        <f t="shared" si="177"/>
        <v>1.978932943548152E-12</v>
      </c>
      <c r="DS192" s="59">
        <f t="shared" si="125"/>
        <v>293.3333333333353</v>
      </c>
      <c r="DT192" s="59">
        <f ca="1">AVERAGE(OFFSET($DS$3,0,0,'Données projet'!$E$14+1,1))-AVERAGE(OFFSET($H$3,0,0,'Données projet'!$E$14+1,1))</f>
        <v>252.81045065813976</v>
      </c>
      <c r="DU192" s="59">
        <f t="shared" si="152"/>
        <v>254.36590349790589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0.77454855803533817</v>
      </c>
      <c r="EB192" s="21">
        <f>EXP(-LN(2)/25)*EB191+(1-EXP(-LN(2)/25))/(LN(2)/25)*Calculateur!DW192*Calculateur!DY192*VLOOKUP('Données projet'!$B$14,Paramètres!$A$1:$I$89,3,0)*0.475*44/12</f>
        <v>0.19632533384769033</v>
      </c>
      <c r="EC192" s="21">
        <f>EXP(-LN(2)/2)*EC191+(1-EXP(-LN(2)/2))/(LN(2)/2)*DW192*DZ192*VLOOKUP('Données projet'!$B$14,Paramètres!$A$1:$I$89,3,0)*0.475*44/12</f>
        <v>6.7163282818162166E-24</v>
      </c>
      <c r="ED192" s="22">
        <f t="shared" si="178"/>
        <v>0.97087389188302853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-2.8421709430404007E-13</v>
      </c>
      <c r="EK192" s="17">
        <f>EJ192*VLOOKUP('Données projet'!$B$15,Paramètres!$A$1:$I$89,3,0)*VLOOKUP('Données projet'!$B$15,Paramètres!$A$1:$I$89,5,0)</f>
        <v>-2.0838797354372215E-13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296.91321813251051</v>
      </c>
      <c r="EP192" s="59">
        <f t="shared" si="154"/>
        <v>291.0718079639509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0.55538190622383299</v>
      </c>
      <c r="EW192" s="21">
        <f>EXP(-LN(2)/25)*EW191+(1-EXP(-LN(2)/25))/(LN(2)/25)*Calculateur!ER192*Calculateur!ET192*VLOOKUP('Données projet'!$B$15,Paramètres!$A$1:$I$89,3,0)*0.475*44/12</f>
        <v>0.18824243323120485</v>
      </c>
      <c r="EX192" s="21">
        <f>EXP(-LN(2)/2)*EX191+(1-EXP(-LN(2)/2))/(LN(2)/2)*ER192*EU192*VLOOKUP('Données projet'!$B$15,Paramètres!$A$1:$I$89,3,0)*0.475*44/12</f>
        <v>1.2753151822405243E-23</v>
      </c>
      <c r="EY192" s="22">
        <f t="shared" si="181"/>
        <v>0.74362433945503781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>
        <f>FE192*VLOOKUP('Données projet'!$B$16,Paramètres!$A$1:$I$89,3,0)*VLOOKUP('Données projet'!$B$16,Paramètres!$A$1:$I$89,5,0)</f>
        <v>0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356.65981389369125</v>
      </c>
      <c r="FK192" s="59">
        <f t="shared" si="156"/>
        <v>231.92898690465887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0.35137758468207125</v>
      </c>
      <c r="FR192" s="21">
        <f>EXP(-LN(2)/25)*FR191+(1-EXP(-LN(2)/25))/(LN(2)/25)*Calculateur!FM192*Calculateur!FO192*VLOOKUP('Données projet'!$B$16,Paramètres!$A$1:$I$89,3,0)*0.475*44/12</f>
        <v>0.12777077427756875</v>
      </c>
      <c r="FS192" s="21">
        <f>EXP(-LN(2)/2)*FS191+(1-EXP(-LN(2)/2))/(LN(2)/2)*FM192*FP192*VLOOKUP('Données projet'!$B$16,Paramètres!$A$1:$I$89,3,0)*0.475*44/12</f>
        <v>1.1189114411613258E-23</v>
      </c>
      <c r="FT192" s="22">
        <f t="shared" si="184"/>
        <v>0.47914835895964003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>
        <f>FZ192*VLOOKUP('Données projet'!$B$17,Paramètres!$A$1:$I$89,3,0)*VLOOKUP('Données projet'!$B$17,Paramètres!$A$1:$I$89,5,0)</f>
        <v>0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337.76140497227715</v>
      </c>
      <c r="GF192" s="59">
        <f t="shared" si="158"/>
        <v>219.76562717496353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0.33516015769674468</v>
      </c>
      <c r="GM192" s="21">
        <f>EXP(-LN(2)/25)*GM191+(1-EXP(-LN(2)/25))/(LN(2)/25)*Calculateur!GH192*Calculateur!GJ192*VLOOKUP('Données projet'!$B$17,Paramètres!$A$1:$I$89,3,0)*0.475*44/12</f>
        <v>0.12187366161860402</v>
      </c>
      <c r="GN192" s="21">
        <f>EXP(-LN(2)/2)*GN191+(1-EXP(-LN(2)/2))/(LN(2)/2)*GH192*GK192*VLOOKUP('Données projet'!$B$17,Paramètres!$A$1:$I$89,3,0)*0.475*44/12</f>
        <v>1.0672693746461879E-23</v>
      </c>
      <c r="GO192" s="21">
        <f t="shared" si="187"/>
        <v>0.4570338193153487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312.53389584272878</v>
      </c>
      <c r="T193" s="59">
        <f t="shared" si="142"/>
        <v>203.5274665601915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0.30738865392009179</v>
      </c>
      <c r="AA193" s="21">
        <f>EXP(-LN(2)/25)*AA192+(1-EXP(-LN(2)/25))/(LN(2)/25)*Calculateur!V193*Calculateur!X193*VLOOKUP('Données projet'!$B$9,Paramètres!$A$1:$I$89,3,0)*0.475*44/12</f>
        <v>0.11089321219499951</v>
      </c>
      <c r="AB193" s="21">
        <f>EXP(-LN(2)/2)*AB192+(1-EXP(-LN(2)/2))/(LN(2)/2)*V193*Y193*VLOOKUP('Données projet'!$B$9,Paramètres!$A$1:$I$89,3,0)*0.475*44/12</f>
        <v>7.0598480492859065E-24</v>
      </c>
      <c r="AC193" s="22">
        <f t="shared" si="163"/>
        <v>0.41828186611509133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5.6843418860808015E-14</v>
      </c>
      <c r="AJ193" s="13">
        <f>AI193*VLOOKUP('Données projet'!$B$10,Paramètres!$A$1:$I$89,3,0)*VLOOKUP('Données projet'!$B$10,Paramètres!$A$1:$I$89,5,0)</f>
        <v>4.9658410716801891E-14</v>
      </c>
      <c r="AK193" s="13">
        <f t="shared" si="164"/>
        <v>8.0934058173791862E-13</v>
      </c>
      <c r="AL193" s="20">
        <f t="shared" si="165"/>
        <v>1.4960899118586383E-12</v>
      </c>
      <c r="AM193" s="59">
        <f t="shared" si="113"/>
        <v>293.33333333333479</v>
      </c>
      <c r="AN193" s="59">
        <f ca="1">AVERAGE(OFFSET($AM$3,0,0,'Données projet'!$E$10+1,1))-AVERAGE(OFFSET($H$3,0,0,'Données projet'!$E$10+1,1))</f>
        <v>243.05628303465238</v>
      </c>
      <c r="AO193" s="59">
        <f t="shared" si="144"/>
        <v>352.47096767658394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0.33205198268864244</v>
      </c>
      <c r="AV193" s="21">
        <f>EXP(-LN(2)/25)*AV192+(1-EXP(-LN(2)/25))/(LN(2)/25)*Calculateur!AQ193*Calculateur!AS193*VLOOKUP('Données projet'!$B$10,Paramètres!$A$1:$I$89,3,0)*0.475*44/12</f>
        <v>0.21454585278932711</v>
      </c>
      <c r="AW193" s="21">
        <f>EXP(-LN(2)/2)*AW192+(1-EXP(-LN(2)/2))/(LN(2)/2)*AQ193*AT193*VLOOKUP('Données projet'!$B$10,Paramètres!$A$1:$I$89,3,0)*0.475*44/12</f>
        <v>9.3249461746642137E-24</v>
      </c>
      <c r="AX193" s="21">
        <f t="shared" si="166"/>
        <v>0.54659783547796958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-2.8421709430404007E-13</v>
      </c>
      <c r="BE193" s="13">
        <f>BD193*VLOOKUP('Données projet'!$B$11,Paramètres!$A$1:$I$89,3,0)*VLOOKUP('Données projet'!$B$11,Paramètres!$A$1:$I$89,5,0)</f>
        <v>-2.2612312022829427E-13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325.72928944930294</v>
      </c>
      <c r="BJ193" s="59">
        <f t="shared" si="146"/>
        <v>318.38876834819752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0.72823341378356243</v>
      </c>
      <c r="BQ193" s="21">
        <f>EXP(-LN(2)/25)*BQ192+(1-EXP(-LN(2)/25))/(LN(2)/25)*Calculateur!BL193*Calculateur!BN193*VLOOKUP('Données projet'!$B$11,Paramètres!$A$1:$I$89,3,0)*0.475*44/12</f>
        <v>0.24488154705056073</v>
      </c>
      <c r="BR193" s="21">
        <f>EXP(-LN(2)/2)*BR192+(1-EXP(-LN(2)/2))/(LN(2)/2)*BL193*BO193*VLOOKUP('Données projet'!$B$11,Paramètres!$A$1:$I$89,3,0)*0.475*44/12</f>
        <v>9.785315891305094E-24</v>
      </c>
      <c r="BS193" s="22">
        <f t="shared" si="169"/>
        <v>0.97311496083412319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-3.4106051316484809E-13</v>
      </c>
      <c r="BZ193" s="13">
        <f>BY193*VLOOKUP('Données projet'!$B$12,Paramètres!$A$1:$I$89,3,0)*VLOOKUP('Données projet'!$B$12,Paramètres!$A$1:$I$89,5,0)</f>
        <v>-1.9065282685915009E-13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475.54809021014017</v>
      </c>
      <c r="CE193" s="59">
        <f t="shared" si="148"/>
        <v>593.51433014569966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0.30877223109617796</v>
      </c>
      <c r="CL193" s="21">
        <f>EXP(-LN(2)/25)*CL192+(1-EXP(-LN(2)/25))/(LN(2)/25)*Calculateur!CG193*Calculateur!CI193*VLOOKUP('Données projet'!$B$12,Paramètres!$A$1:$I$89,3,0)*0.475*44/12</f>
        <v>0.50459416580433403</v>
      </c>
      <c r="CM193" s="21">
        <f>EXP(-LN(2)/2)*CM192+(1-EXP(-LN(2)/2))/(LN(2)/2)*CG193*CJ193*VLOOKUP('Données projet'!$B$12,Paramètres!$A$1:$I$89,3,0)*0.475*44/12</f>
        <v>1.1926255135599364E-23</v>
      </c>
      <c r="CN193" s="22">
        <f t="shared" si="172"/>
        <v>0.81336639690051205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-1.1368683772161603E-13</v>
      </c>
      <c r="CU193" s="17">
        <f>CT193*VLOOKUP('Données projet'!$B$13,Paramètres!$A$1:$I$89,3,0)*VLOOKUP('Données projet'!$B$13,Paramètres!$A$1:$I$89,5,0)</f>
        <v>-5.3205440053716299E-14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226.0452828290525</v>
      </c>
      <c r="CZ193" s="59">
        <f t="shared" si="150"/>
        <v>179.89696397462069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0.38173797172992896</v>
      </c>
      <c r="DG193" s="21">
        <f>EXP(-LN(2)/25)*DG192+(1-EXP(-LN(2)/25))/(LN(2)/25)*Calculateur!DB193*Calculateur!DD193*VLOOKUP('Données projet'!$B$13,Paramètres!$A$1:$I$89,3,0)*0.475*44/12</f>
        <v>0.13204875617890047</v>
      </c>
      <c r="DH193" s="21">
        <f>EXP(-LN(2)/2)*DH192+(1-EXP(-LN(2)/2))/(LN(2)/2)*DB193*DE193*VLOOKUP('Données projet'!$B$13,Paramètres!$A$1:$I$89,3,0)*0.475*44/12</f>
        <v>9.1346619159136856E-24</v>
      </c>
      <c r="DI193" s="22">
        <f t="shared" si="175"/>
        <v>0.5137867279088294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1.1368683772161603E-13</v>
      </c>
      <c r="DP193" s="17">
        <f>DO193*VLOOKUP('Données projet'!$B$14,Paramètres!$A$1:$I$89,3,0)*VLOOKUP('Données projet'!$B$14,Paramètres!$A$1:$I$89,5,0)</f>
        <v>6.7984728957526396E-14</v>
      </c>
      <c r="DQ193" s="13">
        <f t="shared" si="176"/>
        <v>1.0682447123141398E-12</v>
      </c>
      <c r="DR193" s="20">
        <f t="shared" si="177"/>
        <v>1.978932943548152E-12</v>
      </c>
      <c r="DS193" s="59">
        <f t="shared" si="125"/>
        <v>293.3333333333353</v>
      </c>
      <c r="DT193" s="59">
        <f ca="1">AVERAGE(OFFSET($DS$3,0,0,'Données projet'!$E$14+1,1))-AVERAGE(OFFSET($H$3,0,0,'Données projet'!$E$14+1,1))</f>
        <v>252.81045065813976</v>
      </c>
      <c r="DU193" s="59">
        <f t="shared" si="152"/>
        <v>254.36590349790589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0.75936013324023721</v>
      </c>
      <c r="EB193" s="21">
        <f>EXP(-LN(2)/25)*EB192+(1-EXP(-LN(2)/25))/(LN(2)/25)*Calculateur!DW193*Calculateur!DY193*VLOOKUP('Données projet'!$B$14,Paramètres!$A$1:$I$89,3,0)*0.475*44/12</f>
        <v>0.19095680726932462</v>
      </c>
      <c r="EC193" s="21">
        <f>EXP(-LN(2)/2)*EC192+(1-EXP(-LN(2)/2))/(LN(2)/2)*DW193*DZ193*VLOOKUP('Données projet'!$B$14,Paramètres!$A$1:$I$89,3,0)*0.475*44/12</f>
        <v>4.7491612727472402E-24</v>
      </c>
      <c r="ED193" s="22">
        <f t="shared" si="178"/>
        <v>0.95031694050956184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-2.8421709430404007E-13</v>
      </c>
      <c r="EK193" s="17">
        <f>EJ193*VLOOKUP('Données projet'!$B$15,Paramètres!$A$1:$I$89,3,0)*VLOOKUP('Données projet'!$B$15,Paramètres!$A$1:$I$89,5,0)</f>
        <v>-2.0838797354372215E-13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296.91321813251051</v>
      </c>
      <c r="EP193" s="59">
        <f t="shared" si="154"/>
        <v>291.0718079639509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0.54449120579229771</v>
      </c>
      <c r="EW193" s="21">
        <f>EXP(-LN(2)/25)*EW192+(1-EXP(-LN(2)/25))/(LN(2)/25)*Calculateur!ER193*Calculateur!ET193*VLOOKUP('Données projet'!$B$15,Paramètres!$A$1:$I$89,3,0)*0.475*44/12</f>
        <v>0.18309493399525822</v>
      </c>
      <c r="EX193" s="21">
        <f>EXP(-LN(2)/2)*EX192+(1-EXP(-LN(2)/2))/(LN(2)/2)*ER193*EU193*VLOOKUP('Données projet'!$B$15,Paramètres!$A$1:$I$89,3,0)*0.475*44/12</f>
        <v>9.017840135124324E-24</v>
      </c>
      <c r="EY193" s="22">
        <f t="shared" si="181"/>
        <v>0.72758613978755593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>
        <f>FE193*VLOOKUP('Données projet'!$B$16,Paramètres!$A$1:$I$89,3,0)*VLOOKUP('Données projet'!$B$16,Paramètres!$A$1:$I$89,5,0)</f>
        <v>0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356.65981389369125</v>
      </c>
      <c r="FK193" s="59">
        <f t="shared" si="156"/>
        <v>231.92898690465887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0.34448728456562022</v>
      </c>
      <c r="FR193" s="21">
        <f>EXP(-LN(2)/25)*FR192+(1-EXP(-LN(2)/25))/(LN(2)/25)*Calculateur!FM193*Calculateur!FO193*VLOOKUP('Données projet'!$B$16,Paramètres!$A$1:$I$89,3,0)*0.475*44/12</f>
        <v>0.12427687573577563</v>
      </c>
      <c r="FS193" s="21">
        <f>EXP(-LN(2)/2)*FS192+(1-EXP(-LN(2)/2))/(LN(2)/2)*FM193*FP193*VLOOKUP('Données projet'!$B$16,Paramètres!$A$1:$I$89,3,0)*0.475*44/12</f>
        <v>7.9118986759238611E-24</v>
      </c>
      <c r="FT193" s="22">
        <f t="shared" si="184"/>
        <v>0.46876416030139584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>
        <f>FZ193*VLOOKUP('Données projet'!$B$17,Paramètres!$A$1:$I$89,3,0)*VLOOKUP('Données projet'!$B$17,Paramètres!$A$1:$I$89,5,0)</f>
        <v>0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337.76140497227715</v>
      </c>
      <c r="GF193" s="59">
        <f t="shared" si="158"/>
        <v>219.76562717496353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0.32858787143182216</v>
      </c>
      <c r="GM193" s="21">
        <f>EXP(-LN(2)/25)*GM192+(1-EXP(-LN(2)/25))/(LN(2)/25)*Calculateur!GH193*Calculateur!GJ193*VLOOKUP('Données projet'!$B$17,Paramètres!$A$1:$I$89,3,0)*0.475*44/12</f>
        <v>0.11854101993258598</v>
      </c>
      <c r="GN193" s="21">
        <f>EXP(-LN(2)/2)*GN192+(1-EXP(-LN(2)/2))/(LN(2)/2)*GH193*GK193*VLOOKUP('Données projet'!$B$17,Paramètres!$A$1:$I$89,3,0)*0.475*44/12</f>
        <v>7.5467341216504539E-24</v>
      </c>
      <c r="GO193" s="21">
        <f t="shared" si="187"/>
        <v>0.44712889136440814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312.53389584272878</v>
      </c>
      <c r="T194" s="59">
        <f t="shared" si="142"/>
        <v>203.5274665601915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0.30136094990528473</v>
      </c>
      <c r="AA194" s="21">
        <f>EXP(-LN(2)/25)*AA193+(1-EXP(-LN(2)/25))/(LN(2)/25)*Calculateur!V194*Calculateur!X194*VLOOKUP('Données projet'!$B$9,Paramètres!$A$1:$I$89,3,0)*0.475*44/12</f>
        <v>0.10786083147590667</v>
      </c>
      <c r="AB194" s="21">
        <f>EXP(-LN(2)/2)*AB193+(1-EXP(-LN(2)/2))/(LN(2)/2)*V194*Y194*VLOOKUP('Données projet'!$B$9,Paramètres!$A$1:$I$89,3,0)*0.475*44/12</f>
        <v>4.9920664297966839E-24</v>
      </c>
      <c r="AC194" s="22">
        <f t="shared" si="163"/>
        <v>0.40922178138119136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5.6843418860808015E-14</v>
      </c>
      <c r="AJ194" s="13">
        <f>AI194*VLOOKUP('Données projet'!$B$10,Paramètres!$A$1:$I$89,3,0)*VLOOKUP('Données projet'!$B$10,Paramètres!$A$1:$I$89,5,0)</f>
        <v>4.9658410716801891E-14</v>
      </c>
      <c r="AK194" s="13">
        <f t="shared" si="164"/>
        <v>8.0934058173791862E-13</v>
      </c>
      <c r="AL194" s="20">
        <f t="shared" si="165"/>
        <v>1.4960899118586383E-12</v>
      </c>
      <c r="AM194" s="59">
        <f t="shared" si="113"/>
        <v>293.33333333333479</v>
      </c>
      <c r="AN194" s="59">
        <f ca="1">AVERAGE(OFFSET($AM$3,0,0,'Données projet'!$E$10+1,1))-AVERAGE(OFFSET($H$3,0,0,'Données projet'!$E$10+1,1))</f>
        <v>243.05628303465238</v>
      </c>
      <c r="AO194" s="59">
        <f t="shared" si="144"/>
        <v>352.47096767658394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0.32554064583982928</v>
      </c>
      <c r="AV194" s="21">
        <f>EXP(-LN(2)/25)*AV193+(1-EXP(-LN(2)/25))/(LN(2)/25)*Calculateur!AQ194*Calculateur!AS194*VLOOKUP('Données projet'!$B$10,Paramètres!$A$1:$I$89,3,0)*0.475*44/12</f>
        <v>0.20867908516232692</v>
      </c>
      <c r="AW194" s="21">
        <f>EXP(-LN(2)/2)*AW193+(1-EXP(-LN(2)/2))/(LN(2)/2)*AQ194*AT194*VLOOKUP('Données projet'!$B$10,Paramètres!$A$1:$I$89,3,0)*0.475*44/12</f>
        <v>6.5937326743046221E-24</v>
      </c>
      <c r="AX194" s="21">
        <f t="shared" si="166"/>
        <v>0.53421973100215614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-2.8421709430404007E-13</v>
      </c>
      <c r="BE194" s="13">
        <f>BD194*VLOOKUP('Données projet'!$B$11,Paramètres!$A$1:$I$89,3,0)*VLOOKUP('Données projet'!$B$11,Paramètres!$A$1:$I$89,5,0)</f>
        <v>-2.2612312022829427E-13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325.72928944930294</v>
      </c>
      <c r="BJ194" s="59">
        <f t="shared" si="146"/>
        <v>318.38876834819752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0.71395320071779023</v>
      </c>
      <c r="BQ194" s="21">
        <f>EXP(-LN(2)/25)*BQ193+(1-EXP(-LN(2)/25))/(LN(2)/25)*Calculateur!BL194*Calculateur!BN194*VLOOKUP('Données projet'!$B$11,Paramètres!$A$1:$I$89,3,0)*0.475*44/12</f>
        <v>0.23818524826870227</v>
      </c>
      <c r="BR194" s="21">
        <f>EXP(-LN(2)/2)*BR193+(1-EXP(-LN(2)/2))/(LN(2)/2)*BL194*BO194*VLOOKUP('Données projet'!$B$11,Paramètres!$A$1:$I$89,3,0)*0.475*44/12</f>
        <v>6.9192632227943171E-24</v>
      </c>
      <c r="BS194" s="22">
        <f t="shared" si="169"/>
        <v>0.95213844898649247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-3.4106051316484809E-13</v>
      </c>
      <c r="BZ194" s="13">
        <f>BY194*VLOOKUP('Données projet'!$B$12,Paramètres!$A$1:$I$89,3,0)*VLOOKUP('Données projet'!$B$12,Paramètres!$A$1:$I$89,5,0)</f>
        <v>-1.9065282685915009E-13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475.54809021014017</v>
      </c>
      <c r="CE194" s="59">
        <f t="shared" si="148"/>
        <v>593.51433014569966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0.3027173959768466</v>
      </c>
      <c r="CL194" s="21">
        <f>EXP(-LN(2)/25)*CL193+(1-EXP(-LN(2)/25))/(LN(2)/25)*Calculateur!CG194*Calculateur!CI194*VLOOKUP('Données projet'!$B$12,Paramètres!$A$1:$I$89,3,0)*0.475*44/12</f>
        <v>0.49079601180496057</v>
      </c>
      <c r="CM194" s="21">
        <f>EXP(-LN(2)/2)*CM193+(1-EXP(-LN(2)/2))/(LN(2)/2)*CG194*CJ194*VLOOKUP('Données projet'!$B$12,Paramètres!$A$1:$I$89,3,0)*0.475*44/12</f>
        <v>8.4331358805431981E-24</v>
      </c>
      <c r="CN194" s="22">
        <f t="shared" si="172"/>
        <v>0.79351340778180712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-1.1368683772161603E-13</v>
      </c>
      <c r="CU194" s="17">
        <f>CT194*VLOOKUP('Données projet'!$B$13,Paramètres!$A$1:$I$89,3,0)*VLOOKUP('Données projet'!$B$13,Paramètres!$A$1:$I$89,5,0)</f>
        <v>-5.3205440053716299E-14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226.0452828290525</v>
      </c>
      <c r="CZ194" s="59">
        <f t="shared" si="150"/>
        <v>179.89696397462069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0.37425232294147703</v>
      </c>
      <c r="DG194" s="21">
        <f>EXP(-LN(2)/25)*DG193+(1-EXP(-LN(2)/25))/(LN(2)/25)*Calculateur!DB194*Calculateur!DD194*VLOOKUP('Données projet'!$B$13,Paramètres!$A$1:$I$89,3,0)*0.475*44/12</f>
        <v>0.12843787599704615</v>
      </c>
      <c r="DH194" s="21">
        <f>EXP(-LN(2)/2)*DH193+(1-EXP(-LN(2)/2))/(LN(2)/2)*DB194*DE194*VLOOKUP('Données projet'!$B$13,Paramètres!$A$1:$I$89,3,0)*0.475*44/12</f>
        <v>6.4591813845890678E-24</v>
      </c>
      <c r="DI194" s="22">
        <f t="shared" si="175"/>
        <v>0.50269019893852318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1.1368683772161603E-13</v>
      </c>
      <c r="DP194" s="17">
        <f>DO194*VLOOKUP('Données projet'!$B$14,Paramètres!$A$1:$I$89,3,0)*VLOOKUP('Données projet'!$B$14,Paramètres!$A$1:$I$89,5,0)</f>
        <v>6.7984728957526396E-14</v>
      </c>
      <c r="DQ194" s="13">
        <f t="shared" si="176"/>
        <v>1.0682447123141398E-12</v>
      </c>
      <c r="DR194" s="20">
        <f t="shared" si="177"/>
        <v>1.978932943548152E-12</v>
      </c>
      <c r="DS194" s="59">
        <f t="shared" si="125"/>
        <v>293.3333333333353</v>
      </c>
      <c r="DT194" s="59">
        <f ca="1">AVERAGE(OFFSET($DS$3,0,0,'Données projet'!$E$14+1,1))-AVERAGE(OFFSET($H$3,0,0,'Données projet'!$E$14+1,1))</f>
        <v>252.81045065813976</v>
      </c>
      <c r="DU194" s="59">
        <f t="shared" si="152"/>
        <v>254.36590349790589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0.74446954419134381</v>
      </c>
      <c r="EB194" s="21">
        <f>EXP(-LN(2)/25)*EB193+(1-EXP(-LN(2)/25))/(LN(2)/25)*Calculateur!DW194*Calculateur!DY194*VLOOKUP('Données projet'!$B$14,Paramètres!$A$1:$I$89,3,0)*0.475*44/12</f>
        <v>0.18573508333256289</v>
      </c>
      <c r="EC194" s="21">
        <f>EXP(-LN(2)/2)*EC193+(1-EXP(-LN(2)/2))/(LN(2)/2)*DW194*DZ194*VLOOKUP('Données projet'!$B$14,Paramètres!$A$1:$I$89,3,0)*0.475*44/12</f>
        <v>3.3581641409081083E-24</v>
      </c>
      <c r="ED194" s="22">
        <f t="shared" si="178"/>
        <v>0.93020462752390665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-2.8421709430404007E-13</v>
      </c>
      <c r="EK194" s="17">
        <f>EJ194*VLOOKUP('Données projet'!$B$15,Paramètres!$A$1:$I$89,3,0)*VLOOKUP('Données projet'!$B$15,Paramètres!$A$1:$I$89,5,0)</f>
        <v>-2.0838797354372215E-13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296.91321813251051</v>
      </c>
      <c r="EP194" s="59">
        <f t="shared" si="154"/>
        <v>291.0718079639509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0.53381406535355347</v>
      </c>
      <c r="EW194" s="21">
        <f>EXP(-LN(2)/25)*EW193+(1-EXP(-LN(2)/25))/(LN(2)/25)*Calculateur!ER194*Calculateur!ET194*VLOOKUP('Données projet'!$B$15,Paramètres!$A$1:$I$89,3,0)*0.475*44/12</f>
        <v>0.17808819339661378</v>
      </c>
      <c r="EX194" s="21">
        <f>EXP(-LN(2)/2)*EX193+(1-EXP(-LN(2)/2))/(LN(2)/2)*ER194*EU194*VLOOKUP('Données projet'!$B$15,Paramètres!$A$1:$I$89,3,0)*0.475*44/12</f>
        <v>6.3765759112026216E-24</v>
      </c>
      <c r="EY194" s="22">
        <f t="shared" si="181"/>
        <v>0.71190225875016722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>
        <f>FE194*VLOOKUP('Données projet'!$B$16,Paramètres!$A$1:$I$89,3,0)*VLOOKUP('Données projet'!$B$16,Paramètres!$A$1:$I$89,5,0)</f>
        <v>0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356.65981389369125</v>
      </c>
      <c r="FK194" s="59">
        <f t="shared" si="156"/>
        <v>231.92898690465887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0.33773209903178469</v>
      </c>
      <c r="FR194" s="21">
        <f>EXP(-LN(2)/25)*FR193+(1-EXP(-LN(2)/25))/(LN(2)/25)*Calculateur!FM194*Calculateur!FO194*VLOOKUP('Données projet'!$B$16,Paramètres!$A$1:$I$89,3,0)*0.475*44/12</f>
        <v>0.12087851803334398</v>
      </c>
      <c r="FS194" s="21">
        <f>EXP(-LN(2)/2)*FS193+(1-EXP(-LN(2)/2))/(LN(2)/2)*FM194*FP194*VLOOKUP('Données projet'!$B$16,Paramètres!$A$1:$I$89,3,0)*0.475*44/12</f>
        <v>5.5945572058066288E-24</v>
      </c>
      <c r="FT194" s="22">
        <f t="shared" si="184"/>
        <v>0.45861061706512868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>
        <f>FZ194*VLOOKUP('Données projet'!$B$17,Paramètres!$A$1:$I$89,3,0)*VLOOKUP('Données projet'!$B$17,Paramètres!$A$1:$I$89,5,0)</f>
        <v>0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337.76140497227715</v>
      </c>
      <c r="GF194" s="59">
        <f t="shared" si="158"/>
        <v>219.76562717496353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0.32214446369185601</v>
      </c>
      <c r="GM194" s="21">
        <f>EXP(-LN(2)/25)*GM193+(1-EXP(-LN(2)/25))/(LN(2)/25)*Calculateur!GH194*Calculateur!GJ194*VLOOKUP('Données projet'!$B$17,Paramètres!$A$1:$I$89,3,0)*0.475*44/12</f>
        <v>0.11529950950872811</v>
      </c>
      <c r="GN194" s="21">
        <f>EXP(-LN(2)/2)*GN193+(1-EXP(-LN(2)/2))/(LN(2)/2)*GH194*GK194*VLOOKUP('Données projet'!$B$17,Paramètres!$A$1:$I$89,3,0)*0.475*44/12</f>
        <v>5.3363468732309395E-24</v>
      </c>
      <c r="GO194" s="21">
        <f t="shared" si="187"/>
        <v>0.43744397320058415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312.53389584272878</v>
      </c>
      <c r="T195" s="59">
        <f t="shared" si="142"/>
        <v>203.5274665601915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0.29545144548967162</v>
      </c>
      <c r="AA195" s="21">
        <f>EXP(-LN(2)/25)*AA194+(1-EXP(-LN(2)/25))/(LN(2)/25)*Calculateur!V195*Calculateur!X195*VLOOKUP('Données projet'!$B$9,Paramètres!$A$1:$I$89,3,0)*0.475*44/12</f>
        <v>0.10491137136704339</v>
      </c>
      <c r="AB195" s="21">
        <f>EXP(-LN(2)/2)*AB194+(1-EXP(-LN(2)/2))/(LN(2)/2)*V195*Y195*VLOOKUP('Données projet'!$B$9,Paramètres!$A$1:$I$89,3,0)*0.475*44/12</f>
        <v>3.5299240246429533E-24</v>
      </c>
      <c r="AC195" s="22">
        <f t="shared" si="163"/>
        <v>0.40036281685671499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5.6843418860808015E-14</v>
      </c>
      <c r="AJ195" s="13">
        <f>AI195*VLOOKUP('Données projet'!$B$10,Paramètres!$A$1:$I$89,3,0)*VLOOKUP('Données projet'!$B$10,Paramètres!$A$1:$I$89,5,0)</f>
        <v>4.9658410716801891E-14</v>
      </c>
      <c r="AK195" s="13">
        <f t="shared" si="164"/>
        <v>8.0934058173791862E-13</v>
      </c>
      <c r="AL195" s="20">
        <f t="shared" si="165"/>
        <v>1.4960899118586383E-12</v>
      </c>
      <c r="AM195" s="59">
        <f t="shared" si="113"/>
        <v>293.33333333333479</v>
      </c>
      <c r="AN195" s="59">
        <f ca="1">AVERAGE(OFFSET($AM$3,0,0,'Données projet'!$E$10+1,1))-AVERAGE(OFFSET($H$3,0,0,'Données projet'!$E$10+1,1))</f>
        <v>243.05628303465238</v>
      </c>
      <c r="AO195" s="59">
        <f t="shared" si="144"/>
        <v>352.47096767658394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0.31915699233509798</v>
      </c>
      <c r="AV195" s="21">
        <f>EXP(-LN(2)/25)*AV194+(1-EXP(-LN(2)/25))/(LN(2)/25)*Calculateur!AQ195*Calculateur!AS195*VLOOKUP('Données projet'!$B$10,Paramètres!$A$1:$I$89,3,0)*0.475*44/12</f>
        <v>0.20297274460460693</v>
      </c>
      <c r="AW195" s="21">
        <f>EXP(-LN(2)/2)*AW194+(1-EXP(-LN(2)/2))/(LN(2)/2)*AQ195*AT195*VLOOKUP('Données projet'!$B$10,Paramètres!$A$1:$I$89,3,0)*0.475*44/12</f>
        <v>4.6624730873321076E-24</v>
      </c>
      <c r="AX195" s="21">
        <f t="shared" si="166"/>
        <v>0.52212973693970488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-2.8421709430404007E-13</v>
      </c>
      <c r="BE195" s="13">
        <f>BD195*VLOOKUP('Données projet'!$B$11,Paramètres!$A$1:$I$89,3,0)*VLOOKUP('Données projet'!$B$11,Paramètres!$A$1:$I$89,5,0)</f>
        <v>-2.2612312022829427E-13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325.72928944930294</v>
      </c>
      <c r="BJ195" s="59">
        <f t="shared" si="146"/>
        <v>318.38876834819752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0.69995301392016784</v>
      </c>
      <c r="BQ195" s="21">
        <f>EXP(-LN(2)/25)*BQ194+(1-EXP(-LN(2)/25))/(LN(2)/25)*Calculateur!BL195*Calculateur!BN195*VLOOKUP('Données projet'!$B$11,Paramètres!$A$1:$I$89,3,0)*0.475*44/12</f>
        <v>0.23167206012917679</v>
      </c>
      <c r="BR195" s="21">
        <f>EXP(-LN(2)/2)*BR194+(1-EXP(-LN(2)/2))/(LN(2)/2)*BL195*BO195*VLOOKUP('Données projet'!$B$11,Paramètres!$A$1:$I$89,3,0)*0.475*44/12</f>
        <v>4.892657945652547E-24</v>
      </c>
      <c r="BS195" s="22">
        <f t="shared" si="169"/>
        <v>0.93162507404934458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-3.4106051316484809E-13</v>
      </c>
      <c r="BZ195" s="13">
        <f>BY195*VLOOKUP('Données projet'!$B$12,Paramètres!$A$1:$I$89,3,0)*VLOOKUP('Données projet'!$B$12,Paramètres!$A$1:$I$89,5,0)</f>
        <v>-1.9065282685915009E-13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475.54809021014017</v>
      </c>
      <c r="CE195" s="59">
        <f t="shared" si="148"/>
        <v>593.51433014569966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0.29678129248112056</v>
      </c>
      <c r="CL195" s="21">
        <f>EXP(-LN(2)/25)*CL194+(1-EXP(-LN(2)/25))/(LN(2)/25)*Calculateur!CG195*Calculateur!CI195*VLOOKUP('Données projet'!$B$12,Paramètres!$A$1:$I$89,3,0)*0.475*44/12</f>
        <v>0.47737516905231342</v>
      </c>
      <c r="CM195" s="21">
        <f>EXP(-LN(2)/2)*CM194+(1-EXP(-LN(2)/2))/(LN(2)/2)*CG195*CJ195*VLOOKUP('Données projet'!$B$12,Paramètres!$A$1:$I$89,3,0)*0.475*44/12</f>
        <v>5.963127567799682E-24</v>
      </c>
      <c r="CN195" s="22">
        <f t="shared" si="172"/>
        <v>0.77415646153343398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-1.1368683772161603E-13</v>
      </c>
      <c r="CU195" s="17">
        <f>CT195*VLOOKUP('Données projet'!$B$13,Paramètres!$A$1:$I$89,3,0)*VLOOKUP('Données projet'!$B$13,Paramètres!$A$1:$I$89,5,0)</f>
        <v>-5.3205440053716299E-14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226.0452828290525</v>
      </c>
      <c r="CZ195" s="59">
        <f t="shared" si="150"/>
        <v>179.89696397462069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0.36691346315997175</v>
      </c>
      <c r="DG195" s="21">
        <f>EXP(-LN(2)/25)*DG194+(1-EXP(-LN(2)/25))/(LN(2)/25)*Calculateur!DB195*Calculateur!DD195*VLOOKUP('Données projet'!$B$13,Paramètres!$A$1:$I$89,3,0)*0.475*44/12</f>
        <v>0.12492573552365258</v>
      </c>
      <c r="DH195" s="21">
        <f>EXP(-LN(2)/2)*DH194+(1-EXP(-LN(2)/2))/(LN(2)/2)*DB195*DE195*VLOOKUP('Données projet'!$B$13,Paramètres!$A$1:$I$89,3,0)*0.475*44/12</f>
        <v>4.5673309579568435E-24</v>
      </c>
      <c r="DI195" s="22">
        <f t="shared" si="175"/>
        <v>0.49183919868362436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1.1368683772161603E-13</v>
      </c>
      <c r="DP195" s="17">
        <f>DO195*VLOOKUP('Données projet'!$B$14,Paramètres!$A$1:$I$89,3,0)*VLOOKUP('Données projet'!$B$14,Paramètres!$A$1:$I$89,5,0)</f>
        <v>6.7984728957526396E-14</v>
      </c>
      <c r="DQ195" s="13">
        <f t="shared" si="176"/>
        <v>1.0682447123141398E-12</v>
      </c>
      <c r="DR195" s="20">
        <f t="shared" si="177"/>
        <v>1.978932943548152E-12</v>
      </c>
      <c r="DS195" s="59">
        <f t="shared" si="125"/>
        <v>293.3333333333353</v>
      </c>
      <c r="DT195" s="59">
        <f ca="1">AVERAGE(OFFSET($DS$3,0,0,'Données projet'!$E$14+1,1))-AVERAGE(OFFSET($H$3,0,0,'Données projet'!$E$14+1,1))</f>
        <v>252.81045065813976</v>
      </c>
      <c r="DU195" s="59">
        <f t="shared" si="152"/>
        <v>254.36590349790589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0.72987095051133666</v>
      </c>
      <c r="EB195" s="21">
        <f>EXP(-LN(2)/25)*EB194+(1-EXP(-LN(2)/25))/(LN(2)/25)*Calculateur!DW195*Calculateur!DY195*VLOOKUP('Données projet'!$B$14,Paramètres!$A$1:$I$89,3,0)*0.475*44/12</f>
        <v>0.18065614771145042</v>
      </c>
      <c r="EC195" s="21">
        <f>EXP(-LN(2)/2)*EC194+(1-EXP(-LN(2)/2))/(LN(2)/2)*DW195*DZ195*VLOOKUP('Données projet'!$B$14,Paramètres!$A$1:$I$89,3,0)*0.475*44/12</f>
        <v>2.3745806363736201E-24</v>
      </c>
      <c r="ED195" s="22">
        <f t="shared" si="178"/>
        <v>0.9105270982227871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-2.8421709430404007E-13</v>
      </c>
      <c r="EK195" s="17">
        <f>EJ195*VLOOKUP('Données projet'!$B$15,Paramètres!$A$1:$I$89,3,0)*VLOOKUP('Données projet'!$B$15,Paramètres!$A$1:$I$89,5,0)</f>
        <v>-2.0838797354372215E-13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296.91321813251051</v>
      </c>
      <c r="EP195" s="59">
        <f t="shared" si="154"/>
        <v>291.0718079639509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0.52334629712640035</v>
      </c>
      <c r="EW195" s="21">
        <f>EXP(-LN(2)/25)*EW194+(1-EXP(-LN(2)/25))/(LN(2)/25)*Calculateur!ER195*Calculateur!ET195*VLOOKUP('Données projet'!$B$15,Paramètres!$A$1:$I$89,3,0)*0.475*44/12</f>
        <v>0.17321836238293231</v>
      </c>
      <c r="EX195" s="21">
        <f>EXP(-LN(2)/2)*EX194+(1-EXP(-LN(2)/2))/(LN(2)/2)*ER195*EU195*VLOOKUP('Données projet'!$B$15,Paramètres!$A$1:$I$89,3,0)*0.475*44/12</f>
        <v>4.508920067562162E-24</v>
      </c>
      <c r="EY195" s="22">
        <f t="shared" si="181"/>
        <v>0.69656465950933266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>
        <f>FE195*VLOOKUP('Données projet'!$B$16,Paramètres!$A$1:$I$89,3,0)*VLOOKUP('Données projet'!$B$16,Paramètres!$A$1:$I$89,5,0)</f>
        <v>0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356.65981389369125</v>
      </c>
      <c r="FK195" s="59">
        <f t="shared" si="156"/>
        <v>231.92898690465887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0.33110937856601136</v>
      </c>
      <c r="FR195" s="21">
        <f>EXP(-LN(2)/25)*FR194+(1-EXP(-LN(2)/25))/(LN(2)/25)*Calculateur!FM195*Calculateur!FO195*VLOOKUP('Données projet'!$B$16,Paramètres!$A$1:$I$89,3,0)*0.475*44/12</f>
        <v>0.1175730886009972</v>
      </c>
      <c r="FS195" s="21">
        <f>EXP(-LN(2)/2)*FS194+(1-EXP(-LN(2)/2))/(LN(2)/2)*FM195*FP195*VLOOKUP('Données projet'!$B$16,Paramètres!$A$1:$I$89,3,0)*0.475*44/12</f>
        <v>3.9559493379619305E-24</v>
      </c>
      <c r="FT195" s="22">
        <f t="shared" si="184"/>
        <v>0.44868246716700855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>
        <f>FZ195*VLOOKUP('Données projet'!$B$17,Paramètres!$A$1:$I$89,3,0)*VLOOKUP('Données projet'!$B$17,Paramètres!$A$1:$I$89,5,0)</f>
        <v>0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337.76140497227715</v>
      </c>
      <c r="GF195" s="59">
        <f t="shared" si="158"/>
        <v>219.76562717496353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0.31582740724757991</v>
      </c>
      <c r="GM195" s="21">
        <f>EXP(-LN(2)/25)*GM194+(1-EXP(-LN(2)/25))/(LN(2)/25)*Calculateur!GH195*Calculateur!GJ195*VLOOKUP('Données projet'!$B$17,Paramètres!$A$1:$I$89,3,0)*0.475*44/12</f>
        <v>0.11214663835787425</v>
      </c>
      <c r="GN195" s="21">
        <f>EXP(-LN(2)/2)*GN194+(1-EXP(-LN(2)/2))/(LN(2)/2)*GH195*GK195*VLOOKUP('Données projet'!$B$17,Paramètres!$A$1:$I$89,3,0)*0.475*44/12</f>
        <v>3.7733670608252269E-24</v>
      </c>
      <c r="GO195" s="21">
        <f t="shared" si="187"/>
        <v>0.42797404560545416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312.53389584272878</v>
      </c>
      <c r="T196" s="59">
        <f t="shared" si="142"/>
        <v>203.5274665601915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0.28965782285120689</v>
      </c>
      <c r="AA196" s="21">
        <f>EXP(-LN(2)/25)*AA195+(1-EXP(-LN(2)/25))/(LN(2)/25)*Calculateur!V196*Calculateur!X196*VLOOKUP('Données projet'!$B$9,Paramètres!$A$1:$I$89,3,0)*0.475*44/12</f>
        <v>0.10204256439996234</v>
      </c>
      <c r="AB196" s="21">
        <f>EXP(-LN(2)/2)*AB195+(1-EXP(-LN(2)/2))/(LN(2)/2)*V196*Y196*VLOOKUP('Données projet'!$B$9,Paramètres!$A$1:$I$89,3,0)*0.475*44/12</f>
        <v>2.496033214898342E-24</v>
      </c>
      <c r="AC196" s="22">
        <f t="shared" si="163"/>
        <v>0.39170038725116924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5.6843418860808015E-14</v>
      </c>
      <c r="AJ196" s="13">
        <f>AI196*VLOOKUP('Données projet'!$B$10,Paramètres!$A$1:$I$89,3,0)*VLOOKUP('Données projet'!$B$10,Paramètres!$A$1:$I$89,5,0)</f>
        <v>4.9658410716801891E-14</v>
      </c>
      <c r="AK196" s="13">
        <f t="shared" si="164"/>
        <v>8.0934058173791862E-13</v>
      </c>
      <c r="AL196" s="20">
        <f t="shared" si="165"/>
        <v>1.4960899118586383E-12</v>
      </c>
      <c r="AM196" s="59">
        <f t="shared" ref="AM196:AM203" si="193">AL196+(AD196+AE196)*44/12</f>
        <v>293.33333333333479</v>
      </c>
      <c r="AN196" s="59">
        <f ca="1">AVERAGE(OFFSET($AM$3,0,0,'Données projet'!$E$10+1,1))-AVERAGE(OFFSET($H$3,0,0,'Données projet'!$E$10+1,1))</f>
        <v>243.05628303465238</v>
      </c>
      <c r="AO196" s="59">
        <f t="shared" si="144"/>
        <v>352.47096767658394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0.31289851838195032</v>
      </c>
      <c r="AV196" s="21">
        <f>EXP(-LN(2)/25)*AV195+(1-EXP(-LN(2)/25))/(LN(2)/25)*Calculateur!AQ196*Calculateur!AS196*VLOOKUP('Données projet'!$B$10,Paramètres!$A$1:$I$89,3,0)*0.475*44/12</f>
        <v>0.19742244422952121</v>
      </c>
      <c r="AW196" s="21">
        <f>EXP(-LN(2)/2)*AW195+(1-EXP(-LN(2)/2))/(LN(2)/2)*AQ196*AT196*VLOOKUP('Données projet'!$B$10,Paramètres!$A$1:$I$89,3,0)*0.475*44/12</f>
        <v>3.2968663371523114E-24</v>
      </c>
      <c r="AX196" s="21">
        <f t="shared" si="166"/>
        <v>0.51032096261147153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-2.8421709430404007E-13</v>
      </c>
      <c r="BE196" s="13">
        <f>BD196*VLOOKUP('Données projet'!$B$11,Paramètres!$A$1:$I$89,3,0)*VLOOKUP('Données projet'!$B$11,Paramètres!$A$1:$I$89,5,0)</f>
        <v>-2.2612312022829427E-13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325.72928944930294</v>
      </c>
      <c r="BJ196" s="59">
        <f t="shared" si="146"/>
        <v>318.38876834819752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0.68622736224637604</v>
      </c>
      <c r="BQ196" s="21">
        <f>EXP(-LN(2)/25)*BQ195+(1-EXP(-LN(2)/25))/(LN(2)/25)*Calculateur!BL196*Calculateur!BN196*VLOOKUP('Données projet'!$B$11,Paramètres!$A$1:$I$89,3,0)*0.475*44/12</f>
        <v>0.22533697546184031</v>
      </c>
      <c r="BR196" s="21">
        <f>EXP(-LN(2)/2)*BR195+(1-EXP(-LN(2)/2))/(LN(2)/2)*BL196*BO196*VLOOKUP('Données projet'!$B$11,Paramètres!$A$1:$I$89,3,0)*0.475*44/12</f>
        <v>3.4596316113971586E-24</v>
      </c>
      <c r="BS196" s="22">
        <f t="shared" si="169"/>
        <v>0.91156433770821632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-3.4106051316484809E-13</v>
      </c>
      <c r="BZ196" s="13">
        <f>BY196*VLOOKUP('Données projet'!$B$12,Paramètres!$A$1:$I$89,3,0)*VLOOKUP('Données projet'!$B$12,Paramètres!$A$1:$I$89,5,0)</f>
        <v>-1.9065282685915009E-13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475.54809021014017</v>
      </c>
      <c r="CE196" s="59">
        <f t="shared" si="148"/>
        <v>593.51433014569966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0.2909615923542801</v>
      </c>
      <c r="CL196" s="21">
        <f>EXP(-LN(2)/25)*CL195+(1-EXP(-LN(2)/25))/(LN(2)/25)*Calculateur!CG196*Calculateur!CI196*VLOOKUP('Données projet'!$B$12,Paramètres!$A$1:$I$89,3,0)*0.475*44/12</f>
        <v>0.46432131995050885</v>
      </c>
      <c r="CM196" s="21">
        <f>EXP(-LN(2)/2)*CM195+(1-EXP(-LN(2)/2))/(LN(2)/2)*CG196*CJ196*VLOOKUP('Données projet'!$B$12,Paramètres!$A$1:$I$89,3,0)*0.475*44/12</f>
        <v>4.216567940271599E-24</v>
      </c>
      <c r="CN196" s="22">
        <f t="shared" si="172"/>
        <v>0.75528291230478894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-1.1368683772161603E-13</v>
      </c>
      <c r="CU196" s="17">
        <f>CT196*VLOOKUP('Données projet'!$B$13,Paramètres!$A$1:$I$89,3,0)*VLOOKUP('Données projet'!$B$13,Paramètres!$A$1:$I$89,5,0)</f>
        <v>-5.3205440053716299E-14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226.0452828290525</v>
      </c>
      <c r="CZ196" s="59">
        <f t="shared" si="150"/>
        <v>179.89696397462069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0.3597185139425193</v>
      </c>
      <c r="DG196" s="21">
        <f>EXP(-LN(2)/25)*DG195+(1-EXP(-LN(2)/25))/(LN(2)/25)*Calculateur!DB196*Calculateur!DD196*VLOOKUP('Données projet'!$B$13,Paramètres!$A$1:$I$89,3,0)*0.475*44/12</f>
        <v>0.12150963471619938</v>
      </c>
      <c r="DH196" s="21">
        <f>EXP(-LN(2)/2)*DH195+(1-EXP(-LN(2)/2))/(LN(2)/2)*DB196*DE196*VLOOKUP('Données projet'!$B$13,Paramètres!$A$1:$I$89,3,0)*0.475*44/12</f>
        <v>3.2295906922945346E-24</v>
      </c>
      <c r="DI196" s="22">
        <f t="shared" si="175"/>
        <v>0.48122814865871866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1.1368683772161603E-13</v>
      </c>
      <c r="DP196" s="17">
        <f>DO196*VLOOKUP('Données projet'!$B$14,Paramètres!$A$1:$I$89,3,0)*VLOOKUP('Données projet'!$B$14,Paramètres!$A$1:$I$89,5,0)</f>
        <v>6.7984728957526396E-14</v>
      </c>
      <c r="DQ196" s="13">
        <f t="shared" si="176"/>
        <v>1.0682447123141398E-12</v>
      </c>
      <c r="DR196" s="20">
        <f t="shared" si="177"/>
        <v>1.978932943548152E-12</v>
      </c>
      <c r="DS196" s="59">
        <f t="shared" ref="DS196:DS203" si="197">DR196+(DJ196+DK196)*44/12</f>
        <v>293.3333333333353</v>
      </c>
      <c r="DT196" s="59">
        <f ca="1">AVERAGE(OFFSET($DS$3,0,0,'Données projet'!$E$14+1,1))-AVERAGE(OFFSET($H$3,0,0,'Données projet'!$E$14+1,1))</f>
        <v>252.81045065813976</v>
      </c>
      <c r="DU196" s="59">
        <f t="shared" si="152"/>
        <v>254.36590349790589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0.71555862634913159</v>
      </c>
      <c r="EB196" s="21">
        <f>EXP(-LN(2)/25)*EB195+(1-EXP(-LN(2)/25))/(LN(2)/25)*Calculateur!DW196*Calculateur!DY196*VLOOKUP('Données projet'!$B$14,Paramètres!$A$1:$I$89,3,0)*0.475*44/12</f>
        <v>0.17571609585198689</v>
      </c>
      <c r="EC196" s="21">
        <f>EXP(-LN(2)/2)*EC195+(1-EXP(-LN(2)/2))/(LN(2)/2)*DW196*DZ196*VLOOKUP('Données projet'!$B$14,Paramètres!$A$1:$I$89,3,0)*0.475*44/12</f>
        <v>1.6790820704540541E-24</v>
      </c>
      <c r="ED196" s="22">
        <f t="shared" si="178"/>
        <v>0.89127472220111847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-2.8421709430404007E-13</v>
      </c>
      <c r="EK196" s="17">
        <f>EJ196*VLOOKUP('Données projet'!$B$15,Paramètres!$A$1:$I$89,3,0)*VLOOKUP('Données projet'!$B$15,Paramètres!$A$1:$I$89,5,0)</f>
        <v>-2.0838797354372215E-13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296.91321813251051</v>
      </c>
      <c r="EP196" s="59">
        <f t="shared" si="154"/>
        <v>291.0718079639509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0.51308379544947358</v>
      </c>
      <c r="EW196" s="21">
        <f>EXP(-LN(2)/25)*EW195+(1-EXP(-LN(2)/25))/(LN(2)/25)*Calculateur!ER196*Calculateur!ET196*VLOOKUP('Données projet'!$B$15,Paramètres!$A$1:$I$89,3,0)*0.475*44/12</f>
        <v>0.16848169715441325</v>
      </c>
      <c r="EX196" s="21">
        <f>EXP(-LN(2)/2)*EX195+(1-EXP(-LN(2)/2))/(LN(2)/2)*ER196*EU196*VLOOKUP('Données projet'!$B$15,Paramètres!$A$1:$I$89,3,0)*0.475*44/12</f>
        <v>3.1882879556013108E-24</v>
      </c>
      <c r="EY196" s="22">
        <f t="shared" si="181"/>
        <v>0.68156549260388677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>
        <f>FE196*VLOOKUP('Données projet'!$B$16,Paramètres!$A$1:$I$89,3,0)*VLOOKUP('Données projet'!$B$16,Paramètres!$A$1:$I$89,5,0)</f>
        <v>0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356.65981389369125</v>
      </c>
      <c r="FK196" s="59">
        <f t="shared" si="156"/>
        <v>231.92898690465887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0.32461652560911125</v>
      </c>
      <c r="FR196" s="21">
        <f>EXP(-LN(2)/25)*FR195+(1-EXP(-LN(2)/25))/(LN(2)/25)*Calculateur!FM196*Calculateur!FO196*VLOOKUP('Données projet'!$B$16,Paramètres!$A$1:$I$89,3,0)*0.475*44/12</f>
        <v>0.11435804631030293</v>
      </c>
      <c r="FS196" s="21">
        <f>EXP(-LN(2)/2)*FS195+(1-EXP(-LN(2)/2))/(LN(2)/2)*FM196*FP196*VLOOKUP('Données projet'!$B$16,Paramètres!$A$1:$I$89,3,0)*0.475*44/12</f>
        <v>2.7972786029033144E-24</v>
      </c>
      <c r="FT196" s="22">
        <f t="shared" si="184"/>
        <v>0.43897457191941419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>
        <f>FZ196*VLOOKUP('Données projet'!$B$17,Paramètres!$A$1:$I$89,3,0)*VLOOKUP('Données projet'!$B$17,Paramètres!$A$1:$I$89,5,0)</f>
        <v>0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337.76140497227715</v>
      </c>
      <c r="GF196" s="59">
        <f t="shared" si="158"/>
        <v>219.76562717496353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0.3096342244271521</v>
      </c>
      <c r="GM196" s="21">
        <f>EXP(-LN(2)/25)*GM195+(1-EXP(-LN(2)/25))/(LN(2)/25)*Calculateur!GH196*Calculateur!GJ196*VLOOKUP('Données projet'!$B$17,Paramètres!$A$1:$I$89,3,0)*0.475*44/12</f>
        <v>0.10907998263444278</v>
      </c>
      <c r="GN196" s="21">
        <f>EXP(-LN(2)/2)*GN195+(1-EXP(-LN(2)/2))/(LN(2)/2)*GH196*GK196*VLOOKUP('Données projet'!$B$17,Paramètres!$A$1:$I$89,3,0)*0.475*44/12</f>
        <v>2.6681734366154698E-24</v>
      </c>
      <c r="GO196" s="21">
        <f t="shared" si="187"/>
        <v>0.4187142070615949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312.53389584272878</v>
      </c>
      <c r="T197" s="59">
        <f t="shared" ref="T197:T203" si="204">$T$3</f>
        <v>203.5274665601915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0.28397780961892155</v>
      </c>
      <c r="AA197" s="21">
        <f>EXP(-LN(2)/25)*AA196+(1-EXP(-LN(2)/25))/(LN(2)/25)*Calculateur!V197*Calculateur!X197*VLOOKUP('Données projet'!$B$9,Paramètres!$A$1:$I$89,3,0)*0.475*44/12</f>
        <v>9.925220511026013E-2</v>
      </c>
      <c r="AB197" s="21">
        <f>EXP(-LN(2)/2)*AB196+(1-EXP(-LN(2)/2))/(LN(2)/2)*V197*Y197*VLOOKUP('Données projet'!$B$9,Paramètres!$A$1:$I$89,3,0)*0.475*44/12</f>
        <v>1.7649620123214766E-24</v>
      </c>
      <c r="AC197" s="22">
        <f t="shared" si="163"/>
        <v>0.38323001472918167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5.6843418860808015E-14</v>
      </c>
      <c r="AJ197" s="13">
        <f>AI197*VLOOKUP('Données projet'!$B$10,Paramètres!$A$1:$I$89,3,0)*VLOOKUP('Données projet'!$B$10,Paramètres!$A$1:$I$89,5,0)</f>
        <v>4.9658410716801891E-14</v>
      </c>
      <c r="AK197" s="13">
        <f t="shared" si="164"/>
        <v>8.0934058173791862E-13</v>
      </c>
      <c r="AL197" s="20">
        <f t="shared" si="165"/>
        <v>1.4960899118586383E-12</v>
      </c>
      <c r="AM197" s="59">
        <f t="shared" si="193"/>
        <v>293.33333333333479</v>
      </c>
      <c r="AN197" s="59">
        <f ca="1">AVERAGE(OFFSET($AM$3,0,0,'Données projet'!$E$10+1,1))-AVERAGE(OFFSET($H$3,0,0,'Données projet'!$E$10+1,1))</f>
        <v>243.05628303465238</v>
      </c>
      <c r="AO197" s="59">
        <f t="shared" ref="AO197:AO203" si="205">$AO$3</f>
        <v>352.47096767658394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0.30676276928573171</v>
      </c>
      <c r="AV197" s="21">
        <f>EXP(-LN(2)/25)*AV196+(1-EXP(-LN(2)/25))/(LN(2)/25)*Calculateur!AQ197*Calculateur!AS197*VLOOKUP('Données projet'!$B$10,Paramètres!$A$1:$I$89,3,0)*0.475*44/12</f>
        <v>0.19202391711006983</v>
      </c>
      <c r="AW197" s="21">
        <f>EXP(-LN(2)/2)*AW196+(1-EXP(-LN(2)/2))/(LN(2)/2)*AQ197*AT197*VLOOKUP('Données projet'!$B$10,Paramètres!$A$1:$I$89,3,0)*0.475*44/12</f>
        <v>2.3312365436660542E-24</v>
      </c>
      <c r="AX197" s="21">
        <f t="shared" si="166"/>
        <v>0.49878668639580154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-2.8421709430404007E-13</v>
      </c>
      <c r="BE197" s="13">
        <f>BD197*VLOOKUP('Données projet'!$B$11,Paramètres!$A$1:$I$89,3,0)*VLOOKUP('Données projet'!$B$11,Paramètres!$A$1:$I$89,5,0)</f>
        <v>-2.2612312022829427E-13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325.72928944930294</v>
      </c>
      <c r="BJ197" s="59">
        <f t="shared" ref="BJ197:BJ203" si="206">$BJ$3</f>
        <v>318.38876834819752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0.67277086223008642</v>
      </c>
      <c r="BQ197" s="21">
        <f>EXP(-LN(2)/25)*BQ196+(1-EXP(-LN(2)/25))/(LN(2)/25)*Calculateur!BL197*Calculateur!BN197*VLOOKUP('Données projet'!$B$11,Paramètres!$A$1:$I$89,3,0)*0.475*44/12</f>
        <v>0.21917512401787975</v>
      </c>
      <c r="BR197" s="21">
        <f>EXP(-LN(2)/2)*BR196+(1-EXP(-LN(2)/2))/(LN(2)/2)*BL197*BO197*VLOOKUP('Données projet'!$B$11,Paramètres!$A$1:$I$89,3,0)*0.475*44/12</f>
        <v>2.4463289728262735E-24</v>
      </c>
      <c r="BS197" s="22">
        <f t="shared" si="169"/>
        <v>0.89194598624796617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-3.4106051316484809E-13</v>
      </c>
      <c r="BZ197" s="13">
        <f>BY197*VLOOKUP('Données projet'!$B$12,Paramètres!$A$1:$I$89,3,0)*VLOOKUP('Données projet'!$B$12,Paramètres!$A$1:$I$89,5,0)</f>
        <v>-1.9065282685915009E-13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475.54809021014017</v>
      </c>
      <c r="CE197" s="59">
        <f t="shared" ref="CE197:CE203" si="207">$CE$3</f>
        <v>593.51433014569966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0.28525601299726039</v>
      </c>
      <c r="CL197" s="21">
        <f>EXP(-LN(2)/25)*CL196+(1-EXP(-LN(2)/25))/(LN(2)/25)*Calculateur!CG197*Calculateur!CI197*VLOOKUP('Données projet'!$B$12,Paramètres!$A$1:$I$89,3,0)*0.475*44/12</f>
        <v>0.45162442903886518</v>
      </c>
      <c r="CM197" s="21">
        <f>EXP(-LN(2)/2)*CM196+(1-EXP(-LN(2)/2))/(LN(2)/2)*CG197*CJ197*VLOOKUP('Données projet'!$B$12,Paramètres!$A$1:$I$89,3,0)*0.475*44/12</f>
        <v>2.981563783899841E-24</v>
      </c>
      <c r="CN197" s="22">
        <f t="shared" si="172"/>
        <v>0.73688044203612557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-1.1368683772161603E-13</v>
      </c>
      <c r="CU197" s="17">
        <f>CT197*VLOOKUP('Données projet'!$B$13,Paramètres!$A$1:$I$89,3,0)*VLOOKUP('Données projet'!$B$13,Paramètres!$A$1:$I$89,5,0)</f>
        <v>-5.3205440053716299E-14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226.0452828290525</v>
      </c>
      <c r="CZ197" s="59">
        <f t="shared" ref="CZ197:CZ203" si="208">$CZ$3</f>
        <v>179.89696397462069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0.35266465329073537</v>
      </c>
      <c r="DG197" s="21">
        <f>EXP(-LN(2)/25)*DG196+(1-EXP(-LN(2)/25))/(LN(2)/25)*Calculateur!DB197*Calculateur!DD197*VLOOKUP('Données projet'!$B$13,Paramètres!$A$1:$I$89,3,0)*0.475*44/12</f>
        <v>0.11818694736497093</v>
      </c>
      <c r="DH197" s="21">
        <f>EXP(-LN(2)/2)*DH196+(1-EXP(-LN(2)/2))/(LN(2)/2)*DB197*DE197*VLOOKUP('Données projet'!$B$13,Paramètres!$A$1:$I$89,3,0)*0.475*44/12</f>
        <v>2.2836654789784221E-24</v>
      </c>
      <c r="DI197" s="22">
        <f t="shared" si="175"/>
        <v>0.4708516006557063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1.1368683772161603E-13</v>
      </c>
      <c r="DP197" s="17">
        <f>DO197*VLOOKUP('Données projet'!$B$14,Paramètres!$A$1:$I$89,3,0)*VLOOKUP('Données projet'!$B$14,Paramètres!$A$1:$I$89,5,0)</f>
        <v>6.7984728957526396E-14</v>
      </c>
      <c r="DQ197" s="13">
        <f t="shared" si="176"/>
        <v>1.0682447123141398E-12</v>
      </c>
      <c r="DR197" s="20">
        <f t="shared" si="177"/>
        <v>1.978932943548152E-12</v>
      </c>
      <c r="DS197" s="59">
        <f t="shared" si="197"/>
        <v>293.3333333333353</v>
      </c>
      <c r="DT197" s="59">
        <f ca="1">AVERAGE(OFFSET($DS$3,0,0,'Données projet'!$E$14+1,1))-AVERAGE(OFFSET($H$3,0,0,'Données projet'!$E$14+1,1))</f>
        <v>252.81045065813976</v>
      </c>
      <c r="DU197" s="59">
        <f t="shared" ref="DU197:DU203" si="209">$DU$3</f>
        <v>254.36590349790589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0.7015269581340916</v>
      </c>
      <c r="EB197" s="21">
        <f>EXP(-LN(2)/25)*EB196+(1-EXP(-LN(2)/25))/(LN(2)/25)*Calculateur!DW197*Calculateur!DY197*VLOOKUP('Données projet'!$B$14,Paramètres!$A$1:$I$89,3,0)*0.475*44/12</f>
        <v>0.17091112997040642</v>
      </c>
      <c r="EC197" s="21">
        <f>EXP(-LN(2)/2)*EC196+(1-EXP(-LN(2)/2))/(LN(2)/2)*DW197*DZ197*VLOOKUP('Données projet'!$B$14,Paramètres!$A$1:$I$89,3,0)*0.475*44/12</f>
        <v>1.18729031818681E-24</v>
      </c>
      <c r="ED197" s="22">
        <f t="shared" si="178"/>
        <v>0.87243808810449797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-2.8421709430404007E-13</v>
      </c>
      <c r="EK197" s="17">
        <f>EJ197*VLOOKUP('Données projet'!$B$15,Paramètres!$A$1:$I$89,3,0)*VLOOKUP('Données projet'!$B$15,Paramètres!$A$1:$I$89,5,0)</f>
        <v>-2.0838797354372215E-13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296.91321813251051</v>
      </c>
      <c r="EP197" s="59">
        <f t="shared" ref="EP197:EP203" si="210">$EP$3</f>
        <v>291.0718079639509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0.50302253517092332</v>
      </c>
      <c r="EW197" s="21">
        <f>EXP(-LN(2)/25)*EW196+(1-EXP(-LN(2)/25))/(LN(2)/25)*Calculateur!ER197*Calculateur!ET197*VLOOKUP('Données projet'!$B$15,Paramètres!$A$1:$I$89,3,0)*0.475*44/12</f>
        <v>0.16387455628565845</v>
      </c>
      <c r="EX197" s="21">
        <f>EXP(-LN(2)/2)*EX196+(1-EXP(-LN(2)/2))/(LN(2)/2)*ER197*EU197*VLOOKUP('Données projet'!$B$15,Paramètres!$A$1:$I$89,3,0)*0.475*44/12</f>
        <v>2.254460033781081E-24</v>
      </c>
      <c r="EY197" s="22">
        <f t="shared" si="181"/>
        <v>0.66689709145658171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>
        <f>FE197*VLOOKUP('Données projet'!$B$16,Paramètres!$A$1:$I$89,3,0)*VLOOKUP('Données projet'!$B$16,Paramètres!$A$1:$I$89,5,0)</f>
        <v>0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356.65981389369125</v>
      </c>
      <c r="FK197" s="59">
        <f t="shared" ref="FK197:FK203" si="211">$FK$3</f>
        <v>231.92898690465887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0.31825099353844666</v>
      </c>
      <c r="FR197" s="21">
        <f>EXP(-LN(2)/25)*FR196+(1-EXP(-LN(2)/25))/(LN(2)/25)*Calculateur!FM197*Calculateur!FO197*VLOOKUP('Données projet'!$B$16,Paramètres!$A$1:$I$89,3,0)*0.475*44/12</f>
        <v>0.1112309195201194</v>
      </c>
      <c r="FS197" s="21">
        <f>EXP(-LN(2)/2)*FS196+(1-EXP(-LN(2)/2))/(LN(2)/2)*FM197*FP197*VLOOKUP('Données projet'!$B$16,Paramètres!$A$1:$I$89,3,0)*0.475*44/12</f>
        <v>1.9779746689809653E-24</v>
      </c>
      <c r="FT197" s="22">
        <f t="shared" si="184"/>
        <v>0.42948191305856609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>
        <f>FZ197*VLOOKUP('Données projet'!$B$17,Paramètres!$A$1:$I$89,3,0)*VLOOKUP('Données projet'!$B$17,Paramètres!$A$1:$I$89,5,0)</f>
        <v>0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337.76140497227715</v>
      </c>
      <c r="GF197" s="59">
        <f t="shared" ref="GF197:GF203" si="212">$GF$3</f>
        <v>219.76562717496353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0.30356248614436437</v>
      </c>
      <c r="GM197" s="21">
        <f>EXP(-LN(2)/25)*GM196+(1-EXP(-LN(2)/25))/(LN(2)/25)*Calculateur!GH197*Calculateur!GJ197*VLOOKUP('Données projet'!$B$17,Paramètres!$A$1:$I$89,3,0)*0.475*44/12</f>
        <v>0.10609718477303696</v>
      </c>
      <c r="GN197" s="21">
        <f>EXP(-LN(2)/2)*GN196+(1-EXP(-LN(2)/2))/(LN(2)/2)*GH197*GK197*VLOOKUP('Données projet'!$B$17,Paramètres!$A$1:$I$89,3,0)*0.475*44/12</f>
        <v>1.8866835304126135E-24</v>
      </c>
      <c r="GO197" s="21">
        <f t="shared" si="187"/>
        <v>0.40965967091740135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312.53389584272878</v>
      </c>
      <c r="T198" s="59">
        <f t="shared" si="204"/>
        <v>203.5274665601915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0.27840917798165538</v>
      </c>
      <c r="AA198" s="21">
        <f>EXP(-LN(2)/25)*AA197+(1-EXP(-LN(2)/25))/(LN(2)/25)*Calculateur!V198*Calculateur!X198*VLOOKUP('Données projet'!$B$9,Paramètres!$A$1:$I$89,3,0)*0.475*44/12</f>
        <v>9.6538148342073443E-2</v>
      </c>
      <c r="AB198" s="21">
        <f>EXP(-LN(2)/2)*AB197+(1-EXP(-LN(2)/2))/(LN(2)/2)*V198*Y198*VLOOKUP('Données projet'!$B$9,Paramètres!$A$1:$I$89,3,0)*0.475*44/12</f>
        <v>1.248016607449171E-24</v>
      </c>
      <c r="AC198" s="22">
        <f t="shared" si="163"/>
        <v>0.37494732632372885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5.6843418860808015E-14</v>
      </c>
      <c r="AJ198" s="13">
        <f>AI198*VLOOKUP('Données projet'!$B$10,Paramètres!$A$1:$I$89,3,0)*VLOOKUP('Données projet'!$B$10,Paramètres!$A$1:$I$89,5,0)</f>
        <v>4.9658410716801891E-14</v>
      </c>
      <c r="AK198" s="13">
        <f t="shared" si="164"/>
        <v>8.0934058173791862E-13</v>
      </c>
      <c r="AL198" s="20">
        <f t="shared" si="165"/>
        <v>1.4960899118586383E-12</v>
      </c>
      <c r="AM198" s="59">
        <f t="shared" si="193"/>
        <v>293.33333333333479</v>
      </c>
      <c r="AN198" s="59">
        <f ca="1">AVERAGE(OFFSET($AM$3,0,0,'Données projet'!$E$10+1,1))-AVERAGE(OFFSET($H$3,0,0,'Données projet'!$E$10+1,1))</f>
        <v>243.05628303465238</v>
      </c>
      <c r="AO198" s="59">
        <f t="shared" si="205"/>
        <v>352.47096767658394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0.30074733848685253</v>
      </c>
      <c r="AV198" s="21">
        <f>EXP(-LN(2)/25)*AV197+(1-EXP(-LN(2)/25))/(LN(2)/25)*Calculateur!AQ198*Calculateur!AS198*VLOOKUP('Données projet'!$B$10,Paramètres!$A$1:$I$89,3,0)*0.475*44/12</f>
        <v>0.18677301299859606</v>
      </c>
      <c r="AW198" s="21">
        <f>EXP(-LN(2)/2)*AW197+(1-EXP(-LN(2)/2))/(LN(2)/2)*AQ198*AT198*VLOOKUP('Données projet'!$B$10,Paramètres!$A$1:$I$89,3,0)*0.475*44/12</f>
        <v>1.6484331685761561E-24</v>
      </c>
      <c r="AX198" s="21">
        <f t="shared" si="166"/>
        <v>0.48752035148544859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-2.8421709430404007E-13</v>
      </c>
      <c r="BE198" s="13">
        <f>BD198*VLOOKUP('Données projet'!$B$11,Paramètres!$A$1:$I$89,3,0)*VLOOKUP('Données projet'!$B$11,Paramètres!$A$1:$I$89,5,0)</f>
        <v>-2.2612312022829427E-13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325.72928944930294</v>
      </c>
      <c r="BJ198" s="59">
        <f t="shared" si="206"/>
        <v>318.38876834819752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0.6595782359714617</v>
      </c>
      <c r="BQ198" s="21">
        <f>EXP(-LN(2)/25)*BQ197+(1-EXP(-LN(2)/25))/(LN(2)/25)*Calculateur!BL198*Calculateur!BN198*VLOOKUP('Données projet'!$B$11,Paramètres!$A$1:$I$89,3,0)*0.475*44/12</f>
        <v>0.213181768725692</v>
      </c>
      <c r="BR198" s="21">
        <f>EXP(-LN(2)/2)*BR197+(1-EXP(-LN(2)/2))/(LN(2)/2)*BL198*BO198*VLOOKUP('Données projet'!$B$11,Paramètres!$A$1:$I$89,3,0)*0.475*44/12</f>
        <v>1.7298158056985793E-24</v>
      </c>
      <c r="BS198" s="22">
        <f t="shared" si="169"/>
        <v>0.87276000469715376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-3.4106051316484809E-13</v>
      </c>
      <c r="BZ198" s="13">
        <f>BY198*VLOOKUP('Données projet'!$B$12,Paramètres!$A$1:$I$89,3,0)*VLOOKUP('Données projet'!$B$12,Paramètres!$A$1:$I$89,5,0)</f>
        <v>-1.9065282685915009E-13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475.54809021014017</v>
      </c>
      <c r="CE198" s="59">
        <f t="shared" si="207"/>
        <v>593.51433014569966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0.27966231657137208</v>
      </c>
      <c r="CL198" s="21">
        <f>EXP(-LN(2)/25)*CL197+(1-EXP(-LN(2)/25))/(LN(2)/25)*Calculateur!CG198*Calculateur!CI198*VLOOKUP('Données projet'!$B$12,Paramètres!$A$1:$I$89,3,0)*0.475*44/12</f>
        <v>0.43927473527690092</v>
      </c>
      <c r="CM198" s="21">
        <f>EXP(-LN(2)/2)*CM197+(1-EXP(-LN(2)/2))/(LN(2)/2)*CG198*CJ198*VLOOKUP('Données projet'!$B$12,Paramètres!$A$1:$I$89,3,0)*0.475*44/12</f>
        <v>2.1082839701357995E-24</v>
      </c>
      <c r="CN198" s="22">
        <f t="shared" si="172"/>
        <v>0.71893705184827295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-1.1368683772161603E-13</v>
      </c>
      <c r="CU198" s="17">
        <f>CT198*VLOOKUP('Données projet'!$B$13,Paramètres!$A$1:$I$89,3,0)*VLOOKUP('Données projet'!$B$13,Paramètres!$A$1:$I$89,5,0)</f>
        <v>-5.3205440053716299E-14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226.0452828290525</v>
      </c>
      <c r="CZ198" s="59">
        <f t="shared" si="208"/>
        <v>179.89696397462069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0.34574911454390278</v>
      </c>
      <c r="DG198" s="21">
        <f>EXP(-LN(2)/25)*DG197+(1-EXP(-LN(2)/25))/(LN(2)/25)*Calculateur!DB198*Calculateur!DD198*VLOOKUP('Données projet'!$B$13,Paramètres!$A$1:$I$89,3,0)*0.475*44/12</f>
        <v>0.11495511907409435</v>
      </c>
      <c r="DH198" s="21">
        <f>EXP(-LN(2)/2)*DH197+(1-EXP(-LN(2)/2))/(LN(2)/2)*DB198*DE198*VLOOKUP('Données projet'!$B$13,Paramètres!$A$1:$I$89,3,0)*0.475*44/12</f>
        <v>1.6147953461472675E-24</v>
      </c>
      <c r="DI198" s="22">
        <f t="shared" si="175"/>
        <v>0.46070423361799712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1.1368683772161603E-13</v>
      </c>
      <c r="DP198" s="17">
        <f>DO198*VLOOKUP('Données projet'!$B$14,Paramètres!$A$1:$I$89,3,0)*VLOOKUP('Données projet'!$B$14,Paramètres!$A$1:$I$89,5,0)</f>
        <v>6.7984728957526396E-14</v>
      </c>
      <c r="DQ198" s="13">
        <f t="shared" si="176"/>
        <v>1.0682447123141398E-12</v>
      </c>
      <c r="DR198" s="20">
        <f t="shared" si="177"/>
        <v>1.978932943548152E-12</v>
      </c>
      <c r="DS198" s="59">
        <f t="shared" si="197"/>
        <v>293.3333333333353</v>
      </c>
      <c r="DT198" s="59">
        <f ca="1">AVERAGE(OFFSET($DS$3,0,0,'Données projet'!$E$14+1,1))-AVERAGE(OFFSET($H$3,0,0,'Données projet'!$E$14+1,1))</f>
        <v>252.81045065813976</v>
      </c>
      <c r="DU198" s="59">
        <f t="shared" si="209"/>
        <v>254.36590349790589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0.68777044237427598</v>
      </c>
      <c r="EB198" s="21">
        <f>EXP(-LN(2)/25)*EB197+(1-EXP(-LN(2)/25))/(LN(2)/25)*Calculateur!DW198*Calculateur!DY198*VLOOKUP('Données projet'!$B$14,Paramètres!$A$1:$I$89,3,0)*0.475*44/12</f>
        <v>0.16623755613353994</v>
      </c>
      <c r="EC198" s="21">
        <f>EXP(-LN(2)/2)*EC197+(1-EXP(-LN(2)/2))/(LN(2)/2)*DW198*DZ198*VLOOKUP('Données projet'!$B$14,Paramètres!$A$1:$I$89,3,0)*0.475*44/12</f>
        <v>8.3954103522702707E-25</v>
      </c>
      <c r="ED198" s="22">
        <f t="shared" si="178"/>
        <v>0.85400799850781595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-2.8421709430404007E-13</v>
      </c>
      <c r="EK198" s="17">
        <f>EJ198*VLOOKUP('Données projet'!$B$15,Paramètres!$A$1:$I$89,3,0)*VLOOKUP('Données projet'!$B$15,Paramètres!$A$1:$I$89,5,0)</f>
        <v>-2.0838797354372215E-13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296.91321813251051</v>
      </c>
      <c r="EP198" s="59">
        <f t="shared" si="210"/>
        <v>291.0718079639509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0.49315857006967267</v>
      </c>
      <c r="EW198" s="21">
        <f>EXP(-LN(2)/25)*EW197+(1-EXP(-LN(2)/25))/(LN(2)/25)*Calculateur!ER198*Calculateur!ET198*VLOOKUP('Données projet'!$B$15,Paramètres!$A$1:$I$89,3,0)*0.475*44/12</f>
        <v>0.15939339792623874</v>
      </c>
      <c r="EX198" s="21">
        <f>EXP(-LN(2)/2)*EX197+(1-EXP(-LN(2)/2))/(LN(2)/2)*ER198*EU198*VLOOKUP('Données projet'!$B$15,Paramètres!$A$1:$I$89,3,0)*0.475*44/12</f>
        <v>1.5941439778006554E-24</v>
      </c>
      <c r="EY198" s="22">
        <f t="shared" si="181"/>
        <v>0.65255196799591142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>
        <f>FE198*VLOOKUP('Données projet'!$B$16,Paramètres!$A$1:$I$89,3,0)*VLOOKUP('Données projet'!$B$16,Paramètres!$A$1:$I$89,5,0)</f>
        <v>0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356.65981389369125</v>
      </c>
      <c r="FK198" s="59">
        <f t="shared" si="211"/>
        <v>231.92898690465887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0.31201028566909661</v>
      </c>
      <c r="FR198" s="21">
        <f>EXP(-LN(2)/25)*FR197+(1-EXP(-LN(2)/25))/(LN(2)/25)*Calculateur!FM198*Calculateur!FO198*VLOOKUP('Données projet'!$B$16,Paramètres!$A$1:$I$89,3,0)*0.475*44/12</f>
        <v>0.1081893041764619</v>
      </c>
      <c r="FS198" s="21">
        <f>EXP(-LN(2)/2)*FS197+(1-EXP(-LN(2)/2))/(LN(2)/2)*FM198*FP198*VLOOKUP('Données projet'!$B$16,Paramètres!$A$1:$I$89,3,0)*0.475*44/12</f>
        <v>1.3986393014516572E-24</v>
      </c>
      <c r="FT198" s="22">
        <f t="shared" si="184"/>
        <v>0.4201995898455585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>
        <f>FZ198*VLOOKUP('Données projet'!$B$17,Paramètres!$A$1:$I$89,3,0)*VLOOKUP('Données projet'!$B$17,Paramètres!$A$1:$I$89,5,0)</f>
        <v>0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337.76140497227715</v>
      </c>
      <c r="GF198" s="59">
        <f t="shared" si="212"/>
        <v>219.76562717496353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0.29760981094590744</v>
      </c>
      <c r="GM198" s="21">
        <f>EXP(-LN(2)/25)*GM197+(1-EXP(-LN(2)/25))/(LN(2)/25)*Calculateur!GH198*Calculateur!GJ198*VLOOKUP('Données projet'!$B$17,Paramètres!$A$1:$I$89,3,0)*0.475*44/12</f>
        <v>0.10319595167600981</v>
      </c>
      <c r="GN198" s="21">
        <f>EXP(-LN(2)/2)*GN197+(1-EXP(-LN(2)/2))/(LN(2)/2)*GH198*GK198*VLOOKUP('Données projet'!$B$17,Paramètres!$A$1:$I$89,3,0)*0.475*44/12</f>
        <v>1.3340867183077349E-24</v>
      </c>
      <c r="GO198" s="21">
        <f t="shared" si="187"/>
        <v>0.40080576262191725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312.53389584272878</v>
      </c>
      <c r="T199" s="59">
        <f t="shared" si="204"/>
        <v>203.5274665601915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0.27294974381426607</v>
      </c>
      <c r="AA199" s="21">
        <f>EXP(-LN(2)/25)*AA198+(1-EXP(-LN(2)/25))/(LN(2)/25)*Calculateur!V199*Calculateur!X199*VLOOKUP('Données projet'!$B$9,Paramètres!$A$1:$I$89,3,0)*0.475*44/12</f>
        <v>9.3898307598938871E-2</v>
      </c>
      <c r="AB199" s="21">
        <f>EXP(-LN(2)/2)*AB198+(1-EXP(-LN(2)/2))/(LN(2)/2)*V199*Y199*VLOOKUP('Données projet'!$B$9,Paramètres!$A$1:$I$89,3,0)*0.475*44/12</f>
        <v>8.8248100616073832E-25</v>
      </c>
      <c r="AC199" s="22">
        <f t="shared" si="163"/>
        <v>0.36684805141320492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5.6843418860808015E-14</v>
      </c>
      <c r="AJ199" s="13">
        <f>AI199*VLOOKUP('Données projet'!$B$10,Paramètres!$A$1:$I$89,3,0)*VLOOKUP('Données projet'!$B$10,Paramètres!$A$1:$I$89,5,0)</f>
        <v>4.9658410716801891E-14</v>
      </c>
      <c r="AK199" s="13">
        <f t="shared" si="164"/>
        <v>8.0934058173791862E-13</v>
      </c>
      <c r="AL199" s="20">
        <f t="shared" si="165"/>
        <v>1.4960899118586383E-12</v>
      </c>
      <c r="AM199" s="59">
        <f t="shared" si="193"/>
        <v>293.33333333333479</v>
      </c>
      <c r="AN199" s="59">
        <f ca="1">AVERAGE(OFFSET($AM$3,0,0,'Données projet'!$E$10+1,1))-AVERAGE(OFFSET($H$3,0,0,'Données projet'!$E$10+1,1))</f>
        <v>243.05628303465238</v>
      </c>
      <c r="AO199" s="59">
        <f t="shared" si="205"/>
        <v>352.47096767658394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0.29484986661688883</v>
      </c>
      <c r="AV199" s="21">
        <f>EXP(-LN(2)/25)*AV198+(1-EXP(-LN(2)/25))/(LN(2)/25)*Calculateur!AQ199*Calculateur!AS199*VLOOKUP('Données projet'!$B$10,Paramètres!$A$1:$I$89,3,0)*0.475*44/12</f>
        <v>0.18166569513618358</v>
      </c>
      <c r="AW199" s="21">
        <f>EXP(-LN(2)/2)*AW198+(1-EXP(-LN(2)/2))/(LN(2)/2)*AQ199*AT199*VLOOKUP('Données projet'!$B$10,Paramètres!$A$1:$I$89,3,0)*0.475*44/12</f>
        <v>1.1656182718330273E-24</v>
      </c>
      <c r="AX199" s="21">
        <f t="shared" si="166"/>
        <v>0.47651556175307241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-2.8421709430404007E-13</v>
      </c>
      <c r="BE199" s="13">
        <f>BD199*VLOOKUP('Données projet'!$B$11,Paramètres!$A$1:$I$89,3,0)*VLOOKUP('Données projet'!$B$11,Paramètres!$A$1:$I$89,5,0)</f>
        <v>-2.2612312022829427E-13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325.72928944930294</v>
      </c>
      <c r="BJ199" s="59">
        <f t="shared" si="206"/>
        <v>318.38876834819752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0.64664430906706116</v>
      </c>
      <c r="BQ199" s="21">
        <f>EXP(-LN(2)/25)*BQ198+(1-EXP(-LN(2)/25))/(LN(2)/25)*Calculateur!BL199*Calculateur!BN199*VLOOKUP('Données projet'!$B$11,Paramètres!$A$1:$I$89,3,0)*0.475*44/12</f>
        <v>0.20735230204914598</v>
      </c>
      <c r="BR199" s="21">
        <f>EXP(-LN(2)/2)*BR198+(1-EXP(-LN(2)/2))/(LN(2)/2)*BL199*BO199*VLOOKUP('Données projet'!$B$11,Paramètres!$A$1:$I$89,3,0)*0.475*44/12</f>
        <v>1.2231644864131368E-24</v>
      </c>
      <c r="BS199" s="22">
        <f t="shared" si="169"/>
        <v>0.85399661111620717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-3.4106051316484809E-13</v>
      </c>
      <c r="BZ199" s="13">
        <f>BY199*VLOOKUP('Données projet'!$B$12,Paramètres!$A$1:$I$89,3,0)*VLOOKUP('Données projet'!$B$12,Paramètres!$A$1:$I$89,5,0)</f>
        <v>-1.9065282685915009E-13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475.54809021014017</v>
      </c>
      <c r="CE199" s="59">
        <f t="shared" si="207"/>
        <v>593.51433014569966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0.2741783091205775</v>
      </c>
      <c r="CL199" s="21">
        <f>EXP(-LN(2)/25)*CL198+(1-EXP(-LN(2)/25))/(LN(2)/25)*Calculateur!CG199*Calculateur!CI199*VLOOKUP('Données projet'!$B$12,Paramètres!$A$1:$I$89,3,0)*0.475*44/12</f>
        <v>0.42726274454029972</v>
      </c>
      <c r="CM199" s="21">
        <f>EXP(-LN(2)/2)*CM198+(1-EXP(-LN(2)/2))/(LN(2)/2)*CG199*CJ199*VLOOKUP('Données projet'!$B$12,Paramètres!$A$1:$I$89,3,0)*0.475*44/12</f>
        <v>1.4907818919499205E-24</v>
      </c>
      <c r="CN199" s="22">
        <f t="shared" si="172"/>
        <v>0.70144105366087728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-1.1368683772161603E-13</v>
      </c>
      <c r="CU199" s="17">
        <f>CT199*VLOOKUP('Données projet'!$B$13,Paramètres!$A$1:$I$89,3,0)*VLOOKUP('Données projet'!$B$13,Paramètres!$A$1:$I$89,5,0)</f>
        <v>-5.3205440053716299E-14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226.0452828290525</v>
      </c>
      <c r="CZ199" s="59">
        <f t="shared" si="208"/>
        <v>179.89696397462069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0.33896918529383346</v>
      </c>
      <c r="DG199" s="21">
        <f>EXP(-LN(2)/25)*DG198+(1-EXP(-LN(2)/25))/(LN(2)/25)*Calculateur!DB199*Calculateur!DD199*VLOOKUP('Données projet'!$B$13,Paramètres!$A$1:$I$89,3,0)*0.475*44/12</f>
        <v>0.11181166529778626</v>
      </c>
      <c r="DH199" s="21">
        <f>EXP(-LN(2)/2)*DH198+(1-EXP(-LN(2)/2))/(LN(2)/2)*DB199*DE199*VLOOKUP('Données projet'!$B$13,Paramètres!$A$1:$I$89,3,0)*0.475*44/12</f>
        <v>1.1418327394892113E-24</v>
      </c>
      <c r="DI199" s="22">
        <f t="shared" si="175"/>
        <v>0.45078085059161971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1.1368683772161603E-13</v>
      </c>
      <c r="DP199" s="17">
        <f>DO199*VLOOKUP('Données projet'!$B$14,Paramètres!$A$1:$I$89,3,0)*VLOOKUP('Données projet'!$B$14,Paramètres!$A$1:$I$89,5,0)</f>
        <v>6.7984728957526396E-14</v>
      </c>
      <c r="DQ199" s="13">
        <f t="shared" si="176"/>
        <v>1.0682447123141398E-12</v>
      </c>
      <c r="DR199" s="20">
        <f t="shared" si="177"/>
        <v>1.978932943548152E-12</v>
      </c>
      <c r="DS199" s="59">
        <f t="shared" si="197"/>
        <v>293.3333333333353</v>
      </c>
      <c r="DT199" s="59">
        <f ca="1">AVERAGE(OFFSET($DS$3,0,0,'Données projet'!$E$14+1,1))-AVERAGE(OFFSET($H$3,0,0,'Données projet'!$E$14+1,1))</f>
        <v>252.81045065813976</v>
      </c>
      <c r="DU199" s="59">
        <f t="shared" si="209"/>
        <v>254.36590349790589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0.67428368349786427</v>
      </c>
      <c r="EB199" s="21">
        <f>EXP(-LN(2)/25)*EB198+(1-EXP(-LN(2)/25))/(LN(2)/25)*Calculateur!DW199*Calculateur!DY199*VLOOKUP('Données projet'!$B$14,Paramètres!$A$1:$I$89,3,0)*0.475*44/12</f>
        <v>0.16169178141901516</v>
      </c>
      <c r="EC199" s="21">
        <f>EXP(-LN(2)/2)*EC198+(1-EXP(-LN(2)/2))/(LN(2)/2)*DW199*DZ199*VLOOKUP('Données projet'!$B$14,Paramètres!$A$1:$I$89,3,0)*0.475*44/12</f>
        <v>5.9364515909340502E-25</v>
      </c>
      <c r="ED199" s="22">
        <f t="shared" si="178"/>
        <v>0.83597546491687946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-2.8421709430404007E-13</v>
      </c>
      <c r="EK199" s="17">
        <f>EJ199*VLOOKUP('Données projet'!$B$15,Paramètres!$A$1:$I$89,3,0)*VLOOKUP('Données projet'!$B$15,Paramètres!$A$1:$I$89,5,0)</f>
        <v>-2.0838797354372215E-13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296.91321813251051</v>
      </c>
      <c r="EP199" s="59">
        <f t="shared" si="210"/>
        <v>291.0718079639509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0.4834880313076329</v>
      </c>
      <c r="EW199" s="21">
        <f>EXP(-LN(2)/25)*EW198+(1-EXP(-LN(2)/25))/(LN(2)/25)*Calculateur!ER199*Calculateur!ET199*VLOOKUP('Données projet'!$B$15,Paramètres!$A$1:$I$89,3,0)*0.475*44/12</f>
        <v>0.15503477707781124</v>
      </c>
      <c r="EX199" s="21">
        <f>EXP(-LN(2)/2)*EX198+(1-EXP(-LN(2)/2))/(LN(2)/2)*ER199*EU199*VLOOKUP('Données projet'!$B$15,Paramètres!$A$1:$I$89,3,0)*0.475*44/12</f>
        <v>1.1272300168905405E-24</v>
      </c>
      <c r="EY199" s="22">
        <f t="shared" si="181"/>
        <v>0.63852280838544417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>
        <f>FE199*VLOOKUP('Données projet'!$B$16,Paramètres!$A$1:$I$89,3,0)*VLOOKUP('Données projet'!$B$16,Paramètres!$A$1:$I$89,5,0)</f>
        <v>0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356.65981389369125</v>
      </c>
      <c r="FK199" s="59">
        <f t="shared" si="211"/>
        <v>231.92898690465887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0.30589195427460858</v>
      </c>
      <c r="FR199" s="21">
        <f>EXP(-LN(2)/25)*FR198+(1-EXP(-LN(2)/25))/(LN(2)/25)*Calculateur!FM199*Calculateur!FO199*VLOOKUP('Données projet'!$B$16,Paramètres!$A$1:$I$89,3,0)*0.475*44/12</f>
        <v>0.10523086196432831</v>
      </c>
      <c r="FS199" s="21">
        <f>EXP(-LN(2)/2)*FS198+(1-EXP(-LN(2)/2))/(LN(2)/2)*FM199*FP199*VLOOKUP('Données projet'!$B$16,Paramètres!$A$1:$I$89,3,0)*0.475*44/12</f>
        <v>9.8898733449048264E-25</v>
      </c>
      <c r="FT199" s="22">
        <f t="shared" si="184"/>
        <v>0.41112281623893687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>
        <f>FZ199*VLOOKUP('Données projet'!$B$17,Paramètres!$A$1:$I$89,3,0)*VLOOKUP('Données projet'!$B$17,Paramètres!$A$1:$I$89,5,0)</f>
        <v>0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337.76140497227715</v>
      </c>
      <c r="GF199" s="59">
        <f t="shared" si="212"/>
        <v>219.76562717496353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0.29177386407731887</v>
      </c>
      <c r="GM199" s="21">
        <f>EXP(-LN(2)/25)*GM198+(1-EXP(-LN(2)/25))/(LN(2)/25)*Calculateur!GH199*Calculateur!GJ199*VLOOKUP('Données projet'!$B$17,Paramètres!$A$1:$I$89,3,0)*0.475*44/12</f>
        <v>0.10037405295059008</v>
      </c>
      <c r="GN199" s="21">
        <f>EXP(-LN(2)/2)*GN198+(1-EXP(-LN(2)/2))/(LN(2)/2)*GH199*GK199*VLOOKUP('Données projet'!$B$17,Paramètres!$A$1:$I$89,3,0)*0.475*44/12</f>
        <v>9.4334176520630674E-25</v>
      </c>
      <c r="GO199" s="21">
        <f t="shared" si="187"/>
        <v>0.39214791702790897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312.53389584272878</v>
      </c>
      <c r="T200" s="59">
        <f t="shared" si="204"/>
        <v>203.5274665601915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0.26759736582097321</v>
      </c>
      <c r="AA200" s="21">
        <f>EXP(-LN(2)/25)*AA199+(1-EXP(-LN(2)/25))/(LN(2)/25)*Calculateur!V200*Calculateur!X200*VLOOKUP('Données projet'!$B$9,Paramètres!$A$1:$I$89,3,0)*0.475*44/12</f>
        <v>9.1330653439748499E-2</v>
      </c>
      <c r="AB200" s="21">
        <f>EXP(-LN(2)/2)*AB199+(1-EXP(-LN(2)/2))/(LN(2)/2)*V200*Y200*VLOOKUP('Données projet'!$B$9,Paramètres!$A$1:$I$89,3,0)*0.475*44/12</f>
        <v>6.2400830372458549E-25</v>
      </c>
      <c r="AC200" s="22">
        <f t="shared" si="163"/>
        <v>0.35892801926072171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5.6843418860808015E-14</v>
      </c>
      <c r="AJ200" s="13">
        <f>AI200*VLOOKUP('Données projet'!$B$10,Paramètres!$A$1:$I$89,3,0)*VLOOKUP('Données projet'!$B$10,Paramètres!$A$1:$I$89,5,0)</f>
        <v>4.9658410716801891E-14</v>
      </c>
      <c r="AK200" s="13">
        <f t="shared" si="164"/>
        <v>8.0934058173791862E-13</v>
      </c>
      <c r="AL200" s="20">
        <f t="shared" si="165"/>
        <v>1.4960899118586383E-12</v>
      </c>
      <c r="AM200" s="59">
        <f t="shared" si="193"/>
        <v>293.33333333333479</v>
      </c>
      <c r="AN200" s="59">
        <f ca="1">AVERAGE(OFFSET($AM$3,0,0,'Données projet'!$E$10+1,1))-AVERAGE(OFFSET($H$3,0,0,'Données projet'!$E$10+1,1))</f>
        <v>243.05628303465238</v>
      </c>
      <c r="AO200" s="59">
        <f t="shared" si="205"/>
        <v>352.47096767658394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0.28906804057319246</v>
      </c>
      <c r="AV200" s="21">
        <f>EXP(-LN(2)/25)*AV199+(1-EXP(-LN(2)/25))/(LN(2)/25)*Calculateur!AQ200*Calculateur!AS200*VLOOKUP('Données projet'!$B$10,Paramètres!$A$1:$I$89,3,0)*0.475*44/12</f>
        <v>0.17669803714930093</v>
      </c>
      <c r="AW200" s="21">
        <f>EXP(-LN(2)/2)*AW199+(1-EXP(-LN(2)/2))/(LN(2)/2)*AQ200*AT200*VLOOKUP('Données projet'!$B$10,Paramètres!$A$1:$I$89,3,0)*0.475*44/12</f>
        <v>8.2421658428807813E-25</v>
      </c>
      <c r="AX200" s="21">
        <f t="shared" si="166"/>
        <v>0.4657660777224934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-2.8421709430404007E-13</v>
      </c>
      <c r="BE200" s="13">
        <f>BD200*VLOOKUP('Données projet'!$B$11,Paramètres!$A$1:$I$89,3,0)*VLOOKUP('Données projet'!$B$11,Paramètres!$A$1:$I$89,5,0)</f>
        <v>-2.2612312022829427E-13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325.72928944930294</v>
      </c>
      <c r="BJ200" s="59">
        <f t="shared" si="206"/>
        <v>318.38876834819752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0.63396400858033952</v>
      </c>
      <c r="BQ200" s="21">
        <f>EXP(-LN(2)/25)*BQ199+(1-EXP(-LN(2)/25))/(LN(2)/25)*Calculateur!BL200*Calculateur!BN200*VLOOKUP('Données projet'!$B$11,Paramètres!$A$1:$I$89,3,0)*0.475*44/12</f>
        <v>0.20168224244542843</v>
      </c>
      <c r="BR200" s="21">
        <f>EXP(-LN(2)/2)*BR199+(1-EXP(-LN(2)/2))/(LN(2)/2)*BL200*BO200*VLOOKUP('Données projet'!$B$11,Paramètres!$A$1:$I$89,3,0)*0.475*44/12</f>
        <v>8.6490790284928964E-25</v>
      </c>
      <c r="BS200" s="22">
        <f t="shared" si="169"/>
        <v>0.83564625102576795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-3.4106051316484809E-13</v>
      </c>
      <c r="BZ200" s="13">
        <f>BY200*VLOOKUP('Données projet'!$B$12,Paramètres!$A$1:$I$89,3,0)*VLOOKUP('Données projet'!$B$12,Paramètres!$A$1:$I$89,5,0)</f>
        <v>-1.9065282685915009E-13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475.54809021014017</v>
      </c>
      <c r="CE200" s="59">
        <f t="shared" si="207"/>
        <v>593.51433014569966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0.26880183971097871</v>
      </c>
      <c r="CL200" s="21">
        <f>EXP(-LN(2)/25)*CL199+(1-EXP(-LN(2)/25))/(LN(2)/25)*Calculateur!CG200*Calculateur!CI200*VLOOKUP('Données projet'!$B$12,Paramètres!$A$1:$I$89,3,0)*0.475*44/12</f>
        <v>0.415579222322074</v>
      </c>
      <c r="CM200" s="21">
        <f>EXP(-LN(2)/2)*CM199+(1-EXP(-LN(2)/2))/(LN(2)/2)*CG200*CJ200*VLOOKUP('Données projet'!$B$12,Paramètres!$A$1:$I$89,3,0)*0.475*44/12</f>
        <v>1.0541419850678998E-24</v>
      </c>
      <c r="CN200" s="22">
        <f t="shared" si="172"/>
        <v>0.68438106203305271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-1.1368683772161603E-13</v>
      </c>
      <c r="CU200" s="17">
        <f>CT200*VLOOKUP('Données projet'!$B$13,Paramètres!$A$1:$I$89,3,0)*VLOOKUP('Données projet'!$B$13,Paramètres!$A$1:$I$89,5,0)</f>
        <v>-5.3205440053716299E-14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226.0452828290525</v>
      </c>
      <c r="CZ200" s="59">
        <f t="shared" si="208"/>
        <v>179.89696397462069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0.33232220632100945</v>
      </c>
      <c r="DG200" s="21">
        <f>EXP(-LN(2)/25)*DG199+(1-EXP(-LN(2)/25))/(LN(2)/25)*Calculateur!DB200*Calculateur!DD200*VLOOKUP('Données projet'!$B$13,Paramètres!$A$1:$I$89,3,0)*0.475*44/12</f>
        <v>0.10875416943029836</v>
      </c>
      <c r="DH200" s="21">
        <f>EXP(-LN(2)/2)*DH199+(1-EXP(-LN(2)/2))/(LN(2)/2)*DB200*DE200*VLOOKUP('Données projet'!$B$13,Paramètres!$A$1:$I$89,3,0)*0.475*44/12</f>
        <v>8.0739767307363384E-25</v>
      </c>
      <c r="DI200" s="22">
        <f t="shared" si="175"/>
        <v>0.44107637575130781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1.1368683772161603E-13</v>
      </c>
      <c r="DP200" s="17">
        <f>DO200*VLOOKUP('Données projet'!$B$14,Paramètres!$A$1:$I$89,3,0)*VLOOKUP('Données projet'!$B$14,Paramètres!$A$1:$I$89,5,0)</f>
        <v>6.7984728957526396E-14</v>
      </c>
      <c r="DQ200" s="13">
        <f t="shared" si="176"/>
        <v>1.0682447123141398E-12</v>
      </c>
      <c r="DR200" s="20">
        <f t="shared" si="177"/>
        <v>1.978932943548152E-12</v>
      </c>
      <c r="DS200" s="59">
        <f t="shared" si="197"/>
        <v>293.3333333333353</v>
      </c>
      <c r="DT200" s="59">
        <f ca="1">AVERAGE(OFFSET($DS$3,0,0,'Données projet'!$E$14+1,1))-AVERAGE(OFFSET($H$3,0,0,'Données projet'!$E$14+1,1))</f>
        <v>252.81045065813976</v>
      </c>
      <c r="DU200" s="59">
        <f t="shared" si="209"/>
        <v>254.36590349790589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0.66106139173690825</v>
      </c>
      <c r="EB200" s="21">
        <f>EXP(-LN(2)/25)*EB199+(1-EXP(-LN(2)/25))/(LN(2)/25)*Calculateur!DW200*Calculateur!DY200*VLOOKUP('Données projet'!$B$14,Paramètres!$A$1:$I$89,3,0)*0.475*44/12</f>
        <v>0.15727031115311096</v>
      </c>
      <c r="EC200" s="21">
        <f>EXP(-LN(2)/2)*EC199+(1-EXP(-LN(2)/2))/(LN(2)/2)*DW200*DZ200*VLOOKUP('Données projet'!$B$14,Paramètres!$A$1:$I$89,3,0)*0.475*44/12</f>
        <v>4.1977051761351354E-25</v>
      </c>
      <c r="ED200" s="22">
        <f t="shared" si="178"/>
        <v>0.81833170289001922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-2.8421709430404007E-13</v>
      </c>
      <c r="EK200" s="17">
        <f>EJ200*VLOOKUP('Données projet'!$B$15,Paramètres!$A$1:$I$89,3,0)*VLOOKUP('Données projet'!$B$15,Paramètres!$A$1:$I$89,5,0)</f>
        <v>-2.0838797354372215E-13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296.91321813251051</v>
      </c>
      <c r="EP200" s="59">
        <f t="shared" si="210"/>
        <v>291.0718079639509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0.47400712591227051</v>
      </c>
      <c r="EW200" s="21">
        <f>EXP(-LN(2)/25)*EW199+(1-EXP(-LN(2)/25))/(LN(2)/25)*Calculateur!ER200*Calculateur!ET200*VLOOKUP('Données projet'!$B$15,Paramètres!$A$1:$I$89,3,0)*0.475*44/12</f>
        <v>0.15079534294569391</v>
      </c>
      <c r="EX200" s="21">
        <f>EXP(-LN(2)/2)*EX199+(1-EXP(-LN(2)/2))/(LN(2)/2)*ER200*EU200*VLOOKUP('Données projet'!$B$15,Paramètres!$A$1:$I$89,3,0)*0.475*44/12</f>
        <v>7.970719889003277E-25</v>
      </c>
      <c r="EY200" s="22">
        <f t="shared" si="181"/>
        <v>0.62480246885796442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>
        <f>FE200*VLOOKUP('Données projet'!$B$16,Paramètres!$A$1:$I$89,3,0)*VLOOKUP('Données projet'!$B$16,Paramètres!$A$1:$I$89,5,0)</f>
        <v>0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356.65981389369125</v>
      </c>
      <c r="FK200" s="59">
        <f t="shared" si="211"/>
        <v>231.92898690465887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0.29989359962695278</v>
      </c>
      <c r="FR200" s="21">
        <f>EXP(-LN(2)/25)*FR199+(1-EXP(-LN(2)/25))/(LN(2)/25)*Calculateur!FM200*Calculateur!FO200*VLOOKUP('Données projet'!$B$16,Paramètres!$A$1:$I$89,3,0)*0.475*44/12</f>
        <v>0.10235331851006323</v>
      </c>
      <c r="FS200" s="21">
        <f>EXP(-LN(2)/2)*FS199+(1-EXP(-LN(2)/2))/(LN(2)/2)*FM200*FP200*VLOOKUP('Données projet'!$B$16,Paramètres!$A$1:$I$89,3,0)*0.475*44/12</f>
        <v>6.993196507258286E-25</v>
      </c>
      <c r="FT200" s="22">
        <f t="shared" si="184"/>
        <v>0.40224691813701602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>
        <f>FZ200*VLOOKUP('Données projet'!$B$17,Paramètres!$A$1:$I$89,3,0)*VLOOKUP('Données projet'!$B$17,Paramètres!$A$1:$I$89,5,0)</f>
        <v>0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337.76140497227715</v>
      </c>
      <c r="GF200" s="59">
        <f t="shared" si="212"/>
        <v>219.76562717496353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0.2860523565672472</v>
      </c>
      <c r="GM200" s="21">
        <f>EXP(-LN(2)/25)*GM199+(1-EXP(-LN(2)/25))/(LN(2)/25)*Calculateur!GH200*Calculateur!GJ200*VLOOKUP('Données projet'!$B$17,Paramètres!$A$1:$I$89,3,0)*0.475*44/12</f>
        <v>9.7629319194214165E-2</v>
      </c>
      <c r="GN200" s="21">
        <f>EXP(-LN(2)/2)*GN199+(1-EXP(-LN(2)/2))/(LN(2)/2)*GH200*GK200*VLOOKUP('Données projet'!$B$17,Paramètres!$A$1:$I$89,3,0)*0.475*44/12</f>
        <v>6.6704335915386744E-25</v>
      </c>
      <c r="GO200" s="21">
        <f t="shared" si="187"/>
        <v>0.38368167576146139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312.53389584272878</v>
      </c>
      <c r="T201" s="59">
        <f t="shared" si="204"/>
        <v>203.5274665601915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0.2623499446955006</v>
      </c>
      <c r="AA201" s="21">
        <f>EXP(-LN(2)/25)*AA200+(1-EXP(-LN(2)/25))/(LN(2)/25)*Calculateur!V201*Calculateur!X201*VLOOKUP('Données projet'!$B$9,Paramètres!$A$1:$I$89,3,0)*0.475*44/12</f>
        <v>8.8833211918568245E-2</v>
      </c>
      <c r="AB201" s="21">
        <f>EXP(-LN(2)/2)*AB200+(1-EXP(-LN(2)/2))/(LN(2)/2)*V201*Y201*VLOOKUP('Données projet'!$B$9,Paramètres!$A$1:$I$89,3,0)*0.475*44/12</f>
        <v>4.4124050308036916E-25</v>
      </c>
      <c r="AC201" s="22">
        <f t="shared" si="163"/>
        <v>0.35118315661406885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5.6843418860808015E-14</v>
      </c>
      <c r="AJ201" s="13">
        <f>AI201*VLOOKUP('Données projet'!$B$10,Paramètres!$A$1:$I$89,3,0)*VLOOKUP('Données projet'!$B$10,Paramètres!$A$1:$I$89,5,0)</f>
        <v>4.9658410716801891E-14</v>
      </c>
      <c r="AK201" s="13">
        <f t="shared" si="164"/>
        <v>8.0934058173791862E-13</v>
      </c>
      <c r="AL201" s="20">
        <f t="shared" si="165"/>
        <v>1.4960899118586383E-12</v>
      </c>
      <c r="AM201" s="59">
        <f t="shared" si="193"/>
        <v>293.33333333333479</v>
      </c>
      <c r="AN201" s="59">
        <f ca="1">AVERAGE(OFFSET($AM$3,0,0,'Données projet'!$E$10+1,1))-AVERAGE(OFFSET($H$3,0,0,'Données projet'!$E$10+1,1))</f>
        <v>243.05628303465238</v>
      </c>
      <c r="AO201" s="59">
        <f t="shared" si="205"/>
        <v>352.47096767658394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0.28339959261164732</v>
      </c>
      <c r="AV201" s="21">
        <f>EXP(-LN(2)/25)*AV200+(1-EXP(-LN(2)/25))/(LN(2)/25)*Calculateur!AQ201*Calculateur!AS201*VLOOKUP('Données projet'!$B$10,Paramètres!$A$1:$I$89,3,0)*0.475*44/12</f>
        <v>0.17186622003130739</v>
      </c>
      <c r="AW201" s="21">
        <f>EXP(-LN(2)/2)*AW200+(1-EXP(-LN(2)/2))/(LN(2)/2)*AQ201*AT201*VLOOKUP('Données projet'!$B$10,Paramètres!$A$1:$I$89,3,0)*0.475*44/12</f>
        <v>5.8280913591651372E-25</v>
      </c>
      <c r="AX201" s="21">
        <f t="shared" si="166"/>
        <v>0.45526581264295474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-2.8421709430404007E-13</v>
      </c>
      <c r="BE201" s="13">
        <f>BD201*VLOOKUP('Données projet'!$B$11,Paramètres!$A$1:$I$89,3,0)*VLOOKUP('Données projet'!$B$11,Paramètres!$A$1:$I$89,5,0)</f>
        <v>-2.2612312022829427E-13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325.72928944930294</v>
      </c>
      <c r="BJ201" s="59">
        <f t="shared" si="206"/>
        <v>318.38876834819752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0.62153236105194287</v>
      </c>
      <c r="BQ201" s="21">
        <f>EXP(-LN(2)/25)*BQ200+(1-EXP(-LN(2)/25))/(LN(2)/25)*Calculateur!BL201*Calculateur!BN201*VLOOKUP('Données projet'!$B$11,Paramètres!$A$1:$I$89,3,0)*0.475*44/12</f>
        <v>0.19616723091975</v>
      </c>
      <c r="BR201" s="21">
        <f>EXP(-LN(2)/2)*BR200+(1-EXP(-LN(2)/2))/(LN(2)/2)*BL201*BO201*VLOOKUP('Données projet'!$B$11,Paramètres!$A$1:$I$89,3,0)*0.475*44/12</f>
        <v>6.1158224320656838E-25</v>
      </c>
      <c r="BS201" s="22">
        <f t="shared" si="169"/>
        <v>0.81769959197169284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-3.4106051316484809E-13</v>
      </c>
      <c r="BZ201" s="13">
        <f>BY201*VLOOKUP('Données projet'!$B$12,Paramètres!$A$1:$I$89,3,0)*VLOOKUP('Données projet'!$B$12,Paramètres!$A$1:$I$89,5,0)</f>
        <v>-1.9065282685915009E-13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475.54809021014017</v>
      </c>
      <c r="CE201" s="59">
        <f t="shared" si="207"/>
        <v>593.51433014569966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0.26353079958717962</v>
      </c>
      <c r="CL201" s="21">
        <f>EXP(-LN(2)/25)*CL200+(1-EXP(-LN(2)/25))/(LN(2)/25)*Calculateur!CG201*Calculateur!CI201*VLOOKUP('Données projet'!$B$12,Paramètres!$A$1:$I$89,3,0)*0.475*44/12</f>
        <v>0.4042151866333154</v>
      </c>
      <c r="CM201" s="21">
        <f>EXP(-LN(2)/2)*CM200+(1-EXP(-LN(2)/2))/(LN(2)/2)*CG201*CJ201*VLOOKUP('Données projet'!$B$12,Paramètres!$A$1:$I$89,3,0)*0.475*44/12</f>
        <v>7.4539094597496025E-25</v>
      </c>
      <c r="CN201" s="22">
        <f t="shared" si="172"/>
        <v>0.66774598622049508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-1.1368683772161603E-13</v>
      </c>
      <c r="CU201" s="17">
        <f>CT201*VLOOKUP('Données projet'!$B$13,Paramètres!$A$1:$I$89,3,0)*VLOOKUP('Données projet'!$B$13,Paramètres!$A$1:$I$89,5,0)</f>
        <v>-5.3205440053716299E-14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226.0452828290525</v>
      </c>
      <c r="CZ201" s="59">
        <f t="shared" si="208"/>
        <v>179.89696397462069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0.32580557055158571</v>
      </c>
      <c r="DG201" s="21">
        <f>EXP(-LN(2)/25)*DG200+(1-EXP(-LN(2)/25))/(LN(2)/25)*Calculateur!DB201*Calculateur!DD201*VLOOKUP('Données projet'!$B$13,Paramètres!$A$1:$I$89,3,0)*0.475*44/12</f>
        <v>0.10578028094809365</v>
      </c>
      <c r="DH201" s="21">
        <f>EXP(-LN(2)/2)*DH200+(1-EXP(-LN(2)/2))/(LN(2)/2)*DB201*DE201*VLOOKUP('Données projet'!$B$13,Paramètres!$A$1:$I$89,3,0)*0.475*44/12</f>
        <v>5.7091636974460572E-25</v>
      </c>
      <c r="DI201" s="22">
        <f t="shared" si="175"/>
        <v>0.43158585149967937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1.1368683772161603E-13</v>
      </c>
      <c r="DP201" s="17">
        <f>DO201*VLOOKUP('Données projet'!$B$14,Paramètres!$A$1:$I$89,3,0)*VLOOKUP('Données projet'!$B$14,Paramètres!$A$1:$I$89,5,0)</f>
        <v>6.7984728957526396E-14</v>
      </c>
      <c r="DQ201" s="13">
        <f t="shared" si="176"/>
        <v>1.0682447123141398E-12</v>
      </c>
      <c r="DR201" s="20">
        <f t="shared" si="177"/>
        <v>1.978932943548152E-12</v>
      </c>
      <c r="DS201" s="59">
        <f t="shared" si="197"/>
        <v>293.3333333333353</v>
      </c>
      <c r="DT201" s="59">
        <f ca="1">AVERAGE(OFFSET($DS$3,0,0,'Données projet'!$E$14+1,1))-AVERAGE(OFFSET($H$3,0,0,'Données projet'!$E$14+1,1))</f>
        <v>252.81045065813976</v>
      </c>
      <c r="DU201" s="59">
        <f t="shared" si="209"/>
        <v>254.36590349790589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0.64809838105258299</v>
      </c>
      <c r="EB201" s="21">
        <f>EXP(-LN(2)/25)*EB200+(1-EXP(-LN(2)/25))/(LN(2)/25)*Calculateur!DW201*Calculateur!DY201*VLOOKUP('Données projet'!$B$14,Paramètres!$A$1:$I$89,3,0)*0.475*44/12</f>
        <v>0.15296974622414292</v>
      </c>
      <c r="EC201" s="21">
        <f>EXP(-LN(2)/2)*EC200+(1-EXP(-LN(2)/2))/(LN(2)/2)*DW201*DZ201*VLOOKUP('Données projet'!$B$14,Paramètres!$A$1:$I$89,3,0)*0.475*44/12</f>
        <v>2.9682257954670251E-25</v>
      </c>
      <c r="ED201" s="22">
        <f t="shared" si="178"/>
        <v>0.80106812727672594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-2.8421709430404007E-13</v>
      </c>
      <c r="EK201" s="17">
        <f>EJ201*VLOOKUP('Données projet'!$B$15,Paramètres!$A$1:$I$89,3,0)*VLOOKUP('Données projet'!$B$15,Paramètres!$A$1:$I$89,5,0)</f>
        <v>-2.0838797354372215E-13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296.91321813251051</v>
      </c>
      <c r="EP201" s="59">
        <f t="shared" si="210"/>
        <v>291.0718079639509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0.46471213528892985</v>
      </c>
      <c r="EW201" s="21">
        <f>EXP(-LN(2)/25)*EW200+(1-EXP(-LN(2)/25))/(LN(2)/25)*Calculateur!ER201*Calculateur!ET201*VLOOKUP('Données projet'!$B$15,Paramètres!$A$1:$I$89,3,0)*0.475*44/12</f>
        <v>0.14667183636286146</v>
      </c>
      <c r="EX201" s="21">
        <f>EXP(-LN(2)/2)*EX200+(1-EXP(-LN(2)/2))/(LN(2)/2)*ER201*EU201*VLOOKUP('Données projet'!$B$15,Paramètres!$A$1:$I$89,3,0)*0.475*44/12</f>
        <v>5.6361500844527025E-25</v>
      </c>
      <c r="EY201" s="22">
        <f t="shared" si="181"/>
        <v>0.61138397165179126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>
        <f>FE201*VLOOKUP('Données projet'!$B$16,Paramètres!$A$1:$I$89,3,0)*VLOOKUP('Données projet'!$B$16,Paramètres!$A$1:$I$89,5,0)</f>
        <v>0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356.65981389369125</v>
      </c>
      <c r="FK201" s="59">
        <f t="shared" si="211"/>
        <v>231.92898690465887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0.29401286905530244</v>
      </c>
      <c r="FR201" s="21">
        <f>EXP(-LN(2)/25)*FR200+(1-EXP(-LN(2)/25))/(LN(2)/25)*Calculateur!FM201*Calculateur!FO201*VLOOKUP('Données projet'!$B$16,Paramètres!$A$1:$I$89,3,0)*0.475*44/12</f>
        <v>9.9554461632878455E-2</v>
      </c>
      <c r="FS201" s="21">
        <f>EXP(-LN(2)/2)*FS200+(1-EXP(-LN(2)/2))/(LN(2)/2)*FM201*FP201*VLOOKUP('Données projet'!$B$16,Paramètres!$A$1:$I$89,3,0)*0.475*44/12</f>
        <v>4.9449366724524132E-25</v>
      </c>
      <c r="FT201" s="22">
        <f t="shared" si="184"/>
        <v>0.39356733068818089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>
        <f>FZ201*VLOOKUP('Données projet'!$B$17,Paramètres!$A$1:$I$89,3,0)*VLOOKUP('Données projet'!$B$17,Paramètres!$A$1:$I$89,5,0)</f>
        <v>0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337.76140497227715</v>
      </c>
      <c r="GF201" s="59">
        <f t="shared" si="212"/>
        <v>219.76562717496353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0.28044304432967304</v>
      </c>
      <c r="GM201" s="21">
        <f>EXP(-LN(2)/25)*GM200+(1-EXP(-LN(2)/25))/(LN(2)/25)*Calculateur!GH201*Calculateur!GJ201*VLOOKUP('Données projet'!$B$17,Paramètres!$A$1:$I$89,3,0)*0.475*44/12</f>
        <v>9.4959640326745615E-2</v>
      </c>
      <c r="GN201" s="21">
        <f>EXP(-LN(2)/2)*GN200+(1-EXP(-LN(2)/2))/(LN(2)/2)*GH201*GK201*VLOOKUP('Données projet'!$B$17,Paramètres!$A$1:$I$89,3,0)*0.475*44/12</f>
        <v>4.7167088260315337E-25</v>
      </c>
      <c r="GO201" s="21">
        <f t="shared" si="187"/>
        <v>0.37540268465641868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312.53389584272878</v>
      </c>
      <c r="T202" s="59">
        <f t="shared" si="204"/>
        <v>203.5274665601915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0.25720542229768767</v>
      </c>
      <c r="AA202" s="21">
        <f>EXP(-LN(2)/25)*AA201+(1-EXP(-LN(2)/25))/(LN(2)/25)*Calculateur!V202*Calculateur!X202*VLOOKUP('Données projet'!$B$9,Paramètres!$A$1:$I$89,3,0)*0.475*44/12</f>
        <v>8.640406306711941E-2</v>
      </c>
      <c r="AB202" s="21">
        <f>EXP(-LN(2)/2)*AB201+(1-EXP(-LN(2)/2))/(LN(2)/2)*V202*Y202*VLOOKUP('Données projet'!$B$9,Paramètres!$A$1:$I$89,3,0)*0.475*44/12</f>
        <v>3.1200415186229275E-25</v>
      </c>
      <c r="AC202" s="22">
        <f t="shared" si="163"/>
        <v>0.34360948536480707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5.6843418860808015E-14</v>
      </c>
      <c r="AJ202" s="13">
        <f>AI202*VLOOKUP('Données projet'!$B$10,Paramètres!$A$1:$I$89,3,0)*VLOOKUP('Données projet'!$B$10,Paramètres!$A$1:$I$89,5,0)</f>
        <v>4.9658410716801891E-14</v>
      </c>
      <c r="AK202" s="13">
        <f t="shared" si="164"/>
        <v>8.0934058173791862E-13</v>
      </c>
      <c r="AL202" s="20">
        <f t="shared" si="165"/>
        <v>1.4960899118586383E-12</v>
      </c>
      <c r="AM202" s="59">
        <f t="shared" si="193"/>
        <v>293.33333333333479</v>
      </c>
      <c r="AN202" s="59">
        <f ca="1">AVERAGE(OFFSET($AM$3,0,0,'Données projet'!$E$10+1,1))-AVERAGE(OFFSET($H$3,0,0,'Données projet'!$E$10+1,1))</f>
        <v>243.05628303465238</v>
      </c>
      <c r="AO202" s="59">
        <f t="shared" si="205"/>
        <v>352.47096767658394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0.27784229945721622</v>
      </c>
      <c r="AV202" s="21">
        <f>EXP(-LN(2)/25)*AV201+(1-EXP(-LN(2)/25))/(LN(2)/25)*Calculateur!AQ202*Calculateur!AS202*VLOOKUP('Données projet'!$B$10,Paramètres!$A$1:$I$89,3,0)*0.475*44/12</f>
        <v>0.16716652920649958</v>
      </c>
      <c r="AW202" s="21">
        <f>EXP(-LN(2)/2)*AW201+(1-EXP(-LN(2)/2))/(LN(2)/2)*AQ202*AT202*VLOOKUP('Données projet'!$B$10,Paramètres!$A$1:$I$89,3,0)*0.475*44/12</f>
        <v>4.1210829214403916E-25</v>
      </c>
      <c r="AX202" s="21">
        <f t="shared" si="166"/>
        <v>0.44500882866371583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-2.8421709430404007E-13</v>
      </c>
      <c r="BE202" s="13">
        <f>BD202*VLOOKUP('Données projet'!$B$11,Paramètres!$A$1:$I$89,3,0)*VLOOKUP('Données projet'!$B$11,Paramètres!$A$1:$I$89,5,0)</f>
        <v>-2.2612312022829427E-13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325.72928944930294</v>
      </c>
      <c r="BJ202" s="59">
        <f t="shared" si="206"/>
        <v>318.38876834819752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0.60934449054902173</v>
      </c>
      <c r="BQ202" s="21">
        <f>EXP(-LN(2)/25)*BQ201+(1-EXP(-LN(2)/25))/(LN(2)/25)*Calculateur!BL202*Calculateur!BN202*VLOOKUP('Données projet'!$B$11,Paramètres!$A$1:$I$89,3,0)*0.475*44/12</f>
        <v>0.1908030276742631</v>
      </c>
      <c r="BR202" s="21">
        <f>EXP(-LN(2)/2)*BR201+(1-EXP(-LN(2)/2))/(LN(2)/2)*BL202*BO202*VLOOKUP('Données projet'!$B$11,Paramètres!$A$1:$I$89,3,0)*0.475*44/12</f>
        <v>4.3245395142464482E-25</v>
      </c>
      <c r="BS202" s="22">
        <f t="shared" si="169"/>
        <v>0.80014751822328489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-3.4106051316484809E-13</v>
      </c>
      <c r="BZ202" s="13">
        <f>BY202*VLOOKUP('Données projet'!$B$12,Paramètres!$A$1:$I$89,3,0)*VLOOKUP('Données projet'!$B$12,Paramètres!$A$1:$I$89,5,0)</f>
        <v>-1.9065282685915009E-13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475.54809021014017</v>
      </c>
      <c r="CE202" s="59">
        <f t="shared" si="207"/>
        <v>593.51433014569966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0.25836312134519124</v>
      </c>
      <c r="CL202" s="21">
        <f>EXP(-LN(2)/25)*CL201+(1-EXP(-LN(2)/25))/(LN(2)/25)*Calculateur!CG202*Calculateur!CI202*VLOOKUP('Données projet'!$B$12,Paramètres!$A$1:$I$89,3,0)*0.475*44/12</f>
        <v>0.39316190109807458</v>
      </c>
      <c r="CM202" s="21">
        <f>EXP(-LN(2)/2)*CM201+(1-EXP(-LN(2)/2))/(LN(2)/2)*CG202*CJ202*VLOOKUP('Données projet'!$B$12,Paramètres!$A$1:$I$89,3,0)*0.475*44/12</f>
        <v>5.2707099253394988E-25</v>
      </c>
      <c r="CN202" s="22">
        <f t="shared" si="172"/>
        <v>0.65152502244326582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-1.1368683772161603E-13</v>
      </c>
      <c r="CU202" s="17">
        <f>CT202*VLOOKUP('Données projet'!$B$13,Paramètres!$A$1:$I$89,3,0)*VLOOKUP('Données projet'!$B$13,Paramètres!$A$1:$I$89,5,0)</f>
        <v>-5.3205440053716299E-14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226.0452828290525</v>
      </c>
      <c r="CZ202" s="59">
        <f t="shared" si="208"/>
        <v>179.89696397462069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0.319416722034845</v>
      </c>
      <c r="DG202" s="21">
        <f>EXP(-LN(2)/25)*DG201+(1-EXP(-LN(2)/25))/(LN(2)/25)*Calculateur!DB202*Calculateur!DD202*VLOOKUP('Données projet'!$B$13,Paramètres!$A$1:$I$89,3,0)*0.475*44/12</f>
        <v>0.10288771360282482</v>
      </c>
      <c r="DH202" s="21">
        <f>EXP(-LN(2)/2)*DH201+(1-EXP(-LN(2)/2))/(LN(2)/2)*DB202*DE202*VLOOKUP('Données projet'!$B$13,Paramètres!$A$1:$I$89,3,0)*0.475*44/12</f>
        <v>4.0369883653681701E-25</v>
      </c>
      <c r="DI202" s="22">
        <f t="shared" si="175"/>
        <v>0.42230443563766984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1.1368683772161603E-13</v>
      </c>
      <c r="DP202" s="17">
        <f>DO202*VLOOKUP('Données projet'!$B$14,Paramètres!$A$1:$I$89,3,0)*VLOOKUP('Données projet'!$B$14,Paramètres!$A$1:$I$89,5,0)</f>
        <v>6.7984728957526396E-14</v>
      </c>
      <c r="DQ202" s="13">
        <f t="shared" si="176"/>
        <v>1.0682447123141398E-12</v>
      </c>
      <c r="DR202" s="20">
        <f t="shared" si="177"/>
        <v>1.978932943548152E-12</v>
      </c>
      <c r="DS202" s="59">
        <f t="shared" si="197"/>
        <v>293.3333333333353</v>
      </c>
      <c r="DT202" s="59">
        <f ca="1">AVERAGE(OFFSET($DS$3,0,0,'Données projet'!$E$14+1,1))-AVERAGE(OFFSET($H$3,0,0,'Données projet'!$E$14+1,1))</f>
        <v>252.81045065813976</v>
      </c>
      <c r="DU202" s="59">
        <f t="shared" si="209"/>
        <v>254.36590349790589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0.6353895671011216</v>
      </c>
      <c r="EB202" s="21">
        <f>EXP(-LN(2)/25)*EB201+(1-EXP(-LN(2)/25))/(LN(2)/25)*Calculateur!DW202*Calculateur!DY202*VLOOKUP('Données projet'!$B$14,Paramètres!$A$1:$I$89,3,0)*0.475*44/12</f>
        <v>0.1487867804693144</v>
      </c>
      <c r="EC202" s="21">
        <f>EXP(-LN(2)/2)*EC201+(1-EXP(-LN(2)/2))/(LN(2)/2)*DW202*DZ202*VLOOKUP('Données projet'!$B$14,Paramètres!$A$1:$I$89,3,0)*0.475*44/12</f>
        <v>2.0988525880675677E-25</v>
      </c>
      <c r="ED202" s="22">
        <f t="shared" si="178"/>
        <v>0.78417634757043597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-2.8421709430404007E-13</v>
      </c>
      <c r="EK202" s="17">
        <f>EJ202*VLOOKUP('Données projet'!$B$15,Paramètres!$A$1:$I$89,3,0)*VLOOKUP('Données projet'!$B$15,Paramètres!$A$1:$I$89,5,0)</f>
        <v>-2.0838797354372215E-13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296.91321813251051</v>
      </c>
      <c r="EP202" s="59">
        <f t="shared" si="210"/>
        <v>291.0718079639509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0.45559941376232843</v>
      </c>
      <c r="EW202" s="21">
        <f>EXP(-LN(2)/25)*EW201+(1-EXP(-LN(2)/25))/(LN(2)/25)*Calculateur!ER202*Calculateur!ET202*VLOOKUP('Données projet'!$B$15,Paramètres!$A$1:$I$89,3,0)*0.475*44/12</f>
        <v>0.14266108728438237</v>
      </c>
      <c r="EX202" s="21">
        <f>EXP(-LN(2)/2)*EX201+(1-EXP(-LN(2)/2))/(LN(2)/2)*ER202*EU202*VLOOKUP('Données projet'!$B$15,Paramètres!$A$1:$I$89,3,0)*0.475*44/12</f>
        <v>3.9853599445016385E-25</v>
      </c>
      <c r="EY202" s="22">
        <f t="shared" si="181"/>
        <v>0.5982605010467108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>
        <f>FE202*VLOOKUP('Données projet'!$B$16,Paramètres!$A$1:$I$89,3,0)*VLOOKUP('Données projet'!$B$16,Paramètres!$A$1:$I$89,5,0)</f>
        <v>0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356.65981389369125</v>
      </c>
      <c r="FK202" s="59">
        <f t="shared" si="211"/>
        <v>231.92898690465887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0.28824745602327068</v>
      </c>
      <c r="FR202" s="21">
        <f>EXP(-LN(2)/25)*FR201+(1-EXP(-LN(2)/25))/(LN(2)/25)*Calculateur!FM202*Calculateur!FO202*VLOOKUP('Données projet'!$B$16,Paramètres!$A$1:$I$89,3,0)*0.475*44/12</f>
        <v>9.6832139644185786E-2</v>
      </c>
      <c r="FS202" s="21">
        <f>EXP(-LN(2)/2)*FS201+(1-EXP(-LN(2)/2))/(LN(2)/2)*FM202*FP202*VLOOKUP('Données projet'!$B$16,Paramètres!$A$1:$I$89,3,0)*0.475*44/12</f>
        <v>3.496598253629143E-25</v>
      </c>
      <c r="FT202" s="22">
        <f t="shared" si="184"/>
        <v>0.38507959566745648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>
        <f>FZ202*VLOOKUP('Données projet'!$B$17,Paramètres!$A$1:$I$89,3,0)*VLOOKUP('Données projet'!$B$17,Paramètres!$A$1:$I$89,5,0)</f>
        <v>0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337.76140497227715</v>
      </c>
      <c r="GF202" s="59">
        <f t="shared" si="212"/>
        <v>219.76562717496353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0.27494372728373506</v>
      </c>
      <c r="GM202" s="21">
        <f>EXP(-LN(2)/25)*GM201+(1-EXP(-LN(2)/25))/(LN(2)/25)*Calculateur!GH202*Calculateur!GJ202*VLOOKUP('Données projet'!$B$17,Paramètres!$A$1:$I$89,3,0)*0.475*44/12</f>
        <v>9.2362963968300307E-2</v>
      </c>
      <c r="GN202" s="21">
        <f>EXP(-LN(2)/2)*GN201+(1-EXP(-LN(2)/2))/(LN(2)/2)*GH202*GK202*VLOOKUP('Données projet'!$B$17,Paramètres!$A$1:$I$89,3,0)*0.475*44/12</f>
        <v>3.3352167957693372E-25</v>
      </c>
      <c r="GO202" s="21">
        <f t="shared" si="187"/>
        <v>0.36730669125203536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312.53389584272878</v>
      </c>
      <c r="T203" s="59">
        <f t="shared" si="204"/>
        <v>203.5274665601915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0.25216178084624702</v>
      </c>
      <c r="AA203" s="21">
        <f>EXP(-LN(2)/25)*AA202+(1-EXP(-LN(2)/25))/(LN(2)/25)*Calculateur!V203*Calculateur!X203*VLOOKUP('Données projet'!$B$9,Paramètres!$A$1:$I$89,3,0)*0.475*44/12</f>
        <v>8.4041339418756827E-2</v>
      </c>
      <c r="AB203" s="21">
        <f>EXP(-LN(2)/2)*AB202+(1-EXP(-LN(2)/2))/(LN(2)/2)*V203*Y203*VLOOKUP('Données projet'!$B$9,Paramètres!$A$1:$I$89,3,0)*0.475*44/12</f>
        <v>2.2062025154018458E-25</v>
      </c>
      <c r="AC203" s="22">
        <f t="shared" si="163"/>
        <v>0.33620312026500387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5.6843418860808015E-14</v>
      </c>
      <c r="AJ203" s="13">
        <f>AI203*VLOOKUP('Données projet'!$B$10,Paramètres!$A$1:$I$89,3,0)*VLOOKUP('Données projet'!$B$10,Paramètres!$A$1:$I$89,5,0)</f>
        <v>4.9658410716801891E-14</v>
      </c>
      <c r="AK203" s="13">
        <f t="shared" si="164"/>
        <v>8.0934058173791862E-13</v>
      </c>
      <c r="AL203" s="20">
        <f t="shared" si="165"/>
        <v>1.4960899118586383E-12</v>
      </c>
      <c r="AM203" s="59">
        <f t="shared" si="193"/>
        <v>293.33333333333479</v>
      </c>
      <c r="AN203" s="59">
        <f ca="1">AVERAGE(OFFSET($AM$3,0,0,'Données projet'!$E$10+1,1))-AVERAGE(OFFSET($H$3,0,0,'Données projet'!$E$10+1,1))</f>
        <v>243.05628303465238</v>
      </c>
      <c r="AO203" s="59">
        <f t="shared" si="205"/>
        <v>352.47096767658394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0.27239398143192939</v>
      </c>
      <c r="AV203" s="21">
        <f>EXP(-LN(2)/25)*AV202+(1-EXP(-LN(2)/25))/(LN(2)/25)*Calculateur!AQ203*Calculateur!AS203*VLOOKUP('Données projet'!$B$10,Paramètres!$A$1:$I$89,3,0)*0.475*44/12</f>
        <v>0.16259535167444214</v>
      </c>
      <c r="AW203" s="21">
        <f>EXP(-LN(2)/2)*AW202+(1-EXP(-LN(2)/2))/(LN(2)/2)*AQ203*AT203*VLOOKUP('Données projet'!$B$10,Paramètres!$A$1:$I$89,3,0)*0.475*44/12</f>
        <v>2.9140456795825691E-25</v>
      </c>
      <c r="AX203" s="21">
        <f t="shared" si="166"/>
        <v>0.43498933310637156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-2.8421709430404007E-13</v>
      </c>
      <c r="BE203" s="13">
        <f>BD203*VLOOKUP('Données projet'!$B$11,Paramètres!$A$1:$I$89,3,0)*VLOOKUP('Données projet'!$B$11,Paramètres!$A$1:$I$89,5,0)</f>
        <v>-2.2612312022829427E-13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325.72928944930294</v>
      </c>
      <c r="BJ203" s="59">
        <f t="shared" si="206"/>
        <v>318.38876834819752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0.59739561675279595</v>
      </c>
      <c r="BQ203" s="21">
        <f>EXP(-LN(2)/25)*BQ202+(1-EXP(-LN(2)/25))/(LN(2)/25)*Calculateur!BL203*Calculateur!BN203*VLOOKUP('Données projet'!$B$11,Paramètres!$A$1:$I$89,3,0)*0.475*44/12</f>
        <v>0.18558550884861524</v>
      </c>
      <c r="BR203" s="21">
        <f>EXP(-LN(2)/2)*BR202+(1-EXP(-LN(2)/2))/(LN(2)/2)*BL203*BO203*VLOOKUP('Données projet'!$B$11,Paramètres!$A$1:$I$89,3,0)*0.475*44/12</f>
        <v>3.0579112160328419E-25</v>
      </c>
      <c r="BS203" s="22">
        <f t="shared" si="169"/>
        <v>0.7829811256014112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-3.4106051316484809E-13</v>
      </c>
      <c r="BZ203" s="13">
        <f>BY203*VLOOKUP('Données projet'!$B$12,Paramètres!$A$1:$I$89,3,0)*VLOOKUP('Données projet'!$B$12,Paramètres!$A$1:$I$89,5,0)</f>
        <v>-1.9065282685915009E-13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475.54809021014017</v>
      </c>
      <c r="CE203" s="59">
        <f t="shared" si="207"/>
        <v>593.51433014569966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0.25329677812155577</v>
      </c>
      <c r="CL203" s="21">
        <f>EXP(-LN(2)/25)*CL202+(1-EXP(-LN(2)/25))/(LN(2)/25)*Calculateur!CG203*Calculateur!CI203*VLOOKUP('Données projet'!$B$12,Paramètres!$A$1:$I$89,3,0)*0.475*44/12</f>
        <v>0.38241086823706194</v>
      </c>
      <c r="CM203" s="21">
        <f>EXP(-LN(2)/2)*CM202+(1-EXP(-LN(2)/2))/(LN(2)/2)*CG203*CJ203*VLOOKUP('Données projet'!$B$12,Paramètres!$A$1:$I$89,3,0)*0.475*44/12</f>
        <v>3.7269547298748013E-25</v>
      </c>
      <c r="CN203" s="22">
        <f t="shared" si="172"/>
        <v>0.63570764635861776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-1.1368683772161603E-13</v>
      </c>
      <c r="CU203" s="17">
        <f>CT203*VLOOKUP('Données projet'!$B$13,Paramètres!$A$1:$I$89,3,0)*VLOOKUP('Données projet'!$B$13,Paramètres!$A$1:$I$89,5,0)</f>
        <v>-5.3205440053716299E-14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226.0452828290525</v>
      </c>
      <c r="CZ203" s="59">
        <f t="shared" si="208"/>
        <v>179.89696397462069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0.31315315494070478</v>
      </c>
      <c r="DG203" s="21">
        <f>EXP(-LN(2)/25)*DG202+(1-EXP(-LN(2)/25))/(LN(2)/25)*Calculateur!DB203*Calculateur!DD203*VLOOKUP('Données projet'!$B$13,Paramètres!$A$1:$I$89,3,0)*0.475*44/12</f>
        <v>0.10007424366372587</v>
      </c>
      <c r="DH203" s="21">
        <f>EXP(-LN(2)/2)*DH202+(1-EXP(-LN(2)/2))/(LN(2)/2)*DB203*DE203*VLOOKUP('Données projet'!$B$13,Paramètres!$A$1:$I$89,3,0)*0.475*44/12</f>
        <v>2.854581848723029E-25</v>
      </c>
      <c r="DI203" s="22">
        <f t="shared" si="175"/>
        <v>0.41322739860443064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1.1368683772161603E-13</v>
      </c>
      <c r="DP203" s="17">
        <f>DO203*VLOOKUP('Données projet'!$B$14,Paramètres!$A$1:$I$89,3,0)*VLOOKUP('Données projet'!$B$14,Paramètres!$A$1:$I$89,5,0)</f>
        <v>6.7984728957526396E-14</v>
      </c>
      <c r="DQ203" s="13">
        <f t="shared" si="176"/>
        <v>1.0682447123141398E-12</v>
      </c>
      <c r="DR203" s="20">
        <f t="shared" si="177"/>
        <v>1.978932943548152E-12</v>
      </c>
      <c r="DS203" s="59">
        <f t="shared" si="197"/>
        <v>293.3333333333353</v>
      </c>
      <c r="DT203" s="59">
        <f ca="1">AVERAGE(OFFSET($DS$3,0,0,'Données projet'!$E$14+1,1))-AVERAGE(OFFSET($H$3,0,0,'Données projet'!$E$14+1,1))</f>
        <v>252.81045065813976</v>
      </c>
      <c r="DU203" s="59">
        <f t="shared" si="209"/>
        <v>254.36590349790589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0.62292996523963717</v>
      </c>
      <c r="EB203" s="21">
        <f>EXP(-LN(2)/25)*EB202+(1-EXP(-LN(2)/25))/(LN(2)/25)*Calculateur!DW203*Calculateur!DY203*VLOOKUP('Données projet'!$B$14,Paramètres!$A$1:$I$89,3,0)*0.475*44/12</f>
        <v>0.14471819813302428</v>
      </c>
      <c r="EC203" s="21">
        <f>EXP(-LN(2)/2)*EC202+(1-EXP(-LN(2)/2))/(LN(2)/2)*DW203*DZ203*VLOOKUP('Données projet'!$B$14,Paramètres!$A$1:$I$89,3,0)*0.475*44/12</f>
        <v>1.4841128977335126E-25</v>
      </c>
      <c r="ED203" s="22">
        <f t="shared" si="178"/>
        <v>0.76764816337266151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-2.8421709430404007E-13</v>
      </c>
      <c r="EK203" s="17">
        <f>EJ203*VLOOKUP('Données projet'!$B$15,Paramètres!$A$1:$I$89,3,0)*VLOOKUP('Données projet'!$B$15,Paramètres!$A$1:$I$89,5,0)</f>
        <v>-2.0838797354372215E-13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296.91321813251051</v>
      </c>
      <c r="EP203" s="59">
        <f t="shared" si="210"/>
        <v>291.0718079639509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0.44666538714665238</v>
      </c>
      <c r="EW203" s="21">
        <f>EXP(-LN(2)/25)*EW202+(1-EXP(-LN(2)/25))/(LN(2)/25)*Calculateur!ER203*Calculateur!ET203*VLOOKUP('Données projet'!$B$15,Paramètres!$A$1:$I$89,3,0)*0.475*44/12</f>
        <v>0.13876001235037042</v>
      </c>
      <c r="EX203" s="21">
        <f>EXP(-LN(2)/2)*EX202+(1-EXP(-LN(2)/2))/(LN(2)/2)*ER203*EU203*VLOOKUP('Données projet'!$B$15,Paramètres!$A$1:$I$89,3,0)*0.475*44/12</f>
        <v>2.8180750422263512E-25</v>
      </c>
      <c r="EY203" s="22">
        <f t="shared" si="181"/>
        <v>0.58542539949702277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>
        <f>FE203*VLOOKUP('Données projet'!$B$16,Paramètres!$A$1:$I$89,3,0)*VLOOKUP('Données projet'!$B$16,Paramètres!$A$1:$I$89,5,0)</f>
        <v>0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356.65981389369125</v>
      </c>
      <c r="FK203" s="59">
        <f t="shared" si="211"/>
        <v>231.92898690465887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0.28259509922424236</v>
      </c>
      <c r="FR203" s="21">
        <f>EXP(-LN(2)/25)*FR202+(1-EXP(-LN(2)/25))/(LN(2)/25)*Calculateur!FM203*Calculateur!FO203*VLOOKUP('Données projet'!$B$16,Paramètres!$A$1:$I$89,3,0)*0.475*44/12</f>
        <v>9.4184259693434608E-2</v>
      </c>
      <c r="FS203" s="21">
        <f>EXP(-LN(2)/2)*FS202+(1-EXP(-LN(2)/2))/(LN(2)/2)*FM203*FP203*VLOOKUP('Données projet'!$B$16,Paramètres!$A$1:$I$89,3,0)*0.475*44/12</f>
        <v>2.4724683362262066E-25</v>
      </c>
      <c r="FT203" s="22">
        <f t="shared" si="184"/>
        <v>0.376779358917677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>
        <f>FZ203*VLOOKUP('Données projet'!$B$17,Paramètres!$A$1:$I$89,3,0)*VLOOKUP('Données projet'!$B$17,Paramètres!$A$1:$I$89,5,0)</f>
        <v>0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337.76140497227715</v>
      </c>
      <c r="GF203" s="59">
        <f t="shared" si="212"/>
        <v>219.76562717496353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0.26955224849081577</v>
      </c>
      <c r="GM203" s="21">
        <f>EXP(-LN(2)/25)*GM202+(1-EXP(-LN(2)/25))/(LN(2)/25)*Calculateur!GH203*Calculateur!GJ203*VLOOKUP('Données projet'!$B$17,Paramètres!$A$1:$I$89,3,0)*0.475*44/12</f>
        <v>8.9837293861429954E-2</v>
      </c>
      <c r="GN203" s="21">
        <f>EXP(-LN(2)/2)*GN202+(1-EXP(-LN(2)/2))/(LN(2)/2)*GH203*GK203*VLOOKUP('Données projet'!$B$17,Paramètres!$A$1:$I$89,3,0)*0.475*44/12</f>
        <v>2.3583544130157668E-25</v>
      </c>
      <c r="GO203" s="21">
        <f t="shared" si="187"/>
        <v>0.35938954235224574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1.3655017210306359</v>
      </c>
      <c r="BA205" s="82">
        <f>EXP(LN('Données projet'!B88)/'Données projet'!A88)</f>
        <v>1.3423796509621049</v>
      </c>
      <c r="BV205" s="82">
        <f>EXP(LN('Données projet'!B114)/'Données projet'!A114)</f>
        <v>1.3306754098332192</v>
      </c>
      <c r="CQ205" s="82">
        <f>EXP(LN('Données projet'!B140)/'Données projet'!A140)</f>
        <v>1.2880503926580862</v>
      </c>
      <c r="DL205" s="82">
        <f>EXP(LN('Données projet'!B166)/'Données projet'!A166)</f>
        <v>1.3758248603770518</v>
      </c>
      <c r="EG205" s="82">
        <f>EXP(LN('Données projet'!B192)/'Données projet'!A192)</f>
        <v>1.3423796509621049</v>
      </c>
      <c r="FB205" s="82">
        <f>EXP(LN('Données projet'!B218)/'Données projet'!A218)</f>
        <v>1.2392705892426346</v>
      </c>
      <c r="FW205" s="82">
        <f>EXP(LN('Données projet'!B244)/'Données projet'!A244)</f>
        <v>1.2392705892426346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Q11" sqref="Q11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1.7243999999999999</v>
      </c>
      <c r="C6" s="147">
        <f ca="1">IF(OR('Données projet'!B9="",'Données projet'!C9="",'Données projet'!C9=0%),0,Calculateur!S3)</f>
        <v>312.53389584272878</v>
      </c>
      <c r="D6" s="147">
        <f>IF(OR('Données projet'!B9="",'Données projet'!C9="",'Données projet'!C9=0%),0,Calculateur!T3)</f>
        <v>203.5274665601915</v>
      </c>
      <c r="E6" s="147">
        <f ca="1">MIN(C6,D6)</f>
        <v>203.5274665601915</v>
      </c>
      <c r="F6" s="147">
        <f ca="1">E6*B6</f>
        <v>350.96276333639423</v>
      </c>
      <c r="G6" s="147">
        <f ca="1">F6*(100%-'Données projet'!$C$24)*(100%-'Données projet'!$C$25)*(100%-'Données projet'!$C$26)*(100%-'Données projet'!$C$27)</f>
        <v>315.86648700275481</v>
      </c>
      <c r="H6" s="148">
        <f>IF(OR('Données projet'!B9="",'Données projet'!C9="",'Données projet'!C9=0%),0,AVERAGE(Calculateur!$AC$3:$AC$33)*B6)</f>
        <v>5.8347686321245904</v>
      </c>
      <c r="I6" s="149">
        <f>H6*(100%-'Données projet'!$C$24)*(100%-'Données projet'!$C$25)*(100%-'Données projet'!$C$26)*(100%-'Données projet'!$C$27)</f>
        <v>5.2512917689121315</v>
      </c>
      <c r="J6" s="150">
        <f>IF(OR('Données projet'!B9="",'Données projet'!C9="",'Données projet'!C9=0%),0,SUM(Calculateur!$V$3:$V$33)*VLOOKUP('Données projet'!$B$9,Paramètres!$A$1:$I$89,9,0)*B6)</f>
        <v>26.728199999999998</v>
      </c>
      <c r="K6" s="151">
        <f>J6*(100%-'Données projet'!$C$24)*(100%-'Données projet'!$C$25)*(100%-'Données projet'!$C$26)*(100%-'Données projet'!$C$27)</f>
        <v>24.05538</v>
      </c>
      <c r="L6" s="152">
        <f ca="1">G6+I6+K6</f>
        <v>345.17315877166698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rouge d'Amérique</v>
      </c>
      <c r="B7" s="154">
        <f>'Données projet'!D10</f>
        <v>0.86219999999999997</v>
      </c>
      <c r="C7" s="147">
        <f ca="1">IF(OR('Données projet'!B10="",'Données projet'!C10="",'Données projet'!C10=0%),0,Calculateur!AN3)</f>
        <v>243.05628303465238</v>
      </c>
      <c r="D7" s="147">
        <f>IF(OR('Données projet'!B10="",'Données projet'!C10="",'Données projet'!C10=0%),0,Calculateur!AO3)</f>
        <v>352.47096767658394</v>
      </c>
      <c r="E7" s="147">
        <f t="shared" ref="E7:E15" ca="1" si="0">MIN(C7,D7)</f>
        <v>243.05628303465238</v>
      </c>
      <c r="F7" s="147">
        <f t="shared" ref="F7:F15" ca="1" si="1">E7*B7</f>
        <v>209.56312723247729</v>
      </c>
      <c r="G7" s="147">
        <f ca="1">F7*(100%-'Données projet'!$C$24)*(100%-'Données projet'!$C$25)*(100%-'Données projet'!$C$26)*(100%-'Données projet'!$C$27)</f>
        <v>188.60681450922957</v>
      </c>
      <c r="H7" s="155">
        <f>IF(OR('Données projet'!B10="",'Données projet'!C10="",'Données projet'!C10=0%),0,AVERAGE(Calculateur!$AX$3:$AX$33)*B7)</f>
        <v>8.0548405266801826</v>
      </c>
      <c r="I7" s="149">
        <f>H7*(100%-'Données projet'!$C$24)*(100%-'Données projet'!$C$25)*(100%-'Données projet'!$C$26)*(100%-'Données projet'!$C$27)</f>
        <v>7.2493564740121643</v>
      </c>
      <c r="J7" s="150">
        <f>IF(OR('Données projet'!B10="",'Données projet'!C10="",'Données projet'!C10=0%),0,SUM(Calculateur!$AQ$3:$AQ$33)*VLOOKUP('Données projet'!$B$10,Paramètres!$A$1:$I$89,9,0)*B7)</f>
        <v>40.307850000000002</v>
      </c>
      <c r="K7" s="151">
        <f>J7*(100%-'Données projet'!$C$24)*(100%-'Données projet'!$C$25)*(100%-'Données projet'!$C$26)*(100%-'Données projet'!$C$27)</f>
        <v>36.277065</v>
      </c>
      <c r="L7" s="152">
        <f t="shared" ref="L7:L15" ca="1" si="2">G7+I7+K7</f>
        <v>232.13323598324172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Erable plane</v>
      </c>
      <c r="B8" s="154">
        <f>'Données projet'!D11</f>
        <v>0.67060000000000008</v>
      </c>
      <c r="C8" s="147">
        <f ca="1">IF(OR('Données projet'!B11="",'Données projet'!C11="",'Données projet'!C11=0%),0,Calculateur!BI3)</f>
        <v>325.72928944930294</v>
      </c>
      <c r="D8" s="147">
        <f>IF(OR('Données projet'!B11="",'Données projet'!C11="",'Données projet'!C11=0%),0,Calculateur!BJ3)</f>
        <v>318.38876834819752</v>
      </c>
      <c r="E8" s="147">
        <f t="shared" ca="1" si="0"/>
        <v>318.38876834819752</v>
      </c>
      <c r="F8" s="147">
        <f t="shared" ca="1" si="1"/>
        <v>213.51150805430129</v>
      </c>
      <c r="G8" s="147">
        <f ca="1">F8*(100%-'Données projet'!$C$24)*(100%-'Données projet'!$C$25)*(100%-'Données projet'!$C$26)*(100%-'Données projet'!$C$27)</f>
        <v>192.16035724887115</v>
      </c>
      <c r="H8" s="155">
        <f>IF(OR('Données projet'!B11="",'Données projet'!C11="",'Données projet'!C11=0%),0,AVERAGE(Calculateur!$BS$3:$BS$33)*B8)</f>
        <v>10.088238135091013</v>
      </c>
      <c r="I8" s="149">
        <f>H8*(100%-'Données projet'!$C$24)*(100%-'Données projet'!$C$25)*(100%-'Données projet'!$C$26)*(100%-'Données projet'!$C$27)</f>
        <v>9.0794143215819112</v>
      </c>
      <c r="J8" s="150">
        <f>IF(OR('Données projet'!B11="",'Données projet'!C11="",'Données projet'!C11=0%),0,SUM(Calculateur!$BL$3:$BL$33)*VLOOKUP('Données projet'!$B$11,Paramètres!$A$1:$I$89,9,0)*B8)</f>
        <v>29.338750000000005</v>
      </c>
      <c r="K8" s="151">
        <f>J8*(100%-'Données projet'!$C$24)*(100%-'Données projet'!$C$25)*(100%-'Données projet'!$C$26)*(100%-'Données projet'!$C$27)</f>
        <v>26.404875000000004</v>
      </c>
      <c r="L8" s="152">
        <f t="shared" ca="1" si="2"/>
        <v>227.64464657045306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Douglas</v>
      </c>
      <c r="B9" s="154">
        <f>'Données projet'!D12</f>
        <v>1.0538000000000001</v>
      </c>
      <c r="C9" s="147">
        <f ca="1">IF(OR('Données projet'!B12="",'Données projet'!C12="",'Données projet'!C12=0%),0,Calculateur!CD3)</f>
        <v>475.54809021014017</v>
      </c>
      <c r="D9" s="147">
        <f>IF(OR('Données projet'!B12="",'Données projet'!C12="",'Données projet'!C12=0%),0,Calculateur!CE3)</f>
        <v>593.51433014569966</v>
      </c>
      <c r="E9" s="147">
        <f t="shared" ca="1" si="0"/>
        <v>475.54809021014017</v>
      </c>
      <c r="F9" s="147">
        <f t="shared" ca="1" si="1"/>
        <v>501.13257746344573</v>
      </c>
      <c r="G9" s="147">
        <f ca="1">F9*(100%-'Données projet'!$C$24)*(100%-'Données projet'!$C$25)*(100%-'Données projet'!$C$26)*(100%-'Données projet'!$C$27)</f>
        <v>451.01931971710115</v>
      </c>
      <c r="H9" s="155">
        <f>IF(OR('Données projet'!B12="",'Données projet'!C12="",'Données projet'!C12=0%),0,AVERAGE(Calculateur!$CN$3:$CN$33)*B9)</f>
        <v>10.371974599716003</v>
      </c>
      <c r="I9" s="149">
        <f>H9*(100%-'Données projet'!$C$24)*(100%-'Données projet'!$C$25)*(100%-'Données projet'!$C$26)*(100%-'Données projet'!$C$27)</f>
        <v>9.3347771397444035</v>
      </c>
      <c r="J9" s="150">
        <f>IF(OR('Données projet'!B12="",'Données projet'!C12="",'Données projet'!C12=0%),0,SUM(Calculateur!$CG$3:$CG$33)*VLOOKUP('Données projet'!$B$12,Paramètres!$A$1:$I$89,9,0)*B9)</f>
        <v>87.454862000000006</v>
      </c>
      <c r="K9" s="151">
        <f>J9*(100%-'Données projet'!$C$24)*(100%-'Données projet'!$C$25)*(100%-'Données projet'!$C$26)*(100%-'Données projet'!$C$27)</f>
        <v>78.709375800000004</v>
      </c>
      <c r="L9" s="152">
        <f t="shared" ca="1" si="2"/>
        <v>539.06347265684553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Cèdre de l'Atlas</v>
      </c>
      <c r="B10" s="154">
        <f>'Données projet'!D13</f>
        <v>2.2034000000000002</v>
      </c>
      <c r="C10" s="147">
        <f ca="1">IF(OR('Données projet'!B13="",'Données projet'!C13="",'Données projet'!C13=0%),0,Calculateur!CY3)</f>
        <v>226.0452828290525</v>
      </c>
      <c r="D10" s="147">
        <f>IF(OR('Données projet'!B13="",'Données projet'!C13="",'Données projet'!C13=0%),0,Calculateur!CZ3)</f>
        <v>179.89696397462069</v>
      </c>
      <c r="E10" s="147">
        <f t="shared" ca="1" si="0"/>
        <v>179.89696397462069</v>
      </c>
      <c r="F10" s="147">
        <f t="shared" ca="1" si="1"/>
        <v>396.38497042167927</v>
      </c>
      <c r="G10" s="147">
        <f ca="1">F10*(100%-'Données projet'!$C$24)*(100%-'Données projet'!$C$25)*(100%-'Données projet'!$C$26)*(100%-'Données projet'!$C$27)</f>
        <v>356.74647337951137</v>
      </c>
      <c r="H10" s="155">
        <f>IF(OR('Données projet'!B13="",'Données projet'!C13="",'Données projet'!C13=0%),0,AVERAGE(Calculateur!$DI$3:$DI$33)*B10)</f>
        <v>8.6227582661472155</v>
      </c>
      <c r="I10" s="149">
        <f>H10*(100%-'Données projet'!$C$24)*(100%-'Données projet'!$C$25)*(100%-'Données projet'!$C$26)*(100%-'Données projet'!$C$27)</f>
        <v>7.7604824395324945</v>
      </c>
      <c r="J10" s="150">
        <f>IF(OR('Données projet'!B13="",'Données projet'!C13="",'Données projet'!C13=0%),0,SUM(Calculateur!$DB$3:$DB$33)*VLOOKUP('Données projet'!$B$13,Paramètres!$A$1:$I$89,9,0)*B10)</f>
        <v>100.90470300000001</v>
      </c>
      <c r="K10" s="151">
        <f>J10*(100%-'Données projet'!$C$24)*(100%-'Données projet'!$C$25)*(100%-'Données projet'!$C$26)*(100%-'Données projet'!$C$27)</f>
        <v>90.814232700000019</v>
      </c>
      <c r="L10" s="152">
        <f t="shared" ca="1" si="2"/>
        <v>455.32118851904386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Pin maritime</v>
      </c>
      <c r="B11" s="154">
        <f>'Données projet'!D14</f>
        <v>1.4370000000000001</v>
      </c>
      <c r="C11" s="147">
        <f ca="1">IF(OR('Données projet'!B14="",'Données projet'!C14="",'Données projet'!C14=0%),0,Calculateur!DT3)</f>
        <v>252.81045065813976</v>
      </c>
      <c r="D11" s="147">
        <f>IF(OR('Données projet'!B14="",'Données projet'!C14="",'Données projet'!C14=0%),0,Calculateur!DU3)</f>
        <v>254.36590349790589</v>
      </c>
      <c r="E11" s="147">
        <f t="shared" ca="1" si="0"/>
        <v>252.81045065813976</v>
      </c>
      <c r="F11" s="147">
        <f t="shared" ca="1" si="1"/>
        <v>363.28861759574687</v>
      </c>
      <c r="G11" s="147">
        <f ca="1">F11*(100%-'Données projet'!$C$24)*(100%-'Données projet'!$C$25)*(100%-'Données projet'!$C$26)*(100%-'Données projet'!$C$27)</f>
        <v>326.95975583617218</v>
      </c>
      <c r="H11" s="155">
        <f>IF(OR('Données projet'!B14="",'Données projet'!C14="",'Données projet'!C14=0%),0,AVERAGE(Calculateur!$ED$3:$ED$33)*B11)</f>
        <v>19.700825558821901</v>
      </c>
      <c r="I11" s="149">
        <f>H11*(100%-'Données projet'!$C$24)*(100%-'Données projet'!$C$25)*(100%-'Données projet'!$C$26)*(100%-'Données projet'!$C$27)</f>
        <v>17.730743002939711</v>
      </c>
      <c r="J11" s="150">
        <f>IF(OR('Données projet'!B14="",'Données projet'!C14="",'Données projet'!C14=0%),0,SUM(Calculateur!$DW$3:$DW$33)*VLOOKUP('Données projet'!$B$14,Paramètres!$A$1:$I$89,9,0)*B11)</f>
        <v>146.67458999999999</v>
      </c>
      <c r="K11" s="151">
        <f>J11*(100%-'Données projet'!$C$24)*(100%-'Données projet'!$C$25)*(100%-'Données projet'!$C$26)*(100%-'Données projet'!$C$27)</f>
        <v>132.00713099999999</v>
      </c>
      <c r="L11" s="152">
        <f t="shared" ca="1" si="2"/>
        <v>476.69762983911187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Châtaignier</v>
      </c>
      <c r="B12" s="154">
        <f>'Données projet'!D15</f>
        <v>0.38319999999999999</v>
      </c>
      <c r="C12" s="147">
        <f ca="1">IF(OR('Données projet'!B15="",'Données projet'!C15="",'Données projet'!C15=0%),0,Calculateur!EO3)</f>
        <v>296.91321813251051</v>
      </c>
      <c r="D12" s="147">
        <f>IF(OR('Données projet'!B15="",'Données projet'!C15="",'Données projet'!C15=0%),0,Calculateur!EP3)</f>
        <v>291.0718079639509</v>
      </c>
      <c r="E12" s="147">
        <f t="shared" ca="1" si="0"/>
        <v>291.0718079639509</v>
      </c>
      <c r="F12" s="147">
        <f t="shared" ca="1" si="1"/>
        <v>111.53871681178599</v>
      </c>
      <c r="G12" s="147">
        <f ca="1">F12*(100%-'Données projet'!$C$24)*(100%-'Données projet'!$C$25)*(100%-'Données projet'!$C$26)*(100%-'Données projet'!$C$27)</f>
        <v>100.38484513060739</v>
      </c>
      <c r="H12" s="155">
        <f>IF(OR('Données projet'!B15="",'Données projet'!C15="",'Données projet'!C15=0%),0,AVERAGE(Calculateur!$EY$3:$EY$33)*B12)</f>
        <v>4.6922724377806073</v>
      </c>
      <c r="I12" s="149">
        <f>H12*(100%-'Données projet'!$C$24)*(100%-'Données projet'!$C$25)*(100%-'Données projet'!$C$26)*(100%-'Données projet'!$C$27)</f>
        <v>4.2230451940025464</v>
      </c>
      <c r="J12" s="150">
        <f>IF(OR('Données projet'!B15="",'Données projet'!C15="",'Données projet'!C15=0%),0,SUM(Calculateur!$ER$3:$ER$33)*VLOOKUP('Données projet'!$B$15,Paramètres!$A$1:$I$89,9,0)*B12)</f>
        <v>16.765000000000001</v>
      </c>
      <c r="K12" s="151">
        <f>J12*(100%-'Données projet'!$C$24)*(100%-'Données projet'!$C$25)*(100%-'Données projet'!$C$26)*(100%-'Données projet'!$C$27)</f>
        <v>15.088500000000002</v>
      </c>
      <c r="L12" s="152">
        <f t="shared" ca="1" si="2"/>
        <v>119.69639032460994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>Chêne pubescent</v>
      </c>
      <c r="B13" s="154">
        <f>'Données projet'!D16</f>
        <v>1.0538000000000001</v>
      </c>
      <c r="C13" s="147">
        <f ca="1">IF(OR('Données projet'!B16="",'Données projet'!C16="",'Données projet'!C16=0%),0,Calculateur!FJ3)</f>
        <v>356.65981389369125</v>
      </c>
      <c r="D13" s="147">
        <f>IF(OR('Données projet'!B16="",'Données projet'!C16="",'Données projet'!C16=0%),0,Calculateur!FK3)</f>
        <v>231.92898690465887</v>
      </c>
      <c r="E13" s="147">
        <f t="shared" ca="1" si="0"/>
        <v>231.92898690465887</v>
      </c>
      <c r="F13" s="147">
        <f t="shared" ca="1" si="1"/>
        <v>244.40676640012953</v>
      </c>
      <c r="G13" s="147">
        <f ca="1">F13*(100%-'Données projet'!$C$24)*(100%-'Données projet'!$C$25)*(100%-'Données projet'!$C$26)*(100%-'Données projet'!$C$27)</f>
        <v>219.96608976011657</v>
      </c>
      <c r="H13" s="155">
        <f>IF(OR('Données projet'!B16="",'Données projet'!C16="",'Données projet'!C16=0%),0,AVERAGE(Calculateur!$FT$3:$FT$33)*B13)</f>
        <v>3.9960340727673218</v>
      </c>
      <c r="I13" s="149">
        <f>H13*(100%-'Données projet'!$C$24)*(100%-'Données projet'!$C$25)*(100%-'Données projet'!$C$26)*(100%-'Données projet'!$C$27)</f>
        <v>3.5964306654905895</v>
      </c>
      <c r="J13" s="150">
        <f>IF(OR('Données projet'!C16="",'Données projet'!C16=0%),0,SUM(Calculateur!$FM$3:$FM$33)*VLOOKUP('Données projet'!$B$16,Paramètres!$A$1:$I$89,9,0)*B13)</f>
        <v>16.3339</v>
      </c>
      <c r="K13" s="151">
        <f>J13*(100%-'Données projet'!$C$24)*(100%-'Données projet'!$C$25)*(100%-'Données projet'!$C$26)*(100%-'Données projet'!$C$27)</f>
        <v>14.70051</v>
      </c>
      <c r="L13" s="152">
        <f t="shared" ca="1" si="2"/>
        <v>238.26303042560718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>Alisier torminal</v>
      </c>
      <c r="B14" s="154">
        <f>'Données projet'!D17</f>
        <v>0.19159999999999999</v>
      </c>
      <c r="C14" s="147">
        <f ca="1">IF(OR('Données projet'!B17="",'Données projet'!C17="",'Données projet'!C17=0%),0,Calculateur!GE3)</f>
        <v>337.76140497227715</v>
      </c>
      <c r="D14" s="147">
        <f>IF(OR('Données projet'!B17="",'Données projet'!C17="",'Données projet'!C17=0%),0,Calculateur!GF3)</f>
        <v>219.76562717496353</v>
      </c>
      <c r="E14" s="147">
        <f t="shared" ca="1" si="0"/>
        <v>219.76562717496353</v>
      </c>
      <c r="F14" s="147">
        <f t="shared" ca="1" si="1"/>
        <v>42.107094166723009</v>
      </c>
      <c r="G14" s="147">
        <f ca="1">F14*(100%-'Données projet'!$C$24)*(100%-'Données projet'!$C$25)*(100%-'Données projet'!$C$26)*(100%-'Données projet'!$C$27)</f>
        <v>37.896384750050707</v>
      </c>
      <c r="H14" s="155">
        <f>IF(OR('Données projet'!B17="",'Données projet'!C17="",'Données projet'!C17=0%),0,AVERAGE(Calculateur!$GO$3:$GO$33)*B14)</f>
        <v>0.69301849653587111</v>
      </c>
      <c r="I14" s="149">
        <f>H14*(100%-'Données projet'!$C$24)*(100%-'Données projet'!$C$25)*(100%-'Données projet'!$C$26)*(100%-'Données projet'!$C$27)</f>
        <v>0.62371664688228401</v>
      </c>
      <c r="J14" s="150">
        <f>IF(OR('Données projet'!B17="",'Données projet'!C17="",'Données projet'!C17=0%),0,SUM(Calculateur!$GH$3:$GH$33)*VLOOKUP('Données projet'!$B$17,Paramètres!$A$1:$I$89,9,0)*B14)</f>
        <v>2.9697999999999998</v>
      </c>
      <c r="K14" s="151">
        <f>J14*(100%-'Données projet'!$C$24)*(100%-'Données projet'!$C$25)*(100%-'Données projet'!$C$26)*(100%-'Données projet'!$C$27)</f>
        <v>2.6728199999999998</v>
      </c>
      <c r="L14" s="152">
        <f t="shared" ca="1" si="2"/>
        <v>41.192921396932995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2432.8961414826836</v>
      </c>
      <c r="G16" s="166">
        <f t="shared" ca="1" si="3"/>
        <v>2189.6065273344147</v>
      </c>
      <c r="H16" s="167">
        <f t="shared" si="3"/>
        <v>72.054730725664697</v>
      </c>
      <c r="I16" s="167">
        <f t="shared" si="3"/>
        <v>64.849257653098235</v>
      </c>
      <c r="J16" s="168">
        <f t="shared" si="3"/>
        <v>467.47765499999997</v>
      </c>
      <c r="K16" s="168">
        <f t="shared" si="3"/>
        <v>420.72988950000007</v>
      </c>
      <c r="L16" s="169">
        <f t="shared" ca="1" si="3"/>
        <v>2675.1856744875131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Erable plane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Douglas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Cèdre de l'Atlas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Pin maritime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Châtaignier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>Chêne pubescent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>Alisier torminal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1" zoomScale="80" zoomScaleNormal="80" workbookViewId="0">
      <selection activeCell="Q15" sqref="Q1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-2167.5266442753491</v>
      </c>
      <c r="U10" s="178">
        <f>'Données projet'!D9</f>
        <v>1.7243999999999999</v>
      </c>
      <c r="V10" s="177">
        <f>U10*T10</f>
        <v>-3737.682945388412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rouge d'Amérique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699.22043225901689</v>
      </c>
      <c r="U11" s="178">
        <f>'Données projet'!D10</f>
        <v>0.86219999999999997</v>
      </c>
      <c r="V11" s="177">
        <f t="shared" ref="V11" si="0">U11*T11</f>
        <v>602.86785669372432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Erable plane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-896.99613237507197</v>
      </c>
      <c r="U12" s="178">
        <f>'Données projet'!D11</f>
        <v>0.67060000000000008</v>
      </c>
      <c r="V12" s="177">
        <f t="shared" ref="V12:V19" si="1">U12*T12</f>
        <v>-601.52560637072338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Douglas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3146.432682351719</v>
      </c>
      <c r="U13" s="178">
        <f>'Données projet'!D12</f>
        <v>1.0538000000000001</v>
      </c>
      <c r="V13" s="177">
        <f t="shared" si="1"/>
        <v>3315.7107606622417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Cèdre de l'Atlas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-608.35711401235085</v>
      </c>
      <c r="U14" s="178">
        <f>'Données projet'!D13</f>
        <v>2.2034000000000002</v>
      </c>
      <c r="V14" s="177">
        <f t="shared" si="1"/>
        <v>-1340.454065014814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Pin maritime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709.57354285325118</v>
      </c>
      <c r="U15" s="178">
        <f>'Données projet'!D14</f>
        <v>1.4370000000000001</v>
      </c>
      <c r="V15" s="177">
        <f t="shared" si="1"/>
        <v>1019.657181080122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50</v>
      </c>
      <c r="O16" s="23"/>
      <c r="P16" s="23"/>
      <c r="Q16" s="234"/>
      <c r="R16" s="23"/>
      <c r="S16" s="36" t="str">
        <f>B200</f>
        <v>Châtaignier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-922.99613237507197</v>
      </c>
      <c r="U16" s="178">
        <f>'Données projet'!D15</f>
        <v>0.38319999999999999</v>
      </c>
      <c r="V16" s="177">
        <f t="shared" si="1"/>
        <v>-353.69211792612754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1300*(1.57+0.9)</f>
        <v>3211.0000000000005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49.999999999999964</v>
      </c>
      <c r="O17" s="23"/>
      <c r="P17" s="23"/>
      <c r="Q17" s="234"/>
      <c r="R17" s="23"/>
      <c r="S17" s="36" t="str">
        <f>B231</f>
        <v>Chêne pubescent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-1530.5266442753489</v>
      </c>
      <c r="U17" s="178">
        <f>'Données projet'!D16</f>
        <v>1.0538000000000001</v>
      </c>
      <c r="V17" s="177">
        <f t="shared" si="1"/>
        <v>-1612.8689777373627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5</v>
      </c>
      <c r="O18" s="23"/>
      <c r="P18" s="23"/>
      <c r="Q18" s="234"/>
      <c r="R18" s="23"/>
      <c r="S18" s="36" t="str">
        <f>B262</f>
        <v>Alisier torminal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-4598.52664427535</v>
      </c>
      <c r="U18" s="178">
        <f>'Données projet'!D17</f>
        <v>0.19159999999999999</v>
      </c>
      <c r="V18" s="177">
        <f t="shared" si="1"/>
        <v>-881.07770504315704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249.99999999999983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1550+(3182.5+2445.5+5695+2000)/2.8+(1265+1485+900)/4.88+(1752+2280+4080+950)/1.9</f>
        <v>11825.638789596944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650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700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6</v>
      </c>
      <c r="C23" s="193">
        <v>1.3</v>
      </c>
      <c r="D23" s="182">
        <f>B23*C23</f>
        <v>7.8000000000000007</v>
      </c>
      <c r="E23" s="193"/>
      <c r="F23" s="230"/>
      <c r="H23" s="190">
        <v>3</v>
      </c>
      <c r="I23" s="191">
        <v>1500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-141570.80415129129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25</v>
      </c>
      <c r="B24" s="181">
        <f>'Données projet'!D37</f>
        <v>28</v>
      </c>
      <c r="C24" s="193">
        <v>1.3</v>
      </c>
      <c r="D24" s="182">
        <f t="shared" ref="D24:D42" si="2">B24*C24</f>
        <v>36.4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265.14961166773674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28</v>
      </c>
      <c r="C25" s="193">
        <v>2.2799999999999998</v>
      </c>
      <c r="D25" s="182">
        <f t="shared" si="2"/>
        <v>63.839999999999996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-141835.95376295902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35</v>
      </c>
      <c r="B26" s="181">
        <f>'Données projet'!D39</f>
        <v>28</v>
      </c>
      <c r="C26" s="193">
        <v>2.2799999999999998</v>
      </c>
      <c r="D26" s="182">
        <f t="shared" si="2"/>
        <v>63.839999999999996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40</v>
      </c>
      <c r="B27" s="181">
        <f>'Données projet'!D40</f>
        <v>28</v>
      </c>
      <c r="C27" s="193">
        <v>2.2799999999999998</v>
      </c>
      <c r="D27" s="182">
        <f t="shared" si="2"/>
        <v>63.839999999999996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45</v>
      </c>
      <c r="B28" s="181">
        <f>'Données projet'!D41</f>
        <v>28</v>
      </c>
      <c r="C28" s="193">
        <v>2.2799999999999998</v>
      </c>
      <c r="D28" s="182">
        <f t="shared" si="2"/>
        <v>63.839999999999996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50</v>
      </c>
      <c r="B29" s="181">
        <f>'Données projet'!D42</f>
        <v>28</v>
      </c>
      <c r="C29" s="193">
        <v>2.83</v>
      </c>
      <c r="D29" s="182">
        <f t="shared" si="2"/>
        <v>79.240000000000009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55</v>
      </c>
      <c r="B30" s="181">
        <f>'Données projet'!D43</f>
        <v>28</v>
      </c>
      <c r="C30" s="193">
        <v>2.83</v>
      </c>
      <c r="D30" s="182">
        <f t="shared" si="2"/>
        <v>79.240000000000009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60</v>
      </c>
      <c r="B31" s="181">
        <f>'Données projet'!D44</f>
        <v>28</v>
      </c>
      <c r="C31" s="193">
        <v>2.83</v>
      </c>
      <c r="D31" s="182">
        <f t="shared" si="2"/>
        <v>79.240000000000009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65</v>
      </c>
      <c r="B32" s="181">
        <f>'Données projet'!D45</f>
        <v>28</v>
      </c>
      <c r="C32" s="193">
        <v>40.5</v>
      </c>
      <c r="D32" s="182">
        <f t="shared" si="2"/>
        <v>1134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70</v>
      </c>
      <c r="B33" s="181">
        <f>'Données projet'!D46</f>
        <v>28</v>
      </c>
      <c r="C33" s="193">
        <v>40.5</v>
      </c>
      <c r="D33" s="182">
        <f t="shared" si="2"/>
        <v>1134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75</v>
      </c>
      <c r="B34" s="181">
        <f>'Données projet'!D47</f>
        <v>28</v>
      </c>
      <c r="C34" s="193">
        <v>40.5</v>
      </c>
      <c r="D34" s="182">
        <f t="shared" si="2"/>
        <v>1134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80</v>
      </c>
      <c r="B35" s="181">
        <f>'Données projet'!D48</f>
        <v>28</v>
      </c>
      <c r="C35" s="193">
        <v>41</v>
      </c>
      <c r="D35" s="182">
        <f t="shared" si="2"/>
        <v>1148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85</v>
      </c>
      <c r="B36" s="181">
        <f>'Données projet'!D49</f>
        <v>28</v>
      </c>
      <c r="C36" s="193">
        <v>41</v>
      </c>
      <c r="D36" s="182">
        <f t="shared" si="2"/>
        <v>1148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90</v>
      </c>
      <c r="B37" s="181">
        <f>'Données projet'!D50</f>
        <v>28</v>
      </c>
      <c r="C37" s="193">
        <v>41</v>
      </c>
      <c r="D37" s="182">
        <f t="shared" si="2"/>
        <v>1148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95</v>
      </c>
      <c r="B38" s="181">
        <f>'Données projet'!D51</f>
        <v>28</v>
      </c>
      <c r="C38" s="193">
        <v>41</v>
      </c>
      <c r="D38" s="182">
        <f t="shared" si="2"/>
        <v>1148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100</v>
      </c>
      <c r="B39" s="181">
        <f>'Données projet'!D52</f>
        <v>333</v>
      </c>
      <c r="C39" s="193">
        <v>170.75</v>
      </c>
      <c r="D39" s="182">
        <f t="shared" si="2"/>
        <v>56859.75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rouge d'Amérique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1300*(1.05+0.9)</f>
        <v>2535.0000000000005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15</v>
      </c>
      <c r="B54" s="181">
        <f>'Données projet'!D62</f>
        <v>34</v>
      </c>
      <c r="C54" s="191">
        <v>2</v>
      </c>
      <c r="D54" s="179">
        <f>B54*C54</f>
        <v>68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20</v>
      </c>
      <c r="B55" s="181">
        <f>'Données projet'!D63</f>
        <v>50</v>
      </c>
      <c r="C55" s="191">
        <v>10</v>
      </c>
      <c r="D55" s="179">
        <f t="shared" ref="D55:D73" si="4">B55*C55</f>
        <v>500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25</v>
      </c>
      <c r="B56" s="181">
        <f>'Données projet'!D64</f>
        <v>52</v>
      </c>
      <c r="C56" s="191">
        <v>10</v>
      </c>
      <c r="D56" s="179">
        <f t="shared" si="4"/>
        <v>520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30</v>
      </c>
      <c r="B57" s="181">
        <f>'Données projet'!D65</f>
        <v>51</v>
      </c>
      <c r="C57" s="191">
        <v>25</v>
      </c>
      <c r="D57" s="179">
        <f t="shared" si="4"/>
        <v>1275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35</v>
      </c>
      <c r="B58" s="181">
        <f>'Données projet'!D66</f>
        <v>49</v>
      </c>
      <c r="C58" s="191">
        <v>25</v>
      </c>
      <c r="D58" s="179">
        <f t="shared" si="4"/>
        <v>1225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40</v>
      </c>
      <c r="B59" s="181">
        <f>'Données projet'!D67</f>
        <v>45</v>
      </c>
      <c r="C59" s="191">
        <v>30</v>
      </c>
      <c r="D59" s="179">
        <f t="shared" si="4"/>
        <v>1350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45</v>
      </c>
      <c r="B60" s="181">
        <f>'Données projet'!D68</f>
        <v>41</v>
      </c>
      <c r="C60" s="191">
        <v>40</v>
      </c>
      <c r="D60" s="179">
        <f t="shared" si="4"/>
        <v>1640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50</v>
      </c>
      <c r="B61" s="181">
        <f>'Données projet'!D69</f>
        <v>37</v>
      </c>
      <c r="C61" s="191">
        <v>60</v>
      </c>
      <c r="D61" s="179">
        <f t="shared" si="4"/>
        <v>2220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55</v>
      </c>
      <c r="B62" s="181">
        <f>'Données projet'!D70</f>
        <v>258</v>
      </c>
      <c r="C62" s="191">
        <v>75</v>
      </c>
      <c r="D62" s="179">
        <f t="shared" si="4"/>
        <v>19350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Erable plane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1300*(1+0.9)</f>
        <v>2470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10</v>
      </c>
      <c r="B85" s="181">
        <f>'Données projet'!D88</f>
        <v>7</v>
      </c>
      <c r="C85" s="191">
        <v>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15</v>
      </c>
      <c r="B86" s="181">
        <f>'Données projet'!D89</f>
        <v>42</v>
      </c>
      <c r="C86" s="191">
        <v>0</v>
      </c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20</v>
      </c>
      <c r="B87" s="181">
        <f>'Données projet'!D90</f>
        <v>42</v>
      </c>
      <c r="C87" s="191">
        <v>10</v>
      </c>
      <c r="D87" s="179">
        <f t="shared" si="6"/>
        <v>420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25</v>
      </c>
      <c r="B88" s="181">
        <f>'Données projet'!D91</f>
        <v>42</v>
      </c>
      <c r="C88" s="191">
        <v>10</v>
      </c>
      <c r="D88" s="179">
        <f t="shared" si="6"/>
        <v>420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30</v>
      </c>
      <c r="B89" s="181">
        <f>'Données projet'!D92</f>
        <v>42</v>
      </c>
      <c r="C89" s="191">
        <v>20</v>
      </c>
      <c r="D89" s="179">
        <f t="shared" si="6"/>
        <v>840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str">
        <f>IF(O88+1&lt;=MIN('Données projet'!$E$9:$E$18),O88+1,"STOP")</f>
        <v>STOP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35</v>
      </c>
      <c r="B90" s="181">
        <f>'Données projet'!D93</f>
        <v>42</v>
      </c>
      <c r="C90" s="191">
        <v>20</v>
      </c>
      <c r="D90" s="179">
        <f t="shared" si="6"/>
        <v>840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40</v>
      </c>
      <c r="B91" s="181">
        <f>'Données projet'!D94</f>
        <v>40</v>
      </c>
      <c r="C91" s="191">
        <v>20</v>
      </c>
      <c r="D91" s="179">
        <f t="shared" si="6"/>
        <v>800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45</v>
      </c>
      <c r="B92" s="181">
        <f>'Données projet'!D95</f>
        <v>26</v>
      </c>
      <c r="C92" s="191">
        <v>20</v>
      </c>
      <c r="D92" s="179">
        <f t="shared" si="6"/>
        <v>520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50</v>
      </c>
      <c r="B93" s="181">
        <f>'Données projet'!D96</f>
        <v>21</v>
      </c>
      <c r="C93" s="191">
        <v>20</v>
      </c>
      <c r="D93" s="179">
        <f t="shared" si="6"/>
        <v>420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55</v>
      </c>
      <c r="B94" s="181">
        <f>'Données projet'!D97</f>
        <v>18</v>
      </c>
      <c r="C94" s="191">
        <v>20</v>
      </c>
      <c r="D94" s="179">
        <f t="shared" si="6"/>
        <v>360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60</v>
      </c>
      <c r="B95" s="181">
        <f>'Données projet'!D98</f>
        <v>17</v>
      </c>
      <c r="C95" s="191">
        <v>35</v>
      </c>
      <c r="D95" s="179">
        <f t="shared" si="6"/>
        <v>595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65</v>
      </c>
      <c r="B96" s="181">
        <f>'Données projet'!D99</f>
        <v>16</v>
      </c>
      <c r="C96" s="191">
        <v>35</v>
      </c>
      <c r="D96" s="179">
        <f t="shared" si="6"/>
        <v>560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70</v>
      </c>
      <c r="B97" s="181">
        <f>'Données projet'!D100</f>
        <v>15</v>
      </c>
      <c r="C97" s="191">
        <v>35</v>
      </c>
      <c r="D97" s="179">
        <f t="shared" si="6"/>
        <v>525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75</v>
      </c>
      <c r="B98" s="181">
        <f>'Données projet'!D101</f>
        <v>14</v>
      </c>
      <c r="C98" s="191">
        <v>35</v>
      </c>
      <c r="D98" s="179">
        <f t="shared" si="6"/>
        <v>490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80</v>
      </c>
      <c r="B99" s="181">
        <f>'Données projet'!D102</f>
        <v>381</v>
      </c>
      <c r="C99" s="191">
        <v>40</v>
      </c>
      <c r="D99" s="179">
        <f t="shared" si="6"/>
        <v>15240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Douglas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1300*(0.65+0.67)</f>
        <v>1716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20</v>
      </c>
      <c r="B116" s="181">
        <f>'Données projet'!D114</f>
        <v>43</v>
      </c>
      <c r="C116" s="191">
        <v>1.95</v>
      </c>
      <c r="D116" s="179">
        <f>B116*C116</f>
        <v>83.85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25</v>
      </c>
      <c r="B117" s="181">
        <f>'Données projet'!D115</f>
        <v>60</v>
      </c>
      <c r="C117" s="191">
        <v>1.95</v>
      </c>
      <c r="D117" s="179">
        <f t="shared" ref="D117:D135" si="8">B117*C117</f>
        <v>117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30</v>
      </c>
      <c r="B118" s="181">
        <f>'Données projet'!D116</f>
        <v>90</v>
      </c>
      <c r="C118" s="191">
        <v>4.4800000000000004</v>
      </c>
      <c r="D118" s="179">
        <f t="shared" si="8"/>
        <v>403.20000000000005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35</v>
      </c>
      <c r="B119" s="181">
        <f>'Données projet'!D117</f>
        <v>72</v>
      </c>
      <c r="C119" s="191">
        <v>4.4800000000000004</v>
      </c>
      <c r="D119" s="179">
        <f t="shared" si="8"/>
        <v>322.56000000000006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40</v>
      </c>
      <c r="B120" s="181">
        <f>'Données projet'!D118</f>
        <v>77</v>
      </c>
      <c r="C120" s="191">
        <v>32.799999999999997</v>
      </c>
      <c r="D120" s="179">
        <f t="shared" si="8"/>
        <v>2525.6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45</v>
      </c>
      <c r="B121" s="181">
        <f>'Données projet'!D119</f>
        <v>64</v>
      </c>
      <c r="C121" s="191">
        <v>32.799999999999997</v>
      </c>
      <c r="D121" s="179">
        <f t="shared" si="8"/>
        <v>2099.1999999999998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50</v>
      </c>
      <c r="B122" s="181">
        <f>'Données projet'!D120</f>
        <v>62</v>
      </c>
      <c r="C122" s="191">
        <v>33</v>
      </c>
      <c r="D122" s="179">
        <f t="shared" si="8"/>
        <v>2046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55</v>
      </c>
      <c r="B123" s="181">
        <f>'Données projet'!D121</f>
        <v>46</v>
      </c>
      <c r="C123" s="191">
        <v>55</v>
      </c>
      <c r="D123" s="179">
        <f t="shared" si="8"/>
        <v>2530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60</v>
      </c>
      <c r="B124" s="181">
        <f>'Données projet'!D122</f>
        <v>35</v>
      </c>
      <c r="C124" s="191">
        <v>55.11</v>
      </c>
      <c r="D124" s="179">
        <f t="shared" si="8"/>
        <v>1928.85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65</v>
      </c>
      <c r="B125" s="181">
        <f>'Données projet'!D123</f>
        <v>769</v>
      </c>
      <c r="C125" s="191">
        <v>75</v>
      </c>
      <c r="D125" s="179">
        <f t="shared" si="8"/>
        <v>57675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Cèdre de l'Atlas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1300*(1.2+0.67)</f>
        <v>2431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20</v>
      </c>
      <c r="B147" s="175">
        <f>'Données projet'!D140</f>
        <v>39.5</v>
      </c>
      <c r="C147" s="191">
        <v>2</v>
      </c>
      <c r="D147" s="182">
        <f>B147*C147</f>
        <v>79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30</v>
      </c>
      <c r="B148" s="175">
        <f>'Données projet'!D141</f>
        <v>67</v>
      </c>
      <c r="C148" s="191">
        <v>4</v>
      </c>
      <c r="D148" s="182">
        <f t="shared" ref="D148:D166" si="10">B148*C148</f>
        <v>268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40</v>
      </c>
      <c r="B149" s="175">
        <f>'Données projet'!D142</f>
        <v>70</v>
      </c>
      <c r="C149" s="191">
        <v>27</v>
      </c>
      <c r="D149" s="182">
        <f t="shared" si="10"/>
        <v>1890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50</v>
      </c>
      <c r="B150" s="175">
        <f>'Données projet'!D143</f>
        <v>75</v>
      </c>
      <c r="C150" s="191">
        <v>27</v>
      </c>
      <c r="D150" s="182">
        <f t="shared" si="10"/>
        <v>2025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60</v>
      </c>
      <c r="B151" s="175">
        <f>'Données projet'!D144</f>
        <v>80</v>
      </c>
      <c r="C151" s="191">
        <v>26.7</v>
      </c>
      <c r="D151" s="182">
        <f t="shared" si="10"/>
        <v>2136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70</v>
      </c>
      <c r="B152" s="175">
        <f>'Données projet'!D145</f>
        <v>87</v>
      </c>
      <c r="C152" s="191">
        <v>46</v>
      </c>
      <c r="D152" s="182">
        <f t="shared" si="10"/>
        <v>4002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80</v>
      </c>
      <c r="B153" s="175">
        <f>'Données projet'!D146</f>
        <v>93</v>
      </c>
      <c r="C153" s="191">
        <v>46</v>
      </c>
      <c r="D153" s="182">
        <f t="shared" si="10"/>
        <v>4278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90</v>
      </c>
      <c r="B154" s="175">
        <f>'Données projet'!D147</f>
        <v>98</v>
      </c>
      <c r="C154" s="191">
        <v>46</v>
      </c>
      <c r="D154" s="182">
        <f t="shared" si="10"/>
        <v>4508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100</v>
      </c>
      <c r="B155" s="175">
        <f>'Données projet'!D148</f>
        <v>675.5</v>
      </c>
      <c r="C155" s="191">
        <v>75</v>
      </c>
      <c r="D155" s="182">
        <f t="shared" si="10"/>
        <v>50662.5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Pin maritime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1300*(0.37+0.67)</f>
        <v>1352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12</v>
      </c>
      <c r="B178" s="181">
        <f>'Données projet'!D166</f>
        <v>0</v>
      </c>
      <c r="C178" s="193">
        <v>0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16</v>
      </c>
      <c r="B179" s="181">
        <f>'Données projet'!D167</f>
        <v>25</v>
      </c>
      <c r="C179" s="193">
        <v>1.95</v>
      </c>
      <c r="D179" s="179">
        <f t="shared" ref="D179:D197" si="11">B179*C179</f>
        <v>48.75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20</v>
      </c>
      <c r="B180" s="181">
        <f>'Données projet'!D168</f>
        <v>64</v>
      </c>
      <c r="C180" s="193">
        <v>1.95</v>
      </c>
      <c r="D180" s="179">
        <f t="shared" si="11"/>
        <v>124.8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24</v>
      </c>
      <c r="B181" s="181">
        <f>'Données projet'!D169</f>
        <v>43</v>
      </c>
      <c r="C181" s="193">
        <v>4.4800000000000004</v>
      </c>
      <c r="D181" s="179">
        <f t="shared" si="11"/>
        <v>192.64000000000001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28</v>
      </c>
      <c r="B182" s="181">
        <f>'Données projet'!D170</f>
        <v>41</v>
      </c>
      <c r="C182" s="193">
        <v>4.4800000000000004</v>
      </c>
      <c r="D182" s="179">
        <f t="shared" si="11"/>
        <v>183.68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34</v>
      </c>
      <c r="B183" s="181">
        <f>'Données projet'!D171</f>
        <v>60</v>
      </c>
      <c r="C183" s="193">
        <v>4.8</v>
      </c>
      <c r="D183" s="179">
        <f t="shared" si="11"/>
        <v>288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40</v>
      </c>
      <c r="B184" s="181">
        <f>'Données projet'!D172</f>
        <v>64</v>
      </c>
      <c r="C184" s="193">
        <v>4.8</v>
      </c>
      <c r="D184" s="179">
        <f t="shared" si="11"/>
        <v>307.2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46</v>
      </c>
      <c r="B185" s="181">
        <f>'Données projet'!D173</f>
        <v>21</v>
      </c>
      <c r="C185" s="193">
        <v>27</v>
      </c>
      <c r="D185" s="179">
        <f t="shared" si="11"/>
        <v>567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54</v>
      </c>
      <c r="B186" s="181">
        <f>'Données projet'!D174</f>
        <v>17</v>
      </c>
      <c r="C186" s="193">
        <v>45</v>
      </c>
      <c r="D186" s="179">
        <f t="shared" si="11"/>
        <v>765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62</v>
      </c>
      <c r="B187" s="181">
        <f>'Données projet'!D175</f>
        <v>409</v>
      </c>
      <c r="C187" s="193">
        <v>60</v>
      </c>
      <c r="D187" s="179">
        <f t="shared" si="11"/>
        <v>24540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Châtaignier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f>1300*(1.25+0.67)</f>
        <v>2496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10</v>
      </c>
      <c r="B209" s="181">
        <f>'Données projet'!D192</f>
        <v>7</v>
      </c>
      <c r="C209" s="193">
        <v>0</v>
      </c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15</v>
      </c>
      <c r="B210" s="181">
        <f>'Données projet'!D193</f>
        <v>42</v>
      </c>
      <c r="C210" s="193">
        <v>0</v>
      </c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20</v>
      </c>
      <c r="B211" s="181">
        <f>'Données projet'!D194</f>
        <v>42</v>
      </c>
      <c r="C211" s="193">
        <v>10</v>
      </c>
      <c r="D211" s="179">
        <f t="shared" si="12"/>
        <v>420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25</v>
      </c>
      <c r="B212" s="181">
        <f>'Données projet'!D195</f>
        <v>42</v>
      </c>
      <c r="C212" s="193">
        <v>10</v>
      </c>
      <c r="D212" s="179">
        <f t="shared" si="12"/>
        <v>420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30</v>
      </c>
      <c r="B213" s="181">
        <f>'Données projet'!D196</f>
        <v>42</v>
      </c>
      <c r="C213" s="193">
        <v>20</v>
      </c>
      <c r="D213" s="179">
        <f t="shared" si="12"/>
        <v>840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35</v>
      </c>
      <c r="B214" s="181">
        <f>'Données projet'!D197</f>
        <v>42</v>
      </c>
      <c r="C214" s="193">
        <v>20</v>
      </c>
      <c r="D214" s="179">
        <f t="shared" si="12"/>
        <v>840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40</v>
      </c>
      <c r="B215" s="181">
        <f>'Données projet'!D198</f>
        <v>40</v>
      </c>
      <c r="C215" s="193">
        <v>20</v>
      </c>
      <c r="D215" s="179">
        <f t="shared" si="12"/>
        <v>800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45</v>
      </c>
      <c r="B216" s="181">
        <f>'Données projet'!D199</f>
        <v>26</v>
      </c>
      <c r="C216" s="193">
        <v>20</v>
      </c>
      <c r="D216" s="179">
        <f t="shared" si="12"/>
        <v>520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50</v>
      </c>
      <c r="B217" s="181">
        <f>'Données projet'!D200</f>
        <v>21</v>
      </c>
      <c r="C217" s="193">
        <v>20</v>
      </c>
      <c r="D217" s="179">
        <f t="shared" si="12"/>
        <v>420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55</v>
      </c>
      <c r="B218" s="181">
        <f>'Données projet'!D201</f>
        <v>18</v>
      </c>
      <c r="C218" s="193">
        <v>20</v>
      </c>
      <c r="D218" s="179">
        <f t="shared" si="12"/>
        <v>360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60</v>
      </c>
      <c r="B219" s="181">
        <f>'Données projet'!D202</f>
        <v>17</v>
      </c>
      <c r="C219" s="193">
        <v>35</v>
      </c>
      <c r="D219" s="179">
        <f t="shared" si="12"/>
        <v>595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65</v>
      </c>
      <c r="B220" s="181">
        <f>'Données projet'!D203</f>
        <v>16</v>
      </c>
      <c r="C220" s="193">
        <v>35</v>
      </c>
      <c r="D220" s="179">
        <f t="shared" si="12"/>
        <v>560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70</v>
      </c>
      <c r="B221" s="181">
        <f>'Données projet'!D204</f>
        <v>15</v>
      </c>
      <c r="C221" s="193">
        <v>35</v>
      </c>
      <c r="D221" s="179">
        <f t="shared" si="12"/>
        <v>525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75</v>
      </c>
      <c r="B222" s="181">
        <f>'Données projet'!D205</f>
        <v>14</v>
      </c>
      <c r="C222" s="193">
        <v>35</v>
      </c>
      <c r="D222" s="179">
        <f t="shared" si="12"/>
        <v>490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80</v>
      </c>
      <c r="B223" s="181">
        <f>'Données projet'!D206</f>
        <v>381</v>
      </c>
      <c r="C223" s="193">
        <v>40</v>
      </c>
      <c r="D223" s="179">
        <f t="shared" si="12"/>
        <v>15240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>Chêne pubescent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f>1300*(1.31+0.67)</f>
        <v>2574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20</v>
      </c>
      <c r="B240" s="181">
        <f>'Données projet'!D218</f>
        <v>6</v>
      </c>
      <c r="C240" s="193">
        <v>1.3</v>
      </c>
      <c r="D240" s="179">
        <f>B240*C240</f>
        <v>7.8000000000000007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25</v>
      </c>
      <c r="B241" s="181">
        <f>'Données projet'!D219</f>
        <v>28</v>
      </c>
      <c r="C241" s="193">
        <v>1.3</v>
      </c>
      <c r="D241" s="179">
        <f t="shared" ref="D241:D259" si="13">B241*C241</f>
        <v>36.4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30</v>
      </c>
      <c r="B242" s="181">
        <f>'Données projet'!D220</f>
        <v>28</v>
      </c>
      <c r="C242" s="193">
        <v>2.2799999999999998</v>
      </c>
      <c r="D242" s="179">
        <f t="shared" si="13"/>
        <v>63.839999999999996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35</v>
      </c>
      <c r="B243" s="181">
        <f>'Données projet'!D221</f>
        <v>28</v>
      </c>
      <c r="C243" s="193">
        <v>2.2799999999999998</v>
      </c>
      <c r="D243" s="179">
        <f t="shared" si="13"/>
        <v>63.839999999999996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40</v>
      </c>
      <c r="B244" s="181">
        <f>'Données projet'!D222</f>
        <v>28</v>
      </c>
      <c r="C244" s="193">
        <v>2.2799999999999998</v>
      </c>
      <c r="D244" s="179">
        <f t="shared" si="13"/>
        <v>63.839999999999996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45</v>
      </c>
      <c r="B245" s="181">
        <f>'Données projet'!D223</f>
        <v>28</v>
      </c>
      <c r="C245" s="193">
        <v>2.2799999999999998</v>
      </c>
      <c r="D245" s="179">
        <f t="shared" si="13"/>
        <v>63.839999999999996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50</v>
      </c>
      <c r="B246" s="181">
        <f>'Données projet'!D224</f>
        <v>28</v>
      </c>
      <c r="C246" s="193">
        <v>2.83</v>
      </c>
      <c r="D246" s="179">
        <f t="shared" si="13"/>
        <v>79.240000000000009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55</v>
      </c>
      <c r="B247" s="181">
        <f>'Données projet'!D225</f>
        <v>28</v>
      </c>
      <c r="C247" s="193">
        <v>2.83</v>
      </c>
      <c r="D247" s="179">
        <f t="shared" si="13"/>
        <v>79.240000000000009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60</v>
      </c>
      <c r="B248" s="181">
        <f>'Données projet'!D226</f>
        <v>28</v>
      </c>
      <c r="C248" s="193">
        <v>2.83</v>
      </c>
      <c r="D248" s="179">
        <f t="shared" si="13"/>
        <v>79.240000000000009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65</v>
      </c>
      <c r="B249" s="181">
        <f>'Données projet'!D227</f>
        <v>28</v>
      </c>
      <c r="C249" s="193">
        <v>40.5</v>
      </c>
      <c r="D249" s="179">
        <f t="shared" si="13"/>
        <v>1134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70</v>
      </c>
      <c r="B250" s="181">
        <f>'Données projet'!D228</f>
        <v>28</v>
      </c>
      <c r="C250" s="193">
        <v>40.5</v>
      </c>
      <c r="D250" s="179">
        <f t="shared" si="13"/>
        <v>1134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75</v>
      </c>
      <c r="B251" s="181">
        <f>'Données projet'!D229</f>
        <v>28</v>
      </c>
      <c r="C251" s="193">
        <v>40.5</v>
      </c>
      <c r="D251" s="179">
        <f t="shared" si="13"/>
        <v>1134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80</v>
      </c>
      <c r="B252" s="181">
        <f>'Données projet'!D230</f>
        <v>28</v>
      </c>
      <c r="C252" s="193">
        <v>41</v>
      </c>
      <c r="D252" s="179">
        <f t="shared" si="13"/>
        <v>1148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85</v>
      </c>
      <c r="B253" s="181">
        <f>'Données projet'!D231</f>
        <v>28</v>
      </c>
      <c r="C253" s="193">
        <v>41</v>
      </c>
      <c r="D253" s="179">
        <f t="shared" si="13"/>
        <v>1148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90</v>
      </c>
      <c r="B254" s="181">
        <f>'Données projet'!D232</f>
        <v>28</v>
      </c>
      <c r="C254" s="193">
        <v>41</v>
      </c>
      <c r="D254" s="179">
        <f t="shared" si="13"/>
        <v>1148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95</v>
      </c>
      <c r="B255" s="181">
        <f>'Données projet'!D233</f>
        <v>28</v>
      </c>
      <c r="C255" s="193">
        <v>41</v>
      </c>
      <c r="D255" s="179">
        <f t="shared" si="13"/>
        <v>1148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100</v>
      </c>
      <c r="B256" s="181">
        <f>'Données projet'!D234</f>
        <v>333</v>
      </c>
      <c r="C256" s="193">
        <v>170.75</v>
      </c>
      <c r="D256" s="179">
        <f t="shared" si="13"/>
        <v>56859.75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>Alisier torminal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f>1300*(3.67+0.67)</f>
        <v>5642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20</v>
      </c>
      <c r="B271" s="181">
        <f>'Données projet'!D244</f>
        <v>6</v>
      </c>
      <c r="C271" s="193">
        <v>1.3</v>
      </c>
      <c r="D271" s="179">
        <f>B271*C271</f>
        <v>7.8000000000000007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25</v>
      </c>
      <c r="B272" s="181">
        <f>'Données projet'!D245</f>
        <v>28</v>
      </c>
      <c r="C272" s="193">
        <v>1.3</v>
      </c>
      <c r="D272" s="179">
        <f t="shared" ref="D272:D290" si="14">B272*C272</f>
        <v>36.4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30</v>
      </c>
      <c r="B273" s="181">
        <f>'Données projet'!D246</f>
        <v>28</v>
      </c>
      <c r="C273" s="193">
        <v>2.2799999999999998</v>
      </c>
      <c r="D273" s="179">
        <f t="shared" si="14"/>
        <v>63.839999999999996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35</v>
      </c>
      <c r="B274" s="181">
        <f>'Données projet'!D247</f>
        <v>28</v>
      </c>
      <c r="C274" s="193">
        <v>2.2799999999999998</v>
      </c>
      <c r="D274" s="179">
        <f t="shared" si="14"/>
        <v>63.839999999999996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40</v>
      </c>
      <c r="B275" s="181">
        <f>'Données projet'!D248</f>
        <v>28</v>
      </c>
      <c r="C275" s="193">
        <v>2.2799999999999998</v>
      </c>
      <c r="D275" s="179">
        <f t="shared" si="14"/>
        <v>63.839999999999996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45</v>
      </c>
      <c r="B276" s="181">
        <f>'Données projet'!D249</f>
        <v>28</v>
      </c>
      <c r="C276" s="193">
        <v>2.2799999999999998</v>
      </c>
      <c r="D276" s="179">
        <f t="shared" si="14"/>
        <v>63.839999999999996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50</v>
      </c>
      <c r="B277" s="181">
        <f>'Données projet'!D250</f>
        <v>28</v>
      </c>
      <c r="C277" s="193">
        <v>2.83</v>
      </c>
      <c r="D277" s="179">
        <f t="shared" si="14"/>
        <v>79.240000000000009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55</v>
      </c>
      <c r="B278" s="181">
        <f>'Données projet'!D251</f>
        <v>28</v>
      </c>
      <c r="C278" s="193">
        <v>2.83</v>
      </c>
      <c r="D278" s="179">
        <f t="shared" si="14"/>
        <v>79.240000000000009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60</v>
      </c>
      <c r="B279" s="181">
        <f>'Données projet'!D252</f>
        <v>28</v>
      </c>
      <c r="C279" s="193">
        <v>2.83</v>
      </c>
      <c r="D279" s="179">
        <f t="shared" si="14"/>
        <v>79.240000000000009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65</v>
      </c>
      <c r="B280" s="181">
        <f>'Données projet'!D253</f>
        <v>28</v>
      </c>
      <c r="C280" s="193">
        <v>40.5</v>
      </c>
      <c r="D280" s="179">
        <f t="shared" si="14"/>
        <v>1134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70</v>
      </c>
      <c r="B281" s="181">
        <f>'Données projet'!D254</f>
        <v>28</v>
      </c>
      <c r="C281" s="193">
        <v>40.5</v>
      </c>
      <c r="D281" s="179">
        <f t="shared" si="14"/>
        <v>1134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75</v>
      </c>
      <c r="B282" s="181">
        <f>'Données projet'!D255</f>
        <v>28</v>
      </c>
      <c r="C282" s="193">
        <v>40.5</v>
      </c>
      <c r="D282" s="179">
        <f t="shared" si="14"/>
        <v>1134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80</v>
      </c>
      <c r="B283" s="181">
        <f>'Données projet'!D256</f>
        <v>28</v>
      </c>
      <c r="C283" s="193">
        <v>41</v>
      </c>
      <c r="D283" s="179">
        <f t="shared" si="14"/>
        <v>1148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85</v>
      </c>
      <c r="B284" s="181">
        <f>'Données projet'!D257</f>
        <v>28</v>
      </c>
      <c r="C284" s="193">
        <v>41</v>
      </c>
      <c r="D284" s="179">
        <f t="shared" si="14"/>
        <v>1148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90</v>
      </c>
      <c r="B285" s="181">
        <f>'Données projet'!D258</f>
        <v>28</v>
      </c>
      <c r="C285" s="193">
        <v>41</v>
      </c>
      <c r="D285" s="179">
        <f t="shared" si="14"/>
        <v>1148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95</v>
      </c>
      <c r="B286" s="181">
        <f>'Données projet'!D259</f>
        <v>28</v>
      </c>
      <c r="C286" s="193">
        <v>41</v>
      </c>
      <c r="D286" s="179">
        <f t="shared" si="14"/>
        <v>1148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100</v>
      </c>
      <c r="B287" s="181">
        <f>'Données projet'!D260</f>
        <v>333</v>
      </c>
      <c r="C287" s="193">
        <v>170.75</v>
      </c>
      <c r="D287" s="179">
        <f t="shared" si="14"/>
        <v>56859.75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2024-07-18T09:26:20Z</dcterms:modified>
</cp:coreProperties>
</file>