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Geoffroy.Rombaut\Nextcloud\Documents partagés C+FOR\0.VF Dossier LBC\CNPF C+for n° 155 Pierre Fabre Le Carla (Pierre Fabre n° 3) (labellisation en cours)\"/>
    </mc:Choice>
  </mc:AlternateContent>
  <bookViews>
    <workbookView xWindow="0" yWindow="0" windowWidth="11748" windowHeight="5316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6" i="1" l="1"/>
  <c r="B256" i="1"/>
  <c r="D255" i="1"/>
  <c r="B255" i="1"/>
  <c r="B254" i="1"/>
  <c r="D253" i="1"/>
  <c r="B253" i="1"/>
  <c r="B252" i="1"/>
  <c r="D251" i="1"/>
  <c r="B251" i="1"/>
  <c r="B250" i="1"/>
  <c r="D249" i="1"/>
  <c r="B249" i="1"/>
  <c r="B248" i="1"/>
  <c r="D247" i="1"/>
  <c r="B247" i="1"/>
  <c r="B246" i="1"/>
  <c r="D245" i="1"/>
  <c r="B245" i="1"/>
  <c r="B244" i="1"/>
  <c r="D153" i="1"/>
  <c r="B153" i="1"/>
  <c r="B148" i="1"/>
  <c r="D147" i="1"/>
  <c r="B147" i="1"/>
  <c r="B146" i="1"/>
  <c r="D145" i="1"/>
  <c r="B145" i="1"/>
  <c r="B144" i="1"/>
  <c r="D143" i="1"/>
  <c r="B143" i="1"/>
  <c r="B142" i="1"/>
  <c r="D141" i="1"/>
  <c r="B141" i="1"/>
  <c r="B140" i="1"/>
  <c r="B40" i="1" l="1"/>
  <c r="B37" i="1"/>
  <c r="B36" i="1"/>
  <c r="D133" i="1" l="1"/>
  <c r="B133" i="1"/>
  <c r="B132" i="1"/>
  <c r="B131" i="1"/>
  <c r="B130" i="1"/>
  <c r="B129" i="1"/>
  <c r="B128" i="1"/>
  <c r="D127" i="1"/>
  <c r="B127" i="1"/>
  <c r="B126" i="1"/>
  <c r="D125" i="1"/>
  <c r="B125" i="1"/>
  <c r="B124" i="1"/>
  <c r="D123" i="1"/>
  <c r="B123" i="1"/>
  <c r="B122" i="1"/>
  <c r="D121" i="1"/>
  <c r="B121" i="1"/>
  <c r="B120" i="1"/>
  <c r="D119" i="1"/>
  <c r="B119" i="1"/>
  <c r="B118" i="1"/>
  <c r="D117" i="1"/>
  <c r="B117" i="1"/>
  <c r="B116" i="1"/>
  <c r="D115" i="1"/>
  <c r="B115" i="1"/>
  <c r="B114" i="1"/>
  <c r="B95" i="1" l="1"/>
  <c r="D94" i="1"/>
  <c r="B94" i="1"/>
  <c r="B93" i="1"/>
  <c r="D92" i="1"/>
  <c r="B92" i="1"/>
  <c r="B91" i="1"/>
  <c r="D90" i="1"/>
  <c r="B90" i="1"/>
  <c r="B89" i="1"/>
  <c r="B69" i="1"/>
  <c r="D68" i="1"/>
  <c r="B68" i="1"/>
  <c r="B67" i="1"/>
  <c r="D66" i="1"/>
  <c r="B66" i="1"/>
  <c r="B65" i="1"/>
  <c r="D64" i="1"/>
  <c r="B64" i="1"/>
  <c r="B63" i="1"/>
  <c r="B173" i="1" l="1"/>
  <c r="D172" i="1"/>
  <c r="B172" i="1"/>
  <c r="B171" i="1"/>
  <c r="D170" i="1"/>
  <c r="B170" i="1"/>
  <c r="B169" i="1"/>
  <c r="D168" i="1"/>
  <c r="B168" i="1"/>
  <c r="B167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Q4" i="2" l="1"/>
  <c r="BQ4" i="2"/>
  <c r="GL4" i="2"/>
  <c r="EA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FR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HI7" i="2"/>
  <c r="EX7" i="2"/>
  <c r="EB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EC14" i="2"/>
  <c r="HH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X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C20" i="2"/>
  <c r="FS20" i="2"/>
  <c r="HH20" i="2"/>
  <c r="HG20" i="2"/>
  <c r="EV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B21" i="2" l="1"/>
  <c r="HI21" i="2"/>
  <c r="EV21" i="2"/>
  <c r="HH21" i="2"/>
  <c r="EW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G22" i="2"/>
  <c r="HH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B28" i="2"/>
  <c r="FS28" i="2"/>
  <c r="EV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HI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HH33" i="2"/>
  <c r="EW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H38" i="2" l="1"/>
  <c r="FS38" i="2"/>
  <c r="HI38" i="2"/>
  <c r="EX38" i="2"/>
  <c r="HG38" i="2"/>
  <c r="EW38" i="2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EA43" i="2"/>
  <c r="HG43" i="2"/>
  <c r="DG43" i="2"/>
  <c r="EX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C44" i="2"/>
  <c r="EW44" i="2"/>
  <c r="HG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HI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C46" i="2"/>
  <c r="HI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HH48" i="2"/>
  <c r="EC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C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HI57" i="2"/>
  <c r="EV57" i="2"/>
  <c r="HH57" i="2"/>
  <c r="EB57" i="2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HH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EB62" i="2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X63" i="2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EB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V78" i="2"/>
  <c r="HI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HG85" i="2"/>
  <c r="HI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EX87" i="2"/>
  <c r="EA87" i="2"/>
  <c r="EB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EX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W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EB105" i="2"/>
  <c r="EV105" i="2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A107" i="2"/>
  <c r="EX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B108" i="2"/>
  <c r="EA108" i="2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EB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FQ112" i="2"/>
  <c r="EC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HI113" i="2"/>
  <c r="EX113" i="2"/>
  <c r="EB113" i="2"/>
  <c r="HG113" i="2"/>
  <c r="FS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HG114" i="2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S118" i="2"/>
  <c r="FQ118" i="2"/>
  <c r="EX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EX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FQ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HI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C122" i="2"/>
  <c r="HI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W124" i="2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HG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G130" i="2" l="1"/>
  <c r="FS130" i="2"/>
  <c r="HI130" i="2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HG132" i="2"/>
  <c r="EC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X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FS139" i="2"/>
  <c r="EA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B140" i="2"/>
  <c r="FR140" i="2"/>
  <c r="EX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HG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FR144" i="2"/>
  <c r="EB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HG145" i="2"/>
  <c r="HH145" i="2"/>
  <c r="EA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G150" i="2" l="1"/>
  <c r="HH150" i="2"/>
  <c r="FS150" i="2"/>
  <c r="EV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EB154" i="2"/>
  <c r="HG154" i="2"/>
  <c r="HJ154" i="2" s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HG155" i="2" l="1"/>
  <c r="EY154" i="2"/>
  <c r="ED154" i="2"/>
  <c r="EA155" i="2"/>
  <c r="DI154" i="2"/>
  <c r="EW155" i="2"/>
  <c r="EX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Y155" i="2" l="1"/>
  <c r="FS156" i="2"/>
  <c r="HH156" i="2"/>
  <c r="HG156" i="2"/>
  <c r="EX156" i="2"/>
  <c r="EB156" i="2"/>
  <c r="DH156" i="2"/>
  <c r="HI156" i="2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EX157" i="2"/>
  <c r="HH157" i="2"/>
  <c r="EC157" i="2"/>
  <c r="EB157" i="2"/>
  <c r="ED157" i="2" s="1"/>
  <c r="HG157" i="2"/>
  <c r="CN156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HG158" i="2"/>
  <c r="EV158" i="2"/>
  <c r="HH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I159" i="2"/>
  <c r="ED158" i="2"/>
  <c r="EA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DG160" i="2"/>
  <c r="FS160" i="2"/>
  <c r="HI160" i="2"/>
  <c r="EC160" i="2"/>
  <c r="HG160" i="2"/>
  <c r="HH160" i="2"/>
  <c r="EY159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FS161" i="2" l="1"/>
  <c r="HG161" i="2"/>
  <c r="EB161" i="2"/>
  <c r="EX161" i="2"/>
  <c r="HH161" i="2"/>
  <c r="AW161" i="2"/>
  <c r="EC161" i="2"/>
  <c r="ED161" i="2" s="1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 l="1"/>
  <c r="EW162" i="2"/>
  <c r="EC162" i="2"/>
  <c r="DI161" i="2"/>
  <c r="EB162" i="2"/>
  <c r="HH162" i="2"/>
  <c r="HG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HH163" i="2"/>
  <c r="HG163" i="2"/>
  <c r="EA163" i="2"/>
  <c r="EV163" i="2"/>
  <c r="HI163" i="2"/>
  <c r="FS163" i="2"/>
  <c r="EC163" i="2"/>
  <c r="ED163" i="2" s="1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HG164" i="2" l="1"/>
  <c r="EY163" i="2"/>
  <c r="FR164" i="2"/>
  <c r="DI163" i="2"/>
  <c r="DH164" i="2"/>
  <c r="HH164" i="2"/>
  <c r="EA164" i="2"/>
  <c r="EX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HH165" i="2"/>
  <c r="EX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FS166" i="2"/>
  <c r="CN165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J166" i="2" l="1"/>
  <c r="EY166" i="2"/>
  <c r="EX167" i="2"/>
  <c r="DG167" i="2"/>
  <c r="EC167" i="2"/>
  <c r="HI167" i="2"/>
  <c r="FR167" i="2"/>
  <c r="EA167" i="2"/>
  <c r="HH167" i="2"/>
  <c r="EB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HI168" i="2"/>
  <c r="HH168" i="2"/>
  <c r="EV168" i="2"/>
  <c r="EB168" i="2"/>
  <c r="EW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FS169" i="2"/>
  <c r="EX169" i="2"/>
  <c r="EA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I172" i="2" l="1"/>
  <c r="EY171" i="2"/>
  <c r="EV172" i="2"/>
  <c r="HG172" i="2"/>
  <c r="EB172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ED172" i="2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H174" i="2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EW175" i="2"/>
  <c r="FS175" i="2"/>
  <c r="EA175" i="2"/>
  <c r="HI175" i="2"/>
  <c r="EB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HH177" i="2"/>
  <c r="FS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D177" i="2"/>
  <c r="FQ178" i="2"/>
  <c r="EW178" i="2"/>
  <c r="HG178" i="2"/>
  <c r="FS178" i="2"/>
  <c r="EB178" i="2"/>
  <c r="EA178" i="2"/>
  <c r="ED178" i="2" s="1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H179" i="2" l="1"/>
  <c r="EV179" i="2"/>
  <c r="DF179" i="2"/>
  <c r="EA179" i="2"/>
  <c r="ED179" i="2" s="1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X180" i="2"/>
  <c r="HI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W181" i="2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DG182" i="2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FS183" i="2"/>
  <c r="ED182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D184" i="2"/>
  <c r="EB185" i="2"/>
  <c r="EA185" i="2"/>
  <c r="EV185" i="2"/>
  <c r="EW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HG186" i="2"/>
  <c r="EW186" i="2"/>
  <c r="FR186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HH187" i="2"/>
  <c r="HG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HH188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HH189" i="2" l="1"/>
  <c r="EY188" i="2"/>
  <c r="EV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J189" i="2" l="1"/>
  <c r="EY189" i="2"/>
  <c r="EV190" i="2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ED190" i="2"/>
  <c r="HI191" i="2"/>
  <c r="HG191" i="2"/>
  <c r="HH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HI192" i="2"/>
  <c r="EC192" i="2"/>
  <c r="EB192" i="2"/>
  <c r="EV192" i="2"/>
  <c r="HH192" i="2"/>
  <c r="HG192" i="2"/>
  <c r="EW192" i="2"/>
  <c r="EA192" i="2"/>
  <c r="ED192" i="2" s="1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DI192" i="2"/>
  <c r="EX193" i="2"/>
  <c r="FQ193" i="2"/>
  <c r="EB193" i="2"/>
  <c r="HI193" i="2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HI194" i="2"/>
  <c r="EB194" i="2"/>
  <c r="EA194" i="2"/>
  <c r="ED194" i="2" s="1"/>
  <c r="HG194" i="2"/>
  <c r="CN193" i="2"/>
  <c r="FQ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Y194" i="2" l="1"/>
  <c r="HG195" i="2"/>
  <c r="FQ195" i="2"/>
  <c r="EX195" i="2"/>
  <c r="DH195" i="2"/>
  <c r="HI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G196" i="2"/>
  <c r="EW196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HG197" i="2" l="1"/>
  <c r="FS197" i="2"/>
  <c r="EY196" i="2"/>
  <c r="EW197" i="2"/>
  <c r="HH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W198" i="2"/>
  <c r="HI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W199" i="2"/>
  <c r="EV199" i="2"/>
  <c r="FS199" i="2"/>
  <c r="HG199" i="2"/>
  <c r="EB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J199" i="2" l="1"/>
  <c r="EW200" i="2"/>
  <c r="EX200" i="2"/>
  <c r="HI200" i="2"/>
  <c r="FS200" i="2"/>
  <c r="EC200" i="2"/>
  <c r="HH200" i="2"/>
  <c r="GN200" i="2"/>
  <c r="HG200" i="2"/>
  <c r="DG200" i="2"/>
  <c r="DF200" i="2"/>
  <c r="DH200" i="2"/>
  <c r="DI200" i="2" s="1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 l="1"/>
  <c r="HJ200" i="2"/>
  <c r="EB201" i="2"/>
  <c r="HG201" i="2"/>
  <c r="ED200" i="2"/>
  <c r="EA201" i="2"/>
  <c r="HH201" i="2"/>
  <c r="FS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 l="1"/>
  <c r="FS202" i="2"/>
  <c r="HI202" i="2"/>
  <c r="HG202" i="2"/>
  <c r="FZ6" i="2"/>
  <c r="EX202" i="2"/>
  <c r="FR202" i="2"/>
  <c r="EW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BC68" i="2" a="1"/>
  <c r="BC68" i="2" s="1"/>
  <c r="BC82" i="2" a="1"/>
  <c r="BC82" i="2" s="1"/>
  <c r="BC126" i="2" a="1"/>
  <c r="BC126" i="2" s="1"/>
  <c r="DN56" i="2" a="1"/>
  <c r="DN56" i="2" s="1"/>
  <c r="GT115" i="2" a="1"/>
  <c r="GT115" i="2" s="1"/>
  <c r="GT68" i="2" a="1"/>
  <c r="GT68" i="2" s="1"/>
  <c r="GT51" i="2" a="1"/>
  <c r="GT51" i="2" s="1"/>
  <c r="GT121" i="2" a="1"/>
  <c r="GT121" i="2" s="1"/>
  <c r="GT133" i="2" a="1"/>
  <c r="GT133" i="2" s="1"/>
  <c r="GT33" i="2" a="1"/>
  <c r="GT33" i="2" s="1"/>
  <c r="GT147" i="2" a="1"/>
  <c r="GT147" i="2" s="1"/>
  <c r="GT102" i="2" a="1"/>
  <c r="GT102" i="2" s="1"/>
  <c r="GT11" i="2" a="1"/>
  <c r="GT11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DN123" i="2" a="1"/>
  <c r="DN123" i="2" s="1"/>
  <c r="DN103" i="2" a="1"/>
  <c r="DN103" i="2" s="1"/>
  <c r="DN114" i="2" a="1"/>
  <c r="DN114" i="2" s="1"/>
  <c r="FD48" i="2" a="1"/>
  <c r="FD48" i="2" s="1"/>
  <c r="FD159" i="2" a="1"/>
  <c r="FD159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20" i="2" a="1"/>
  <c r="EI20" i="2" s="1"/>
  <c r="DN168" i="2" a="1"/>
  <c r="DN168" i="2" s="1"/>
  <c r="CS185" i="2" a="1"/>
  <c r="CS185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AX200" i="2"/>
  <c r="GT122" i="2" l="1" a="1"/>
  <c r="GT122" i="2" s="1"/>
  <c r="HJ202" i="2"/>
  <c r="EI153" i="2" a="1"/>
  <c r="EI153" i="2" s="1"/>
  <c r="EI38" i="2" a="1"/>
  <c r="EI38" i="2" s="1"/>
  <c r="EI37" i="2" a="1"/>
  <c r="EI37" i="2" s="1"/>
  <c r="EI139" i="2" a="1"/>
  <c r="EI139" i="2" s="1"/>
  <c r="EI128" i="2" a="1"/>
  <c r="EI128" i="2" s="1"/>
  <c r="EI165" i="2" a="1"/>
  <c r="EI165" i="2" s="1"/>
  <c r="EY202" i="2"/>
  <c r="GT152" i="2" a="1"/>
  <c r="GT152" i="2" s="1"/>
  <c r="GT181" i="2" a="1"/>
  <c r="GT181" i="2" s="1"/>
  <c r="GT184" i="2" a="1"/>
  <c r="GT184" i="2" s="1"/>
  <c r="FY35" i="2" a="1"/>
  <c r="FY35" i="2" s="1"/>
  <c r="FY30" i="2" a="1"/>
  <c r="FY30" i="2" s="1"/>
  <c r="FY50" i="2" a="1"/>
  <c r="FY50" i="2" s="1"/>
  <c r="FY186" i="2" a="1"/>
  <c r="FY186" i="2" s="1"/>
  <c r="FY172" i="2" a="1"/>
  <c r="FY172" i="2" s="1"/>
  <c r="FY62" i="2" a="1"/>
  <c r="FY62" i="2" s="1"/>
  <c r="FY78" i="2" a="1"/>
  <c r="FY78" i="2" s="1"/>
  <c r="FY69" i="2" a="1"/>
  <c r="FY69" i="2" s="1"/>
  <c r="HH203" i="2"/>
  <c r="EI35" i="2" a="1"/>
  <c r="EI35" i="2" s="1"/>
  <c r="EI34" i="2" a="1"/>
  <c r="EI34" i="2" s="1"/>
  <c r="EI106" i="2" a="1"/>
  <c r="EI106" i="2" s="1"/>
  <c r="BC47" i="2" a="1"/>
  <c r="BC47" i="2" s="1"/>
  <c r="EI67" i="2" a="1"/>
  <c r="EI67" i="2" s="1"/>
  <c r="EI71" i="2" a="1"/>
  <c r="EI71" i="2" s="1"/>
  <c r="EI142" i="2" a="1"/>
  <c r="EI142" i="2" s="1"/>
  <c r="EI166" i="2" a="1"/>
  <c r="EI166" i="2" s="1"/>
  <c r="BC117" i="2" a="1"/>
  <c r="BC117" i="2" s="1"/>
  <c r="BC58" i="2" a="1"/>
  <c r="BC58" i="2" s="1"/>
  <c r="EI170" i="2" a="1"/>
  <c r="EI170" i="2" s="1"/>
  <c r="EI57" i="2" a="1"/>
  <c r="EI57" i="2" s="1"/>
  <c r="EI195" i="2" a="1"/>
  <c r="EI195" i="2" s="1"/>
  <c r="EI178" i="2" a="1"/>
  <c r="EI178" i="2" s="1"/>
  <c r="EI198" i="2" a="1"/>
  <c r="EI198" i="2" s="1"/>
  <c r="BC181" i="2" a="1"/>
  <c r="BC181" i="2" s="1"/>
  <c r="BC34" i="2" a="1"/>
  <c r="BC34" i="2" s="1"/>
  <c r="EI16" i="2" a="1"/>
  <c r="EI16" i="2" s="1"/>
  <c r="EI36" i="2" a="1"/>
  <c r="EI36" i="2" s="1"/>
  <c r="EI145" i="2" a="1"/>
  <c r="EI145" i="2" s="1"/>
  <c r="BC65" i="2" a="1"/>
  <c r="BC65" i="2" s="1"/>
  <c r="EI113" i="2" a="1"/>
  <c r="EI113" i="2" s="1"/>
  <c r="EI87" i="2" a="1"/>
  <c r="EI87" i="2" s="1"/>
  <c r="EI162" i="2" a="1"/>
  <c r="EI162" i="2" s="1"/>
  <c r="BC114" i="2" a="1"/>
  <c r="BC114" i="2" s="1"/>
  <c r="EI109" i="2" a="1"/>
  <c r="EI109" i="2" s="1"/>
  <c r="EI150" i="2" a="1"/>
  <c r="EI150" i="2" s="1"/>
  <c r="EI29" i="2" a="1"/>
  <c r="EI29" i="2" s="1"/>
  <c r="CS52" i="2" a="1"/>
  <c r="CS52" i="2" s="1"/>
  <c r="CS38" i="2" a="1"/>
  <c r="CS38" i="2" s="1"/>
  <c r="BX107" i="2" a="1"/>
  <c r="BX107" i="2" s="1"/>
  <c r="CS114" i="2" a="1"/>
  <c r="CS114" i="2" s="1"/>
  <c r="CS105" i="2" a="1"/>
  <c r="CS105" i="2" s="1"/>
  <c r="CS116" i="2" a="1"/>
  <c r="CS116" i="2" s="1"/>
  <c r="CS66" i="2" a="1"/>
  <c r="CS66" i="2" s="1"/>
  <c r="HG203" i="2"/>
  <c r="CS56" i="2" a="1"/>
  <c r="CS56" i="2" s="1"/>
  <c r="CS161" i="2" a="1"/>
  <c r="CS161" i="2" s="1"/>
  <c r="CS77" i="2" a="1"/>
  <c r="CS77" i="2" s="1"/>
  <c r="CS24" i="2" a="1"/>
  <c r="CS24" i="2" s="1"/>
  <c r="CS120" i="2" a="1"/>
  <c r="CS120" i="2" s="1"/>
  <c r="CS137" i="2" a="1"/>
  <c r="CS137" i="2" s="1"/>
  <c r="CS129" i="2" a="1"/>
  <c r="CS129" i="2" s="1"/>
  <c r="FD137" i="2" a="1"/>
  <c r="FD137" i="2" s="1"/>
  <c r="FD14" i="2" a="1"/>
  <c r="FD14" i="2" s="1"/>
  <c r="FY80" i="2" a="1"/>
  <c r="FY80" i="2" s="1"/>
  <c r="FY58" i="2" a="1"/>
  <c r="FY58" i="2" s="1"/>
  <c r="FD21" i="2" a="1"/>
  <c r="FD21" i="2" s="1"/>
  <c r="FY169" i="2" a="1"/>
  <c r="FY169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FD107" i="2" a="1"/>
  <c r="FD107" i="2" s="1"/>
  <c r="FD44" i="2" a="1"/>
  <c r="FD44" i="2" s="1"/>
  <c r="FY42" i="2" a="1"/>
  <c r="FY42" i="2" s="1"/>
  <c r="FY104" i="2" a="1"/>
  <c r="FY104" i="2" s="1"/>
  <c r="FY190" i="2" a="1"/>
  <c r="FY190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FD167" i="2" a="1"/>
  <c r="FD167" i="2" s="1"/>
  <c r="FD188" i="2" a="1"/>
  <c r="FD188" i="2" s="1"/>
  <c r="FY196" i="2" a="1"/>
  <c r="FY196" i="2" s="1"/>
  <c r="FY34" i="2" a="1"/>
  <c r="FY34" i="2" s="1"/>
  <c r="FY72" i="2" a="1"/>
  <c r="FY72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87" i="2" a="1"/>
  <c r="FD187" i="2" s="1"/>
  <c r="FD131" i="2" a="1"/>
  <c r="FD131" i="2" s="1"/>
  <c r="FD60" i="2" a="1"/>
  <c r="FD60" i="2" s="1"/>
  <c r="FY82" i="2" a="1"/>
  <c r="FY82" i="2" s="1"/>
  <c r="FY164" i="2" a="1"/>
  <c r="FY164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94" i="2" a="1"/>
  <c r="FD194" i="2" s="1"/>
  <c r="FD43" i="2" a="1"/>
  <c r="FD43" i="2" s="1"/>
  <c r="FY121" i="2" a="1"/>
  <c r="FY121" i="2" s="1"/>
  <c r="FY182" i="2" a="1"/>
  <c r="FY182" i="2" s="1"/>
  <c r="FY149" i="2" a="1"/>
  <c r="FY149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FD19" i="2" a="1"/>
  <c r="FD19" i="2" s="1"/>
  <c r="FD64" i="2" a="1"/>
  <c r="FD64" i="2" s="1"/>
  <c r="FY167" i="2" a="1"/>
  <c r="FY167" i="2" s="1"/>
  <c r="FY115" i="2" a="1"/>
  <c r="FY115" i="2" s="1"/>
  <c r="FD59" i="2" a="1"/>
  <c r="FD59" i="2" s="1"/>
  <c r="FY24" i="2" a="1"/>
  <c r="FY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D160" i="2" a="1"/>
  <c r="FD160" i="2" s="1"/>
  <c r="FD189" i="2" a="1"/>
  <c r="FD189" i="2" s="1"/>
  <c r="FY142" i="2" a="1"/>
  <c r="FY142" i="2" s="1"/>
  <c r="FY86" i="2" a="1"/>
  <c r="FY86" i="2" s="1"/>
  <c r="FD144" i="2" a="1"/>
  <c r="FD144" i="2" s="1"/>
  <c r="FY124" i="2" a="1"/>
  <c r="FY124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AH151" i="2" a="1"/>
  <c r="AH151" i="2" s="1"/>
  <c r="AH62" i="2" a="1"/>
  <c r="AH62" i="2" s="1"/>
  <c r="AH19" i="2" a="1"/>
  <c r="AH19" i="2" s="1"/>
  <c r="AH90" i="2" a="1"/>
  <c r="AH90" i="2" s="1"/>
  <c r="AH166" i="2" a="1"/>
  <c r="AH166" i="2" s="1"/>
  <c r="AH92" i="2" a="1"/>
  <c r="AH92" i="2" s="1"/>
  <c r="AH199" i="2" a="1"/>
  <c r="AH199" i="2" s="1"/>
  <c r="AH163" i="2" a="1"/>
  <c r="AH163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Y203" i="2" l="1"/>
  <c r="FT203" i="2"/>
  <c r="ED203" i="2"/>
  <c r="FZ11" i="2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GZ45" i="2" l="1"/>
  <c r="GZ98" i="2"/>
  <c r="GZ69" i="2"/>
  <c r="GZ176" i="2"/>
  <c r="GZ116" i="2"/>
  <c r="GZ24" i="2"/>
  <c r="GZ53" i="2"/>
  <c r="GZ68" i="2"/>
  <c r="GZ165" i="2"/>
  <c r="GZ78" i="2"/>
  <c r="GZ63" i="2"/>
  <c r="GZ179" i="2"/>
  <c r="GZ73" i="2"/>
  <c r="GZ13" i="2"/>
  <c r="GZ54" i="2"/>
  <c r="GZ193" i="2"/>
  <c r="GZ178" i="2"/>
  <c r="GZ174" i="2"/>
  <c r="GZ106" i="2"/>
  <c r="GZ11" i="2"/>
  <c r="GZ198" i="2"/>
  <c r="GZ48" i="2"/>
  <c r="GZ4" i="2"/>
  <c r="GZ94" i="2"/>
  <c r="GZ140" i="2"/>
  <c r="GZ75" i="2"/>
  <c r="GZ20" i="2"/>
  <c r="GZ29" i="2"/>
  <c r="GZ203" i="2"/>
  <c r="GZ117" i="2"/>
  <c r="GZ95" i="2"/>
  <c r="GZ167" i="2"/>
  <c r="GZ50" i="2"/>
  <c r="GZ136" i="2"/>
  <c r="GZ188" i="2"/>
  <c r="GZ60" i="2"/>
  <c r="GZ114" i="2"/>
  <c r="GZ168" i="2"/>
  <c r="GZ196" i="2"/>
  <c r="GZ97" i="2"/>
  <c r="GZ31" i="2"/>
  <c r="GZ101" i="2"/>
  <c r="GZ86" i="2"/>
  <c r="GZ89" i="2"/>
  <c r="GZ14" i="2"/>
  <c r="GZ15" i="2"/>
  <c r="GZ138" i="2"/>
  <c r="GZ57" i="2"/>
  <c r="GZ137" i="2"/>
  <c r="GZ147" i="2"/>
  <c r="GZ80" i="2"/>
  <c r="GZ85" i="2"/>
  <c r="GZ195" i="2"/>
  <c r="GZ55" i="2"/>
  <c r="GZ100" i="2"/>
  <c r="GZ194" i="2"/>
  <c r="GZ107" i="2"/>
  <c r="GZ125" i="2"/>
  <c r="GZ153" i="2"/>
  <c r="GZ99" i="2"/>
  <c r="GZ124" i="2"/>
  <c r="GZ87" i="2"/>
  <c r="GZ82" i="2"/>
  <c r="GZ166" i="2"/>
  <c r="GZ104" i="2"/>
  <c r="GZ66" i="2"/>
  <c r="GZ88" i="2"/>
  <c r="GZ162" i="2"/>
  <c r="GZ110" i="2"/>
  <c r="GZ182" i="2"/>
  <c r="GZ175" i="2"/>
  <c r="GZ38" i="2"/>
  <c r="GZ156" i="2"/>
  <c r="GZ197" i="2"/>
  <c r="GZ52" i="2"/>
  <c r="GZ103" i="2"/>
  <c r="GZ76" i="2"/>
  <c r="GZ172" i="2"/>
  <c r="GZ35" i="2"/>
  <c r="GZ143" i="2"/>
  <c r="GZ59" i="2"/>
  <c r="GZ184" i="2"/>
  <c r="GZ119" i="2"/>
  <c r="GZ139" i="2"/>
  <c r="GZ93" i="2"/>
  <c r="GZ22" i="2"/>
  <c r="GZ169" i="2"/>
  <c r="GZ56" i="2"/>
  <c r="GZ126" i="2"/>
  <c r="GZ145" i="2"/>
  <c r="GZ132" i="2"/>
  <c r="GZ40" i="2"/>
  <c r="GZ199" i="2"/>
  <c r="GZ17" i="2"/>
  <c r="GZ12" i="2"/>
  <c r="GZ7" i="2"/>
  <c r="GZ27" i="2"/>
  <c r="GZ10" i="2"/>
  <c r="GZ70" i="2"/>
  <c r="GZ44" i="2"/>
  <c r="GZ58" i="2"/>
  <c r="GZ30" i="2"/>
  <c r="GZ47" i="2"/>
  <c r="GZ154" i="2"/>
  <c r="GZ163" i="2"/>
  <c r="GZ141" i="2"/>
  <c r="GZ128" i="2"/>
  <c r="GZ185" i="2"/>
  <c r="GZ105" i="2"/>
  <c r="GZ160" i="2"/>
  <c r="GZ149" i="2"/>
  <c r="GZ150" i="2"/>
  <c r="GZ74" i="2"/>
  <c r="GZ77" i="2"/>
  <c r="GZ129" i="2"/>
  <c r="GZ109" i="2"/>
  <c r="GZ173" i="2"/>
  <c r="GZ61" i="2"/>
  <c r="GZ90" i="2"/>
  <c r="GZ144" i="2"/>
  <c r="GZ49" i="2"/>
  <c r="GZ180" i="2"/>
  <c r="GZ151" i="2"/>
  <c r="GZ43" i="2"/>
  <c r="GZ170" i="2"/>
  <c r="GZ41" i="2"/>
  <c r="GZ36" i="2"/>
  <c r="GZ19" i="2"/>
  <c r="GZ33" i="2"/>
  <c r="GZ191" i="2"/>
  <c r="GZ67" i="2"/>
  <c r="GZ148" i="2"/>
  <c r="GZ115" i="2"/>
  <c r="GZ164" i="2"/>
  <c r="GZ9" i="2"/>
  <c r="GZ81" i="2"/>
  <c r="GZ159" i="2"/>
  <c r="GZ155" i="2"/>
  <c r="GZ189" i="2"/>
  <c r="GZ135" i="2"/>
  <c r="GZ79" i="2"/>
  <c r="GZ42" i="2"/>
  <c r="GZ5" i="2"/>
  <c r="GZ51" i="2"/>
  <c r="GZ18" i="2"/>
  <c r="GZ32" i="2"/>
  <c r="GZ28" i="2"/>
  <c r="GZ130" i="2"/>
  <c r="GZ192" i="2"/>
  <c r="GZ23" i="2"/>
  <c r="GZ120" i="2"/>
  <c r="GZ131" i="2"/>
  <c r="GZ134" i="2"/>
  <c r="GZ46" i="2"/>
  <c r="GZ201" i="2"/>
  <c r="GZ62" i="2"/>
  <c r="GZ118" i="2"/>
  <c r="GZ72" i="2"/>
  <c r="GZ112" i="2"/>
  <c r="GZ21" i="2"/>
  <c r="GZ142" i="2"/>
  <c r="GZ121" i="2"/>
  <c r="GZ127" i="2"/>
  <c r="GZ202" i="2"/>
  <c r="GZ83" i="2"/>
  <c r="GZ39" i="2"/>
  <c r="GZ183" i="2"/>
  <c r="GZ123" i="2"/>
  <c r="GZ161" i="2"/>
  <c r="GZ152" i="2"/>
  <c r="GZ26" i="2"/>
  <c r="GZ171" i="2"/>
  <c r="GZ65" i="2"/>
  <c r="GZ84" i="2"/>
  <c r="GZ6" i="2"/>
  <c r="GZ177" i="2"/>
  <c r="GZ190" i="2"/>
  <c r="GZ71" i="2"/>
  <c r="GZ64" i="2"/>
  <c r="GZ186" i="2"/>
  <c r="GZ122" i="2"/>
  <c r="GZ91" i="2"/>
  <c r="GZ92" i="2"/>
  <c r="GZ16" i="2"/>
  <c r="GZ8" i="2"/>
  <c r="GZ113" i="2"/>
  <c r="GZ37" i="2"/>
  <c r="GZ102" i="2"/>
  <c r="GZ34" i="2"/>
  <c r="GZ200" i="2"/>
  <c r="GZ25" i="2"/>
  <c r="GZ146" i="2"/>
  <c r="GZ157" i="2"/>
  <c r="GZ111" i="2"/>
  <c r="GZ96" i="2"/>
  <c r="GZ158" i="2"/>
  <c r="GZ108" i="2"/>
  <c r="GZ133" i="2"/>
  <c r="GZ181" i="2"/>
  <c r="GZ187" i="2"/>
  <c r="GZ3" i="2"/>
  <c r="C15" i="4" s="1"/>
  <c r="E15" i="4" s="1"/>
  <c r="F15" i="4" s="1"/>
  <c r="G15" i="4" s="1"/>
  <c r="L15" i="4" s="1"/>
  <c r="FE83" i="2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J114" i="2" l="1"/>
  <c r="FJ156" i="2"/>
  <c r="FJ35" i="2"/>
  <c r="FJ41" i="2"/>
  <c r="FJ166" i="2"/>
  <c r="FJ143" i="2"/>
  <c r="FJ60" i="2"/>
  <c r="FJ154" i="2"/>
  <c r="FJ53" i="2"/>
  <c r="FJ14" i="2"/>
  <c r="FJ144" i="2"/>
  <c r="FJ13" i="2"/>
  <c r="FJ95" i="2"/>
  <c r="FJ83" i="2"/>
  <c r="FJ136" i="2"/>
  <c r="FJ28" i="2"/>
  <c r="FJ178" i="2"/>
  <c r="FJ137" i="2"/>
  <c r="FJ113" i="2"/>
  <c r="FJ61" i="2"/>
  <c r="FJ165" i="2"/>
  <c r="FJ49" i="2"/>
  <c r="FJ129" i="2"/>
  <c r="FJ171" i="2"/>
  <c r="FJ11" i="2"/>
  <c r="FJ133" i="2"/>
  <c r="FJ160" i="2"/>
  <c r="FJ105" i="2"/>
  <c r="FJ34" i="2"/>
  <c r="FJ30" i="2"/>
  <c r="FJ147" i="2"/>
  <c r="FJ19" i="2"/>
  <c r="FJ186" i="2"/>
  <c r="FJ20" i="2"/>
  <c r="FJ54" i="2"/>
  <c r="FJ108" i="2"/>
  <c r="FJ152" i="2"/>
  <c r="FJ182" i="2"/>
  <c r="FJ90" i="2"/>
  <c r="FJ131" i="2"/>
  <c r="FJ148" i="2"/>
  <c r="FJ6" i="2"/>
  <c r="FJ183" i="2"/>
  <c r="FJ187" i="2"/>
  <c r="FJ57" i="2"/>
  <c r="FJ201" i="2"/>
  <c r="FJ78" i="2"/>
  <c r="FJ99" i="2"/>
  <c r="FJ181" i="2"/>
  <c r="FJ32" i="2"/>
  <c r="FJ12" i="2"/>
  <c r="FJ124" i="2"/>
  <c r="FJ177" i="2"/>
  <c r="FJ168" i="2"/>
  <c r="FJ8" i="2"/>
  <c r="FJ45" i="2"/>
  <c r="FJ98" i="2"/>
  <c r="FJ118" i="2"/>
  <c r="FJ7" i="2"/>
  <c r="FJ52" i="2"/>
  <c r="FJ85" i="2"/>
  <c r="FJ56" i="2"/>
  <c r="FJ70" i="2"/>
  <c r="FJ17" i="2"/>
  <c r="FJ84" i="2"/>
  <c r="FJ9" i="2"/>
  <c r="FJ122" i="2"/>
  <c r="FJ91" i="2"/>
  <c r="FJ43" i="2"/>
  <c r="FJ150" i="2"/>
  <c r="FJ65" i="2"/>
  <c r="FJ44" i="2"/>
  <c r="FJ82" i="2"/>
  <c r="FJ109" i="2"/>
  <c r="FJ40" i="2"/>
  <c r="FJ193" i="2"/>
  <c r="FJ164" i="2"/>
  <c r="FJ64" i="2"/>
  <c r="FJ94" i="2"/>
  <c r="FJ175" i="2"/>
  <c r="FJ190" i="2"/>
  <c r="FJ37" i="2"/>
  <c r="FJ100" i="2"/>
  <c r="FJ184" i="2"/>
  <c r="FJ132" i="2"/>
  <c r="FJ42" i="2"/>
  <c r="FJ74" i="2"/>
  <c r="FJ139" i="2"/>
  <c r="FJ58" i="2"/>
  <c r="FJ134" i="2"/>
  <c r="FJ191" i="2"/>
  <c r="FJ174" i="2"/>
  <c r="FJ120" i="2"/>
  <c r="FJ112" i="2"/>
  <c r="FJ197" i="2"/>
  <c r="FJ145" i="2"/>
  <c r="FJ50" i="2"/>
  <c r="FJ73" i="2"/>
  <c r="FJ151" i="2"/>
  <c r="FJ107" i="2"/>
  <c r="FJ77" i="2"/>
  <c r="FJ88" i="2"/>
  <c r="FJ188" i="2"/>
  <c r="FJ172" i="2"/>
  <c r="FJ163" i="2"/>
  <c r="FJ185" i="2"/>
  <c r="FJ203" i="2"/>
  <c r="FJ119" i="2"/>
  <c r="FJ198" i="2"/>
  <c r="FJ93" i="2"/>
  <c r="FJ47" i="2"/>
  <c r="FJ106" i="2"/>
  <c r="FJ161" i="2"/>
  <c r="FJ97" i="2"/>
  <c r="FJ3" i="2"/>
  <c r="C13" i="4" s="1"/>
  <c r="E13" i="4" s="1"/>
  <c r="F13" i="4" s="1"/>
  <c r="G13" i="4" s="1"/>
  <c r="L13" i="4" s="1"/>
  <c r="FJ25" i="2"/>
  <c r="FJ38" i="2"/>
  <c r="FJ199" i="2"/>
  <c r="FJ21" i="2"/>
  <c r="FJ159" i="2"/>
  <c r="FJ167" i="2"/>
  <c r="FJ155" i="2"/>
  <c r="FJ59" i="2"/>
  <c r="FJ46" i="2"/>
  <c r="FJ142" i="2"/>
  <c r="FJ75" i="2"/>
  <c r="FJ200" i="2"/>
  <c r="FJ135" i="2"/>
  <c r="FJ24" i="2"/>
  <c r="FJ81" i="2"/>
  <c r="FJ111" i="2"/>
  <c r="FJ86" i="2"/>
  <c r="FJ146" i="2"/>
  <c r="FJ79" i="2"/>
  <c r="FJ101" i="2"/>
  <c r="FJ194" i="2"/>
  <c r="FJ153" i="2"/>
  <c r="FJ16" i="2"/>
  <c r="FJ96" i="2"/>
  <c r="FJ71" i="2"/>
  <c r="FJ87" i="2"/>
  <c r="FJ62" i="2"/>
  <c r="FJ33" i="2"/>
  <c r="FJ51" i="2"/>
  <c r="FJ5" i="2"/>
  <c r="FJ27" i="2"/>
  <c r="FJ68" i="2"/>
  <c r="FJ195" i="2"/>
  <c r="FJ22" i="2"/>
  <c r="FJ121" i="2"/>
  <c r="FJ26" i="2"/>
  <c r="FJ92" i="2"/>
  <c r="FJ189" i="2"/>
  <c r="FJ23" i="2"/>
  <c r="FJ127" i="2"/>
  <c r="FJ36" i="2"/>
  <c r="FJ18" i="2"/>
  <c r="FJ104" i="2"/>
  <c r="FJ176" i="2"/>
  <c r="FJ110" i="2"/>
  <c r="FJ158" i="2"/>
  <c r="FJ115" i="2"/>
  <c r="FJ140" i="2"/>
  <c r="FJ169" i="2"/>
  <c r="FJ157" i="2"/>
  <c r="FJ76" i="2"/>
  <c r="FJ55" i="2"/>
  <c r="FJ180" i="2"/>
  <c r="FJ10" i="2"/>
  <c r="FJ31" i="2"/>
  <c r="FJ89" i="2"/>
  <c r="FJ126" i="2"/>
  <c r="FJ29" i="2"/>
  <c r="FJ80" i="2"/>
  <c r="FJ138" i="2"/>
  <c r="FJ141" i="2"/>
  <c r="FJ103" i="2"/>
  <c r="FJ173" i="2"/>
  <c r="FJ149" i="2"/>
  <c r="FJ130" i="2"/>
  <c r="FJ170" i="2"/>
  <c r="FJ202" i="2"/>
  <c r="FJ39" i="2"/>
  <c r="FJ69" i="2"/>
  <c r="FJ66" i="2"/>
  <c r="FJ128" i="2"/>
  <c r="FJ102" i="2"/>
  <c r="FJ192" i="2"/>
  <c r="FJ67" i="2"/>
  <c r="FJ179" i="2"/>
  <c r="FJ125" i="2"/>
  <c r="FJ196" i="2"/>
  <c r="FJ15" i="2"/>
  <c r="FJ48" i="2"/>
  <c r="FJ123" i="2"/>
  <c r="FJ116" i="2"/>
  <c r="FJ117" i="2"/>
  <c r="FJ162" i="2"/>
  <c r="FJ63" i="2"/>
  <c r="FJ72" i="2"/>
  <c r="FJ4" i="2"/>
  <c r="FE94" i="2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GE11" i="2" l="1"/>
  <c r="GE169" i="2"/>
  <c r="GE85" i="2"/>
  <c r="GE7" i="2"/>
  <c r="GE57" i="2"/>
  <c r="GE35" i="2"/>
  <c r="GE166" i="2"/>
  <c r="GE126" i="2"/>
  <c r="GE201" i="2"/>
  <c r="GE117" i="2"/>
  <c r="GE56" i="2"/>
  <c r="GE12" i="2"/>
  <c r="GE99" i="2"/>
  <c r="GE112" i="2"/>
  <c r="GE28" i="2"/>
  <c r="GE171" i="2"/>
  <c r="GE36" i="2"/>
  <c r="GE4" i="2"/>
  <c r="GE48" i="2"/>
  <c r="GE95" i="2"/>
  <c r="GE61" i="2"/>
  <c r="GE105" i="2"/>
  <c r="GE151" i="2"/>
  <c r="GE183" i="2"/>
  <c r="GE60" i="2"/>
  <c r="GE18" i="2"/>
  <c r="GE74" i="2"/>
  <c r="GE3" i="2"/>
  <c r="C14" i="4" s="1"/>
  <c r="E14" i="4" s="1"/>
  <c r="F14" i="4" s="1"/>
  <c r="G14" i="4" s="1"/>
  <c r="L14" i="4" s="1"/>
  <c r="GE135" i="2"/>
  <c r="GE102" i="2"/>
  <c r="GE122" i="2"/>
  <c r="GE184" i="2"/>
  <c r="GE33" i="2"/>
  <c r="GE62" i="2"/>
  <c r="GE200" i="2"/>
  <c r="GE130" i="2"/>
  <c r="GE161" i="2"/>
  <c r="GE41" i="2"/>
  <c r="GE78" i="2"/>
  <c r="GE134" i="2"/>
  <c r="GE149" i="2"/>
  <c r="GE24" i="2"/>
  <c r="GE156" i="2"/>
  <c r="GE188" i="2"/>
  <c r="GE128" i="2"/>
  <c r="GE43" i="2"/>
  <c r="GE125" i="2"/>
  <c r="GE15" i="2"/>
  <c r="GE88" i="2"/>
  <c r="GE38" i="2"/>
  <c r="GE137" i="2"/>
  <c r="GE42" i="2"/>
  <c r="GE168" i="2"/>
  <c r="GE32" i="2"/>
  <c r="GE153" i="2"/>
  <c r="GE154" i="2"/>
  <c r="GE39" i="2"/>
  <c r="GE51" i="2"/>
  <c r="GE124" i="2"/>
  <c r="GE159" i="2"/>
  <c r="GE181" i="2"/>
  <c r="GE187" i="2"/>
  <c r="GE104" i="2"/>
  <c r="GE111" i="2"/>
  <c r="GE20" i="2"/>
  <c r="GE49" i="2"/>
  <c r="GE106" i="2"/>
  <c r="GE97" i="2"/>
  <c r="GE196" i="2"/>
  <c r="GE40" i="2"/>
  <c r="GE53" i="2"/>
  <c r="GE69" i="2"/>
  <c r="GE100" i="2"/>
  <c r="GE162" i="2"/>
  <c r="GE90" i="2"/>
  <c r="GE44" i="2"/>
  <c r="GE119" i="2"/>
  <c r="GE66" i="2"/>
  <c r="GE91" i="2"/>
  <c r="GE193" i="2"/>
  <c r="GE92" i="2"/>
  <c r="GE54" i="2"/>
  <c r="GE17" i="2"/>
  <c r="GE116" i="2"/>
  <c r="GE84" i="2"/>
  <c r="GE47" i="2"/>
  <c r="GE37" i="2"/>
  <c r="GE31" i="2"/>
  <c r="GE76" i="2"/>
  <c r="GE52" i="2"/>
  <c r="GE180" i="2"/>
  <c r="GE170" i="2"/>
  <c r="GE29" i="2"/>
  <c r="GE139" i="2"/>
  <c r="GE173" i="2"/>
  <c r="GE147" i="2"/>
  <c r="GE145" i="2"/>
  <c r="GE101" i="2"/>
  <c r="GE155" i="2"/>
  <c r="GE80" i="2"/>
  <c r="GE186" i="2"/>
  <c r="GE55" i="2"/>
  <c r="GE189" i="2"/>
  <c r="GE191" i="2"/>
  <c r="GE182" i="2"/>
  <c r="GE199" i="2"/>
  <c r="GE152" i="2"/>
  <c r="GE118" i="2"/>
  <c r="GE72" i="2"/>
  <c r="GE103" i="2"/>
  <c r="GE34" i="2"/>
  <c r="GE174" i="2"/>
  <c r="GE67" i="2"/>
  <c r="GE158" i="2"/>
  <c r="GE50" i="2"/>
  <c r="GE129" i="2"/>
  <c r="GE77" i="2"/>
  <c r="GE58" i="2"/>
  <c r="GE73" i="2"/>
  <c r="GE19" i="2"/>
  <c r="GE68" i="2"/>
  <c r="GE132" i="2"/>
  <c r="GE163" i="2"/>
  <c r="GE194" i="2"/>
  <c r="GE127" i="2"/>
  <c r="GE110" i="2"/>
  <c r="GE81" i="2"/>
  <c r="GE123" i="2"/>
  <c r="GE13" i="2"/>
  <c r="GE87" i="2"/>
  <c r="GE86" i="2"/>
  <c r="GE8" i="2"/>
  <c r="GE165" i="2"/>
  <c r="GE190" i="2"/>
  <c r="GE150" i="2"/>
  <c r="GE160" i="2"/>
  <c r="GE177" i="2"/>
  <c r="GE5" i="2"/>
  <c r="GE172" i="2"/>
  <c r="GE202" i="2"/>
  <c r="GE143" i="2"/>
  <c r="GE89" i="2"/>
  <c r="GE93" i="2"/>
  <c r="GE157" i="2"/>
  <c r="GE26" i="2"/>
  <c r="GE185" i="2"/>
  <c r="GE141" i="2"/>
  <c r="GE109" i="2"/>
  <c r="GE46" i="2"/>
  <c r="GE179" i="2"/>
  <c r="GE96" i="2"/>
  <c r="GE10" i="2"/>
  <c r="GE114" i="2"/>
  <c r="GE120" i="2"/>
  <c r="GE9" i="2"/>
  <c r="GE136" i="2"/>
  <c r="GE27" i="2"/>
  <c r="GE45" i="2"/>
  <c r="GE6" i="2"/>
  <c r="GE63" i="2"/>
  <c r="GE83" i="2"/>
  <c r="GE65" i="2"/>
  <c r="GE75" i="2"/>
  <c r="GE133" i="2"/>
  <c r="GE108" i="2"/>
  <c r="GE107" i="2"/>
  <c r="GE131" i="2"/>
  <c r="GE14" i="2"/>
  <c r="GE148" i="2"/>
  <c r="GE113" i="2"/>
  <c r="GE71" i="2"/>
  <c r="GE138" i="2"/>
  <c r="GE192" i="2"/>
  <c r="GE22" i="2"/>
  <c r="GE195" i="2"/>
  <c r="GE59" i="2"/>
  <c r="GE23" i="2"/>
  <c r="GE79" i="2"/>
  <c r="GE198" i="2"/>
  <c r="GE25" i="2"/>
  <c r="GE175" i="2"/>
  <c r="GE64" i="2"/>
  <c r="GE176" i="2"/>
  <c r="GE16" i="2"/>
  <c r="GE21" i="2"/>
  <c r="GE142" i="2"/>
  <c r="GE82" i="2"/>
  <c r="GE178" i="2"/>
  <c r="GE121" i="2"/>
  <c r="GE140" i="2"/>
  <c r="GE144" i="2"/>
  <c r="GE94" i="2"/>
  <c r="GE197" i="2"/>
  <c r="GE167" i="2"/>
  <c r="GE203" i="2"/>
  <c r="GE70" i="2"/>
  <c r="GE115" i="2"/>
  <c r="GE164" i="2"/>
  <c r="GE30" i="2"/>
  <c r="GE146" i="2"/>
  <c r="GE98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CD166" i="2" l="1"/>
  <c r="CD24" i="2"/>
  <c r="CD100" i="2"/>
  <c r="CD97" i="2"/>
  <c r="CD50" i="2"/>
  <c r="CD93" i="2"/>
  <c r="CD65" i="2"/>
  <c r="CD35" i="2"/>
  <c r="CD126" i="2"/>
  <c r="CD59" i="2"/>
  <c r="CD177" i="2"/>
  <c r="CD171" i="2"/>
  <c r="CD23" i="2"/>
  <c r="CD74" i="2"/>
  <c r="CD28" i="2"/>
  <c r="CD142" i="2"/>
  <c r="CD155" i="2"/>
  <c r="CD55" i="2"/>
  <c r="CD37" i="2"/>
  <c r="CD193" i="2"/>
  <c r="CD152" i="2"/>
  <c r="CD130" i="2"/>
  <c r="CD139" i="2"/>
  <c r="CD31" i="2"/>
  <c r="CD54" i="2"/>
  <c r="CD92" i="2"/>
  <c r="CD62" i="2"/>
  <c r="CD119" i="2"/>
  <c r="CD34" i="2"/>
  <c r="CD39" i="2"/>
  <c r="CD179" i="2"/>
  <c r="CD151" i="2"/>
  <c r="CD106" i="2"/>
  <c r="CD53" i="2"/>
  <c r="CD69" i="2"/>
  <c r="CD7" i="2"/>
  <c r="CD184" i="2"/>
  <c r="CD90" i="2"/>
  <c r="CD195" i="2"/>
  <c r="CD187" i="2"/>
  <c r="CD70" i="2"/>
  <c r="CD109" i="2"/>
  <c r="CD186" i="2"/>
  <c r="CD95" i="2"/>
  <c r="CD147" i="2"/>
  <c r="CD61" i="2"/>
  <c r="CD51" i="2"/>
  <c r="CD157" i="2"/>
  <c r="CD116" i="2"/>
  <c r="CD131" i="2"/>
  <c r="CD199" i="2"/>
  <c r="CD169" i="2"/>
  <c r="CD16" i="2"/>
  <c r="CD175" i="2"/>
  <c r="CD201" i="2"/>
  <c r="CD91" i="2"/>
  <c r="CD78" i="2"/>
  <c r="CD153" i="2"/>
  <c r="CD167" i="2"/>
  <c r="CD112" i="2"/>
  <c r="CD81" i="2"/>
  <c r="CD8" i="2"/>
  <c r="CD148" i="2"/>
  <c r="CD44" i="2"/>
  <c r="CD87" i="2"/>
  <c r="CD13" i="2"/>
  <c r="CD138" i="2"/>
  <c r="CD89" i="2"/>
  <c r="CD57" i="2"/>
  <c r="CD63" i="2"/>
  <c r="CD192" i="2"/>
  <c r="CD10" i="2"/>
  <c r="CD122" i="2"/>
  <c r="CD88" i="2"/>
  <c r="CD172" i="2"/>
  <c r="CD60" i="2"/>
  <c r="CD183" i="2"/>
  <c r="CD202" i="2"/>
  <c r="CD15" i="2"/>
  <c r="CD124" i="2"/>
  <c r="CD162" i="2"/>
  <c r="CD48" i="2"/>
  <c r="CD11" i="2"/>
  <c r="CD19" i="2"/>
  <c r="CD82" i="2"/>
  <c r="CD102" i="2"/>
  <c r="CD197" i="2"/>
  <c r="CD80" i="2"/>
  <c r="CD21" i="2"/>
  <c r="CD85" i="2"/>
  <c r="CD181" i="2"/>
  <c r="CD58" i="2"/>
  <c r="CD113" i="2"/>
  <c r="CD64" i="2"/>
  <c r="CD188" i="2"/>
  <c r="CD84" i="2"/>
  <c r="CD25" i="2"/>
  <c r="CD196" i="2"/>
  <c r="CD127" i="2"/>
  <c r="CD71" i="2"/>
  <c r="CD143" i="2"/>
  <c r="CD203" i="2"/>
  <c r="CD178" i="2"/>
  <c r="CD72" i="2"/>
  <c r="CD46" i="2"/>
  <c r="CD200" i="2"/>
  <c r="CD79" i="2"/>
  <c r="CD12" i="2"/>
  <c r="CD41" i="2"/>
  <c r="CD56" i="2"/>
  <c r="CD136" i="2"/>
  <c r="CD110" i="2"/>
  <c r="CD191" i="2"/>
  <c r="CD154" i="2"/>
  <c r="CD140" i="2"/>
  <c r="CD20" i="2"/>
  <c r="CD9" i="2"/>
  <c r="CD103" i="2"/>
  <c r="CD198" i="2"/>
  <c r="CD128" i="2"/>
  <c r="CD26" i="2"/>
  <c r="CD160" i="2"/>
  <c r="CD5" i="2"/>
  <c r="CD134" i="2"/>
  <c r="CD77" i="2"/>
  <c r="CD161" i="2"/>
  <c r="CD17" i="2"/>
  <c r="CD101" i="2"/>
  <c r="CD76" i="2"/>
  <c r="CD168" i="2"/>
  <c r="CD94" i="2"/>
  <c r="CD6" i="2"/>
  <c r="CD18" i="2"/>
  <c r="CD120" i="2"/>
  <c r="CD173" i="2"/>
  <c r="CD22" i="2"/>
  <c r="CD32" i="2"/>
  <c r="CD38" i="2"/>
  <c r="CD132" i="2"/>
  <c r="CD133" i="2"/>
  <c r="CD156" i="2"/>
  <c r="CD189" i="2"/>
  <c r="CD66" i="2"/>
  <c r="CD68" i="2"/>
  <c r="CD107" i="2"/>
  <c r="CD86" i="2"/>
  <c r="CD135" i="2"/>
  <c r="CD36" i="2"/>
  <c r="CD158" i="2"/>
  <c r="CD43" i="2"/>
  <c r="CD164" i="2"/>
  <c r="CD96" i="2"/>
  <c r="CD163" i="2"/>
  <c r="CD45" i="2"/>
  <c r="CD29" i="2"/>
  <c r="CD150" i="2"/>
  <c r="CD114" i="2"/>
  <c r="CD176" i="2"/>
  <c r="CD67" i="2"/>
  <c r="CD117" i="2"/>
  <c r="CD121" i="2"/>
  <c r="CD137" i="2"/>
  <c r="CD141" i="2"/>
  <c r="CD146" i="2"/>
  <c r="CD4" i="2"/>
  <c r="CD75" i="2"/>
  <c r="CD33" i="2"/>
  <c r="CD105" i="2"/>
  <c r="CD115" i="2"/>
  <c r="CD27" i="2"/>
  <c r="CD30" i="2"/>
  <c r="CD180" i="2"/>
  <c r="CD165" i="2"/>
  <c r="CD170" i="2"/>
  <c r="CD42" i="2"/>
  <c r="CD99" i="2"/>
  <c r="CD145" i="2"/>
  <c r="CD159" i="2"/>
  <c r="CD118" i="2"/>
  <c r="CD73" i="2"/>
  <c r="CD185" i="2"/>
  <c r="CD83" i="2"/>
  <c r="CD108" i="2"/>
  <c r="CD149" i="2"/>
  <c r="CD52" i="2"/>
  <c r="CD144" i="2"/>
  <c r="CD174" i="2"/>
  <c r="CD129" i="2"/>
  <c r="CD123" i="2"/>
  <c r="CD47" i="2"/>
  <c r="CD194" i="2"/>
  <c r="CD190" i="2"/>
  <c r="CD125" i="2"/>
  <c r="CD3" i="2"/>
  <c r="C9" i="4" s="1"/>
  <c r="E9" i="4" s="1"/>
  <c r="F9" i="4" s="1"/>
  <c r="G9" i="4" s="1"/>
  <c r="L9" i="4" s="1"/>
  <c r="CD182" i="2"/>
  <c r="CD104" i="2"/>
  <c r="CD14" i="2"/>
  <c r="CD49" i="2"/>
  <c r="CD98" i="2"/>
  <c r="CD40" i="2"/>
  <c r="CD111" i="2"/>
  <c r="FE115" i="2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CY24" i="2" l="1"/>
  <c r="CY191" i="2"/>
  <c r="CY89" i="2"/>
  <c r="CY104" i="2"/>
  <c r="CY63" i="2"/>
  <c r="CY50" i="2"/>
  <c r="CY111" i="2"/>
  <c r="CY162" i="2"/>
  <c r="CY18" i="2"/>
  <c r="CY181" i="2"/>
  <c r="CY188" i="2"/>
  <c r="CY11" i="2"/>
  <c r="CY13" i="2"/>
  <c r="CY80" i="2"/>
  <c r="CY122" i="2"/>
  <c r="CY180" i="2"/>
  <c r="CY112" i="2"/>
  <c r="CY194" i="2"/>
  <c r="CY39" i="2"/>
  <c r="CY140" i="2"/>
  <c r="CY31" i="2"/>
  <c r="CY79" i="2"/>
  <c r="CY190" i="2"/>
  <c r="CY76" i="2"/>
  <c r="CY103" i="2"/>
  <c r="CY64" i="2"/>
  <c r="CY88" i="2"/>
  <c r="CY184" i="2"/>
  <c r="CY150" i="2"/>
  <c r="CY176" i="2"/>
  <c r="CY9" i="2"/>
  <c r="CY195" i="2"/>
  <c r="CY170" i="2"/>
  <c r="CY177" i="2"/>
  <c r="CY165" i="2"/>
  <c r="CY163" i="2"/>
  <c r="CY151" i="2"/>
  <c r="CY5" i="2"/>
  <c r="CY178" i="2"/>
  <c r="CY74" i="2"/>
  <c r="CY27" i="2"/>
  <c r="CY77" i="2"/>
  <c r="CY84" i="2"/>
  <c r="CY201" i="2"/>
  <c r="CY101" i="2"/>
  <c r="CY94" i="2"/>
  <c r="CY203" i="2"/>
  <c r="CY44" i="2"/>
  <c r="CY14" i="2"/>
  <c r="CY141" i="2"/>
  <c r="CY6" i="2"/>
  <c r="CY3" i="2"/>
  <c r="C10" i="4" s="1"/>
  <c r="E10" i="4" s="1"/>
  <c r="F10" i="4" s="1"/>
  <c r="G10" i="4" s="1"/>
  <c r="L10" i="4" s="1"/>
  <c r="CY108" i="2"/>
  <c r="CY87" i="2"/>
  <c r="CY171" i="2"/>
  <c r="CY61" i="2"/>
  <c r="CY117" i="2"/>
  <c r="CY128" i="2"/>
  <c r="CY105" i="2"/>
  <c r="CY99" i="2"/>
  <c r="CY57" i="2"/>
  <c r="CY97" i="2"/>
  <c r="CY125" i="2"/>
  <c r="CY139" i="2"/>
  <c r="CY126" i="2"/>
  <c r="CY56" i="2"/>
  <c r="CY144" i="2"/>
  <c r="CY32" i="2"/>
  <c r="CY119" i="2"/>
  <c r="CY120" i="2"/>
  <c r="CY164" i="2"/>
  <c r="CY67" i="2"/>
  <c r="CY81" i="2"/>
  <c r="CY69" i="2"/>
  <c r="CY192" i="2"/>
  <c r="CY75" i="2"/>
  <c r="CY33" i="2"/>
  <c r="CY95" i="2"/>
  <c r="CY70" i="2"/>
  <c r="CY37" i="2"/>
  <c r="CY15" i="2"/>
  <c r="CY29" i="2"/>
  <c r="CY198" i="2"/>
  <c r="CY134" i="2"/>
  <c r="CY199" i="2"/>
  <c r="CY34" i="2"/>
  <c r="CY196" i="2"/>
  <c r="CY138" i="2"/>
  <c r="CY109" i="2"/>
  <c r="CY173" i="2"/>
  <c r="CY127" i="2"/>
  <c r="CY132" i="2"/>
  <c r="CY116" i="2"/>
  <c r="CY45" i="2"/>
  <c r="CY172" i="2"/>
  <c r="CY48" i="2"/>
  <c r="CY7" i="2"/>
  <c r="CY148" i="2"/>
  <c r="CY179" i="2"/>
  <c r="CY121" i="2"/>
  <c r="CY35" i="2"/>
  <c r="CY73" i="2"/>
  <c r="CY54" i="2"/>
  <c r="CY159" i="2"/>
  <c r="CY93" i="2"/>
  <c r="CY49" i="2"/>
  <c r="CY92" i="2"/>
  <c r="CY38" i="2"/>
  <c r="CY59" i="2"/>
  <c r="CY40" i="2"/>
  <c r="CY131" i="2"/>
  <c r="CY110" i="2"/>
  <c r="CY183" i="2"/>
  <c r="CY28" i="2"/>
  <c r="CY182" i="2"/>
  <c r="CY60" i="2"/>
  <c r="CY161" i="2"/>
  <c r="CY114" i="2"/>
  <c r="CY136" i="2"/>
  <c r="CY68" i="2"/>
  <c r="CY167" i="2"/>
  <c r="CY51" i="2"/>
  <c r="CY200" i="2"/>
  <c r="CY90" i="2"/>
  <c r="CY4" i="2"/>
  <c r="CY19" i="2"/>
  <c r="CY20" i="2"/>
  <c r="CY202" i="2"/>
  <c r="CY154" i="2"/>
  <c r="CY149" i="2"/>
  <c r="CY153" i="2"/>
  <c r="CY155" i="2"/>
  <c r="CY30" i="2"/>
  <c r="CY86" i="2"/>
  <c r="CY26" i="2"/>
  <c r="CY135" i="2"/>
  <c r="CY142" i="2"/>
  <c r="CY185" i="2"/>
  <c r="CY147" i="2"/>
  <c r="CY143" i="2"/>
  <c r="CY102" i="2"/>
  <c r="CY91" i="2"/>
  <c r="CY42" i="2"/>
  <c r="CY17" i="2"/>
  <c r="CY71" i="2"/>
  <c r="CY22" i="2"/>
  <c r="CY53" i="2"/>
  <c r="CY21" i="2"/>
  <c r="CY41" i="2"/>
  <c r="CY25" i="2"/>
  <c r="CY175" i="2"/>
  <c r="CY10" i="2"/>
  <c r="CY23" i="2"/>
  <c r="CY55" i="2"/>
  <c r="CY85" i="2"/>
  <c r="CY123" i="2"/>
  <c r="CY52" i="2"/>
  <c r="CY78" i="2"/>
  <c r="CY193" i="2"/>
  <c r="CY46" i="2"/>
  <c r="CY168" i="2"/>
  <c r="CY98" i="2"/>
  <c r="CY96" i="2"/>
  <c r="CY137" i="2"/>
  <c r="CY158" i="2"/>
  <c r="CY8" i="2"/>
  <c r="CY197" i="2"/>
  <c r="CY107" i="2"/>
  <c r="CY187" i="2"/>
  <c r="CY106" i="2"/>
  <c r="CY47" i="2"/>
  <c r="CY174" i="2"/>
  <c r="CY169" i="2"/>
  <c r="CY133" i="2"/>
  <c r="CY146" i="2"/>
  <c r="CY129" i="2"/>
  <c r="CY113" i="2"/>
  <c r="CY58" i="2"/>
  <c r="CY160" i="2"/>
  <c r="CY186" i="2"/>
  <c r="CY118" i="2"/>
  <c r="CY145" i="2"/>
  <c r="CY124" i="2"/>
  <c r="CY189" i="2"/>
  <c r="CY156" i="2"/>
  <c r="CY36" i="2"/>
  <c r="CY16" i="2"/>
  <c r="CY166" i="2"/>
  <c r="CY157" i="2"/>
  <c r="CY66" i="2"/>
  <c r="CY83" i="2"/>
  <c r="CY62" i="2"/>
  <c r="CY100" i="2"/>
  <c r="CY115" i="2"/>
  <c r="CY152" i="2"/>
  <c r="CY72" i="2"/>
  <c r="CY12" i="2"/>
  <c r="CY65" i="2"/>
  <c r="CY43" i="2"/>
  <c r="CY82" i="2"/>
  <c r="CY130" i="2"/>
  <c r="FE135" i="2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DT178" i="2" l="1"/>
  <c r="DT180" i="2"/>
  <c r="DT186" i="2"/>
  <c r="DT196" i="2"/>
  <c r="DT26" i="2"/>
  <c r="DT169" i="2"/>
  <c r="DT72" i="2"/>
  <c r="DT161" i="2"/>
  <c r="DT199" i="2"/>
  <c r="DT55" i="2"/>
  <c r="DT162" i="2"/>
  <c r="DT160" i="2"/>
  <c r="DT121" i="2"/>
  <c r="DT43" i="2"/>
  <c r="DT190" i="2"/>
  <c r="DT124" i="2"/>
  <c r="DT193" i="2"/>
  <c r="DT53" i="2"/>
  <c r="DT188" i="2"/>
  <c r="DT37" i="2"/>
  <c r="DT38" i="2"/>
  <c r="DT100" i="2"/>
  <c r="DT16" i="2"/>
  <c r="DT48" i="2"/>
  <c r="DT81" i="2"/>
  <c r="DT137" i="2"/>
  <c r="DT7" i="2"/>
  <c r="DT158" i="2"/>
  <c r="DT125" i="2"/>
  <c r="DT175" i="2"/>
  <c r="DT6" i="2"/>
  <c r="DT191" i="2"/>
  <c r="DT61" i="2"/>
  <c r="DT59" i="2"/>
  <c r="DT47" i="2"/>
  <c r="DT198" i="2"/>
  <c r="DT113" i="2"/>
  <c r="DT66" i="2"/>
  <c r="DT144" i="2"/>
  <c r="DT156" i="2"/>
  <c r="DT146" i="2"/>
  <c r="DT29" i="2"/>
  <c r="DT129" i="2"/>
  <c r="DT79" i="2"/>
  <c r="DT49" i="2"/>
  <c r="DT153" i="2"/>
  <c r="DT82" i="2"/>
  <c r="DT194" i="2"/>
  <c r="DT89" i="2"/>
  <c r="DT95" i="2"/>
  <c r="DT197" i="2"/>
  <c r="DT108" i="2"/>
  <c r="DT150" i="2"/>
  <c r="DT50" i="2"/>
  <c r="DT141" i="2"/>
  <c r="DT80" i="2"/>
  <c r="DT168" i="2"/>
  <c r="DT152" i="2"/>
  <c r="DT98" i="2"/>
  <c r="DT109" i="2"/>
  <c r="DT165" i="2"/>
  <c r="DT114" i="2"/>
  <c r="DT60" i="2"/>
  <c r="DT15" i="2"/>
  <c r="DT123" i="2"/>
  <c r="DT120" i="2"/>
  <c r="DT27" i="2"/>
  <c r="DT85" i="2"/>
  <c r="DT31" i="2"/>
  <c r="DT51" i="2"/>
  <c r="DT130" i="2"/>
  <c r="DT32" i="2"/>
  <c r="DT91" i="2"/>
  <c r="DT56" i="2"/>
  <c r="DT10" i="2"/>
  <c r="DT116" i="2"/>
  <c r="DT99" i="2"/>
  <c r="DT42" i="2"/>
  <c r="DT12" i="2"/>
  <c r="DT170" i="2"/>
  <c r="DT159" i="2"/>
  <c r="DT147" i="2"/>
  <c r="DT30" i="2"/>
  <c r="DT25" i="2"/>
  <c r="DT189" i="2"/>
  <c r="DT21" i="2"/>
  <c r="DT20" i="2"/>
  <c r="DT136" i="2"/>
  <c r="DT107" i="2"/>
  <c r="DT93" i="2"/>
  <c r="DT45" i="2"/>
  <c r="DT14" i="2"/>
  <c r="DT4" i="2"/>
  <c r="DT154" i="2"/>
  <c r="DT201" i="2"/>
  <c r="DT44" i="2"/>
  <c r="DT182" i="2"/>
  <c r="DT155" i="2"/>
  <c r="DT70" i="2"/>
  <c r="DT167" i="2"/>
  <c r="DT8" i="2"/>
  <c r="DT96" i="2"/>
  <c r="DT126" i="2"/>
  <c r="DT52" i="2"/>
  <c r="DT22" i="2"/>
  <c r="DT142" i="2"/>
  <c r="DT86" i="2"/>
  <c r="DT62" i="2"/>
  <c r="DT46" i="2"/>
  <c r="DT84" i="2"/>
  <c r="DT5" i="2"/>
  <c r="DT24" i="2"/>
  <c r="DT173" i="2"/>
  <c r="DT132" i="2"/>
  <c r="DT67" i="2"/>
  <c r="DT163" i="2"/>
  <c r="DT58" i="2"/>
  <c r="DT83" i="2"/>
  <c r="DT133" i="2"/>
  <c r="DT28" i="2"/>
  <c r="DT122" i="2"/>
  <c r="DT174" i="2"/>
  <c r="DT74" i="2"/>
  <c r="DT184" i="2"/>
  <c r="DT36" i="2"/>
  <c r="DT110" i="2"/>
  <c r="DT106" i="2"/>
  <c r="DT143" i="2"/>
  <c r="DT39" i="2"/>
  <c r="DT97" i="2"/>
  <c r="DT187" i="2"/>
  <c r="DT192" i="2"/>
  <c r="DT157" i="2"/>
  <c r="DT101" i="2"/>
  <c r="DT11" i="2"/>
  <c r="DT103" i="2"/>
  <c r="DT131" i="2"/>
  <c r="DT68" i="2"/>
  <c r="DT139" i="2"/>
  <c r="DT65" i="2"/>
  <c r="DT138" i="2"/>
  <c r="DT40" i="2"/>
  <c r="DT9" i="2"/>
  <c r="DT128" i="2"/>
  <c r="DT183" i="2"/>
  <c r="DT115" i="2"/>
  <c r="DT102" i="2"/>
  <c r="DT19" i="2"/>
  <c r="DT54" i="2"/>
  <c r="DT179" i="2"/>
  <c r="DT34" i="2"/>
  <c r="DT195" i="2"/>
  <c r="DT149" i="2"/>
  <c r="DT104" i="2"/>
  <c r="DT17" i="2"/>
  <c r="DT140" i="2"/>
  <c r="DT94" i="2"/>
  <c r="DT145" i="2"/>
  <c r="DT135" i="2"/>
  <c r="DT151" i="2"/>
  <c r="DT71" i="2"/>
  <c r="DT105" i="2"/>
  <c r="DT112" i="2"/>
  <c r="DT203" i="2"/>
  <c r="DT90" i="2"/>
  <c r="DT75" i="2"/>
  <c r="DT202" i="2"/>
  <c r="DT166" i="2"/>
  <c r="DT88" i="2"/>
  <c r="DT73" i="2"/>
  <c r="DT111" i="2"/>
  <c r="DT148" i="2"/>
  <c r="DT76" i="2"/>
  <c r="DT23" i="2"/>
  <c r="DT164" i="2"/>
  <c r="DT77" i="2"/>
  <c r="DT118" i="2"/>
  <c r="DT176" i="2"/>
  <c r="DT35" i="2"/>
  <c r="DT117" i="2"/>
  <c r="DT33" i="2"/>
  <c r="DT134" i="2"/>
  <c r="DT13" i="2"/>
  <c r="DT92" i="2"/>
  <c r="DT127" i="2"/>
  <c r="DT41" i="2"/>
  <c r="DT185" i="2"/>
  <c r="DT78" i="2"/>
  <c r="DT87" i="2"/>
  <c r="DT119" i="2"/>
  <c r="DT64" i="2"/>
  <c r="DT181" i="2"/>
  <c r="DT69" i="2"/>
  <c r="DT57" i="2"/>
  <c r="DT172" i="2"/>
  <c r="DT177" i="2"/>
  <c r="DT18" i="2"/>
  <c r="DT63" i="2"/>
  <c r="DT171" i="2"/>
  <c r="DT200" i="2"/>
  <c r="DT3" i="2"/>
  <c r="C11" i="4" s="1"/>
  <c r="E11" i="4" s="1"/>
  <c r="F11" i="4" s="1"/>
  <c r="G11" i="4" s="1"/>
  <c r="L11" i="4" s="1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47" i="2" l="1"/>
  <c r="BI89" i="2"/>
  <c r="BI177" i="2"/>
  <c r="BI167" i="2"/>
  <c r="BI37" i="2"/>
  <c r="BI170" i="2"/>
  <c r="BI142" i="2"/>
  <c r="BI174" i="2"/>
  <c r="BI104" i="2"/>
  <c r="BI27" i="2"/>
  <c r="BI135" i="2"/>
  <c r="BI42" i="2"/>
  <c r="BI155" i="2"/>
  <c r="BI35" i="2"/>
  <c r="BI105" i="2"/>
  <c r="BI165" i="2"/>
  <c r="BI168" i="2"/>
  <c r="BI130" i="2"/>
  <c r="BI197" i="2"/>
  <c r="BI84" i="2"/>
  <c r="BI26" i="2"/>
  <c r="BI81" i="2"/>
  <c r="BI163" i="2"/>
  <c r="BI79" i="2"/>
  <c r="BI95" i="2"/>
  <c r="BI16" i="2"/>
  <c r="BI33" i="2"/>
  <c r="BI64" i="2"/>
  <c r="BI107" i="2"/>
  <c r="BI45" i="2"/>
  <c r="BI193" i="2"/>
  <c r="BI20" i="2"/>
  <c r="BI123" i="2"/>
  <c r="BI54" i="2"/>
  <c r="BI32" i="2"/>
  <c r="BI158" i="2"/>
  <c r="BI49" i="2"/>
  <c r="BI152" i="2"/>
  <c r="BI31" i="2"/>
  <c r="BI110" i="2"/>
  <c r="BI86" i="2"/>
  <c r="BI18" i="2"/>
  <c r="BI198" i="2"/>
  <c r="BI11" i="2"/>
  <c r="BI137" i="2"/>
  <c r="BI162" i="2"/>
  <c r="BI149" i="2"/>
  <c r="BI147" i="2"/>
  <c r="BI145" i="2"/>
  <c r="BI128" i="2"/>
  <c r="BI59" i="2"/>
  <c r="BI100" i="2"/>
  <c r="BI180" i="2"/>
  <c r="BI112" i="2"/>
  <c r="BI188" i="2"/>
  <c r="BI120" i="2"/>
  <c r="BI187" i="2"/>
  <c r="BI172" i="2"/>
  <c r="BI103" i="2"/>
  <c r="BI24" i="2"/>
  <c r="BI92" i="2"/>
  <c r="BI94" i="2"/>
  <c r="BI186" i="2"/>
  <c r="BI160" i="2"/>
  <c r="BI185" i="2"/>
  <c r="BI157" i="2"/>
  <c r="BI51" i="2"/>
  <c r="BI146" i="2"/>
  <c r="BI144" i="2"/>
  <c r="BI21" i="2"/>
  <c r="BI183" i="2"/>
  <c r="BI99" i="2"/>
  <c r="BI124" i="2"/>
  <c r="BI78" i="2"/>
  <c r="BI7" i="2"/>
  <c r="BI75" i="2"/>
  <c r="BI40" i="2"/>
  <c r="BI14" i="2"/>
  <c r="BI73" i="2"/>
  <c r="BI192" i="2"/>
  <c r="BI175" i="2"/>
  <c r="BI129" i="2"/>
  <c r="BI156" i="2"/>
  <c r="BI159" i="2"/>
  <c r="BI5" i="2"/>
  <c r="BI66" i="2"/>
  <c r="BI98" i="2"/>
  <c r="BI133" i="2"/>
  <c r="BI136" i="2"/>
  <c r="BI106" i="2"/>
  <c r="BI68" i="2"/>
  <c r="BI3" i="2"/>
  <c r="C8" i="4" s="1"/>
  <c r="E8" i="4" s="1"/>
  <c r="F8" i="4" s="1"/>
  <c r="G8" i="4" s="1"/>
  <c r="L8" i="4" s="1"/>
  <c r="BI127" i="2"/>
  <c r="BI116" i="2"/>
  <c r="BI184" i="2"/>
  <c r="BI97" i="2"/>
  <c r="BI132" i="2"/>
  <c r="BI131" i="2"/>
  <c r="BI181" i="2"/>
  <c r="BI38" i="2"/>
  <c r="BI111" i="2"/>
  <c r="BI101" i="2"/>
  <c r="BI119" i="2"/>
  <c r="BI166" i="2"/>
  <c r="BI196" i="2"/>
  <c r="BI83" i="2"/>
  <c r="BI148" i="2"/>
  <c r="BI91" i="2"/>
  <c r="BI139" i="2"/>
  <c r="BI138" i="2"/>
  <c r="BI9" i="2"/>
  <c r="BI46" i="2"/>
  <c r="BI69" i="2"/>
  <c r="BI176" i="2"/>
  <c r="BI108" i="2"/>
  <c r="BI29" i="2"/>
  <c r="BI71" i="2"/>
  <c r="BI164" i="2"/>
  <c r="BI115" i="2"/>
  <c r="BI55" i="2"/>
  <c r="BI126" i="2"/>
  <c r="BI58" i="2"/>
  <c r="BI72" i="2"/>
  <c r="BI74" i="2"/>
  <c r="BI102" i="2"/>
  <c r="BI22" i="2"/>
  <c r="BI113" i="2"/>
  <c r="BI52" i="2"/>
  <c r="BI182" i="2"/>
  <c r="BI43" i="2"/>
  <c r="BI77" i="2"/>
  <c r="BI109" i="2"/>
  <c r="BI85" i="2"/>
  <c r="BI23" i="2"/>
  <c r="BI140" i="2"/>
  <c r="BI189" i="2"/>
  <c r="BI199" i="2"/>
  <c r="BI171" i="2"/>
  <c r="BI28" i="2"/>
  <c r="BI10" i="2"/>
  <c r="BI122" i="2"/>
  <c r="BI39" i="2"/>
  <c r="BI25" i="2"/>
  <c r="BI36" i="2"/>
  <c r="BI12" i="2"/>
  <c r="BI62" i="2"/>
  <c r="BI60" i="2"/>
  <c r="BI41" i="2"/>
  <c r="BI34" i="2"/>
  <c r="BI153" i="2"/>
  <c r="BI118" i="2"/>
  <c r="BI179" i="2"/>
  <c r="BI30" i="2"/>
  <c r="BI161" i="2"/>
  <c r="BI80" i="2"/>
  <c r="BI48" i="2"/>
  <c r="BI202" i="2"/>
  <c r="BI141" i="2"/>
  <c r="BI200" i="2"/>
  <c r="BI151" i="2"/>
  <c r="BI63" i="2"/>
  <c r="BI65" i="2"/>
  <c r="BI173" i="2"/>
  <c r="BI13" i="2"/>
  <c r="BI76" i="2"/>
  <c r="BI17" i="2"/>
  <c r="BI61" i="2"/>
  <c r="BI96" i="2"/>
  <c r="BI114" i="2"/>
  <c r="BI194" i="2"/>
  <c r="BI134" i="2"/>
  <c r="BI87" i="2"/>
  <c r="BI190" i="2"/>
  <c r="BI44" i="2"/>
  <c r="BI15" i="2"/>
  <c r="BI195" i="2"/>
  <c r="BI67" i="2"/>
  <c r="BI201" i="2"/>
  <c r="BI154" i="2"/>
  <c r="BI57" i="2"/>
  <c r="BI178" i="2"/>
  <c r="BI53" i="2"/>
  <c r="BI169" i="2"/>
  <c r="BI191" i="2"/>
  <c r="BI125" i="2"/>
  <c r="BI6" i="2"/>
  <c r="BI117" i="2"/>
  <c r="BI121" i="2"/>
  <c r="BI143" i="2"/>
  <c r="BI8" i="2"/>
  <c r="BI50" i="2"/>
  <c r="BI70" i="2"/>
  <c r="BI82" i="2"/>
  <c r="BI150" i="2"/>
  <c r="BI90" i="2"/>
  <c r="BI88" i="2"/>
  <c r="BI19" i="2"/>
  <c r="BI56" i="2"/>
  <c r="BI93" i="2"/>
  <c r="BI203" i="2"/>
  <c r="BI4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<sst xmlns="http://schemas.openxmlformats.org/spreadsheetml/2006/main" count="1189" uniqueCount="332">
  <si>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</si>
  <si>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</si>
  <si>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</si>
  <si>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</si>
  <si>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</si>
  <si>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</si>
  <si>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</si>
  <si>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</si>
  <si>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</si>
  <si>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</si>
  <si>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</si>
  <si>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</si>
  <si>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</si>
  <si>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</si>
  <si>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</si>
  <si>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</si>
  <si>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</si>
  <si>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</si>
  <si>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</si>
  <si>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</si>
  <si>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</si>
  <si>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</si>
  <si>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</si>
  <si>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</si>
  <si>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</si>
  <si>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</si>
  <si>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</si>
  <si>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</si>
  <si>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</si>
  <si>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</si>
  <si>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</si>
  <si>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</si>
  <si>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</si>
  <si>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</si>
  <si>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</si>
  <si>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</si>
  <si>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</si>
  <si>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</si>
  <si>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</si>
  <si>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</si>
  <si>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</si>
  <si>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</si>
  <si>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</si>
  <si>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</si>
  <si>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</si>
  <si>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</si>
  <si>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</si>
  <si>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</si>
  <si>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</si>
  <si>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</si>
  <si>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</si>
  <si>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</si>
  <si>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</si>
  <si>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</si>
  <si>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</si>
  <si>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</si>
  <si>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</si>
  <si>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</si>
  <si>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</si>
  <si>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</si>
  <si>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</si>
  <si>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</si>
  <si>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</si>
  <si>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</si>
  <si>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</si>
  <si>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</si>
  <si>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</si>
  <si>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</si>
  <si>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</si>
  <si>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</si>
  <si>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</si>
  <si>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</si>
  <si>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</si>
  <si>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</si>
  <si>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</si>
  <si>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</si>
  <si>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</si>
  <si>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</si>
  <si>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</si>
  <si>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</si>
  <si>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</si>
  <si>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</si>
  <si>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</si>
  <si>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</si>
  <si>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</si>
  <si>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</si>
  <si>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</si>
  <si>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</si>
  <si>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</si>
  <si>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</si>
  <si>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</si>
  <si>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</si>
  <si>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</si>
  <si>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</si>
  <si>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</si>
  <si>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</si>
  <si>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</si>
  <si>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</si>
  <si>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</si>
  <si>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</si>
  <si>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</si>
  <si>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</si>
  <si>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</si>
  <si>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</si>
  <si>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</si>
  <si>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</si>
  <si>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</si>
  <si>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</si>
  <si>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</si>
  <si>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</si>
  <si>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</si>
  <si>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</si>
  <si>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</si>
  <si>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</si>
  <si>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</si>
  <si>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</si>
  <si>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</si>
  <si>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</si>
  <si>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</si>
  <si>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</si>
  <si>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</si>
  <si>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</si>
  <si>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</si>
  <si>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</si>
  <si>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</si>
  <si>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</si>
  <si>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</si>
  <si>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</si>
  <si>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</si>
  <si>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</si>
  <si>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</si>
  <si>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</si>
  <si>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</si>
  <si>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</si>
  <si>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</si>
  <si>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</si>
  <si>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</si>
  <si>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</si>
  <si>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</si>
  <si>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</si>
  <si>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</si>
  <si>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</si>
  <si>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</si>
  <si>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</si>
  <si>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</si>
  <si>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</si>
  <si>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</si>
  <si>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</si>
  <si>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</si>
  <si>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</si>
  <si>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</si>
  <si>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</si>
  <si>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</si>
  <si>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</si>
  <si>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</si>
  <si>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</si>
  <si>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</si>
  <si>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</si>
  <si>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</si>
  <si>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</si>
  <si>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</si>
  <si>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</si>
  <si>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</si>
  <si>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</si>
  <si>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</si>
  <si>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</si>
  <si>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</si>
  <si>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</si>
  <si>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</si>
  <si>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</si>
  <si>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</si>
  <si>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</si>
  <si>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</si>
  <si>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</si>
  <si>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</si>
  <si>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</si>
  <si>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</si>
  <si>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</si>
  <si>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</si>
  <si>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</si>
  <si>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</si>
  <si>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</si>
  <si>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</si>
  <si>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</si>
  <si>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</si>
  <si>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</si>
  <si>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</si>
  <si>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</si>
  <si>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</si>
  <si>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</si>
  <si>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</si>
  <si>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</si>
  <si>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</si>
  <si>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</si>
  <si>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</si>
  <si>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</si>
  <si>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</si>
  <si>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</si>
  <si>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</si>
  <si>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</si>
  <si>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</si>
  <si>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</si>
  <si>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</si>
  <si>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</si>
  <si>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</si>
  <si>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</si>
  <si>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</si>
  <si>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</si>
  <si>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</si>
  <si>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</si>
  <si>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</si>
  <si>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</si>
  <si>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</si>
  <si>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</si>
  <si>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</si>
  <si>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</si>
  <si>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</si>
  <si>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</si>
  <si>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</si>
  <si>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</si>
  <si>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</si>
  <si>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</si>
  <si>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</si>
  <si>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</si>
  <si>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</si>
  <si>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</si>
  <si>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</si>
  <si>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</si>
  <si>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</si>
  <si>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</si>
  <si>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</si>
  <si>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</si>
  <si>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</si>
  <si>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</si>
  <si>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</si>
  <si>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</si>
  <si>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</si>
  <si>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</si>
  <si>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</si>
  <si>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</si>
  <si>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</si>
  <si>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</si>
  <si>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</si>
  <si>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</si>
  <si>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</si>
  <si>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</si>
  <si>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</si>
  <si>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</si>
  <si>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</si>
  <si>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</si>
  <si>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</si>
  <si>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</si>
  <si>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</si>
  <si>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</si>
  <si>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</si>
  <si>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</si>
  <si>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</si>
  <si>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</si>
  <si>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</si>
  <si>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</si>
  <si>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</si>
  <si>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</si>
  <si>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</si>
  <si>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</si>
  <si>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</si>
  <si>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</si>
  <si>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</si>
  <si>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</si>
  <si>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</si>
  <si>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</si>
  <si>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</si>
  <si>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</si>
  <si>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</si>
  <si>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</si>
  <si>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</si>
  <si>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</si>
  <si>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</si>
  <si>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</si>
  <si>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</si>
  <si>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</si>
  <si>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</si>
  <si>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</si>
  <si>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</si>
  <si>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</si>
  <si>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</si>
  <si>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</si>
  <si>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</si>
  <si>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</si>
  <si>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</si>
  <si>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</si>
  <si>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</si>
  <si>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</si>
  <si>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</si>
  <si>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</si>
  <si>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</si>
  <si>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</si>
  <si>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</si>
  <si>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</si>
  <si>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</si>
  <si>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</si>
  <si>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</si>
  <si>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</si>
  <si>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</si>
  <si>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</si>
  <si>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</si>
  <si>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</si>
  <si>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</si>
  <si>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</si>
  <si>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</si>
  <si>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</si>
  <si>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</si>
  <si>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</si>
  <si>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</si>
  <si>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</si>
  <si>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</si>
  <si>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</si>
  <si>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</si>
  <si>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</si>
  <si>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</si>
  <si>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</si>
  <si>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</si>
  <si>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</si>
  <si>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</si>
  <si>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</si>
  <si>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YC6 [2/3]</t>
  </si>
  <si>
    <t>Classe 10 [3/6]</t>
  </si>
  <si>
    <t>Classe 4 [4/6]</t>
  </si>
  <si>
    <t>Calidad I=II [2/3]</t>
  </si>
  <si>
    <t xml:space="preserve"> </t>
  </si>
  <si>
    <t>ONF F2 [2/3]</t>
  </si>
  <si>
    <t>YC 18 [7/10]</t>
  </si>
  <si>
    <t>bon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</si>
</sst>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sz val="1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32" fillId="0" borderId="0"/>
  </cellStyleXfs>
  <cellXfs count="338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4">
    <cellStyle name="Lien hypertexte" xfId="2" builtinId="8"/>
    <cellStyle name="Normal" xfId="0" builtinId="0"/>
    <cellStyle name="Normal 2" xfId="3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2.0360484678650539</c:v>
                </c:pt>
                <c:pt idx="2">
                  <c:v>2.6732564892559605</c:v>
                </c:pt>
                <c:pt idx="3">
                  <c:v>3.5107063373439913</c:v>
                </c:pt>
                <c:pt idx="4">
                  <c:v>4.6115665173429541</c:v>
                </c:pt>
                <c:pt idx="5">
                  <c:v>6.0590043820974993</c:v>
                </c:pt>
                <c:pt idx="6">
                  <c:v>7.962538733207654</c:v>
                </c:pt>
                <c:pt idx="7">
                  <c:v>10.466416484886262</c:v>
                </c:pt>
                <c:pt idx="8">
                  <c:v>13.760660097642491</c:v>
                </c:pt>
                <c:pt idx="9">
                  <c:v>18.095639642152722</c:v>
                </c:pt>
                <c:pt idx="10">
                  <c:v>23.80129701446997</c:v>
                </c:pt>
                <c:pt idx="11">
                  <c:v>31.312511388641202</c:v>
                </c:pt>
                <c:pt idx="12">
                  <c:v>41.202572754834129</c:v>
                </c:pt>
                <c:pt idx="13">
                  <c:v>54.227361766041078</c:v>
                </c:pt>
                <c:pt idx="14">
                  <c:v>71.383668589285392</c:v>
                </c:pt>
                <c:pt idx="15">
                  <c:v>93.986186481305097</c:v>
                </c:pt>
                <c:pt idx="16">
                  <c:v>123.76917396624582</c:v>
                </c:pt>
                <c:pt idx="17">
                  <c:v>163.02070732605469</c:v>
                </c:pt>
                <c:pt idx="18">
                  <c:v>132.98183441071282</c:v>
                </c:pt>
                <c:pt idx="19">
                  <c:v>156.02067025769352</c:v>
                </c:pt>
                <c:pt idx="20">
                  <c:v>178.97858984538223</c:v>
                </c:pt>
                <c:pt idx="21">
                  <c:v>201.8674445177727</c:v>
                </c:pt>
                <c:pt idx="22">
                  <c:v>224.6961704893466</c:v>
                </c:pt>
                <c:pt idx="23">
                  <c:v>247.47173636577645</c:v>
                </c:pt>
                <c:pt idx="24">
                  <c:v>197.00250389344876</c:v>
                </c:pt>
                <c:pt idx="25">
                  <c:v>221.03853914852459</c:v>
                </c:pt>
                <c:pt idx="26">
                  <c:v>245.01456261029759</c:v>
                </c:pt>
                <c:pt idx="27">
                  <c:v>268.937271707604</c:v>
                </c:pt>
                <c:pt idx="28">
                  <c:v>292.81207401219939</c:v>
                </c:pt>
                <c:pt idx="29">
                  <c:v>316.6434228832116</c:v>
                </c:pt>
                <c:pt idx="30">
                  <c:v>269.35300846866886</c:v>
                </c:pt>
                <c:pt idx="31">
                  <c:v>292.10419610311448</c:v>
                </c:pt>
                <c:pt idx="32">
                  <c:v>314.81582036526123</c:v>
                </c:pt>
                <c:pt idx="33">
                  <c:v>337.49113521169841</c:v>
                </c:pt>
                <c:pt idx="34">
                  <c:v>360.13292171154058</c:v>
                </c:pt>
                <c:pt idx="35">
                  <c:v>382.7435828005319</c:v>
                </c:pt>
                <c:pt idx="36">
                  <c:v>405.32521445817457</c:v>
                </c:pt>
                <c:pt idx="37">
                  <c:v>329.4126064318221</c:v>
                </c:pt>
                <c:pt idx="38">
                  <c:v>350.53333414543209</c:v>
                </c:pt>
                <c:pt idx="39">
                  <c:v>371.62616153000363</c:v>
                </c:pt>
                <c:pt idx="40">
                  <c:v>392.69289393638411</c:v>
                </c:pt>
                <c:pt idx="41">
                  <c:v>413.73512729115561</c:v>
                </c:pt>
                <c:pt idx="42">
                  <c:v>434.75428202454617</c:v>
                </c:pt>
                <c:pt idx="43">
                  <c:v>455.75163009422175</c:v>
                </c:pt>
                <c:pt idx="44">
                  <c:v>476.72831676952774</c:v>
                </c:pt>
                <c:pt idx="45">
                  <c:v>396.35779730493226</c:v>
                </c:pt>
                <c:pt idx="46">
                  <c:v>414.98937924648521</c:v>
                </c:pt>
                <c:pt idx="47">
                  <c:v>433.6029274137598</c:v>
                </c:pt>
                <c:pt idx="48">
                  <c:v>452.19932449243839</c:v>
                </c:pt>
                <c:pt idx="49">
                  <c:v>470.77937468285745</c:v>
                </c:pt>
                <c:pt idx="50">
                  <c:v>489.34381356425803</c:v>
                </c:pt>
                <c:pt idx="51">
                  <c:v>507.89331638456366</c:v>
                </c:pt>
                <c:pt idx="52">
                  <c:v>526.42850507644698</c:v>
                </c:pt>
                <c:pt idx="53">
                  <c:v>447.55932636655098</c:v>
                </c:pt>
                <c:pt idx="54">
                  <c:v>464.23574904580914</c:v>
                </c:pt>
                <c:pt idx="55">
                  <c:v>480.89940004934442</c:v>
                </c:pt>
                <c:pt idx="56">
                  <c:v>497.55078403848285</c:v>
                </c:pt>
                <c:pt idx="57">
                  <c:v>514.19036915679942</c:v>
                </c:pt>
                <c:pt idx="58">
                  <c:v>530.81859079314563</c:v>
                </c:pt>
                <c:pt idx="59">
                  <c:v>547.43585484879611</c:v>
                </c:pt>
                <c:pt idx="60">
                  <c:v>564.04254058742856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67324544"/>
        <c:axId val="-1467350112"/>
      </c:scatterChart>
      <c:valAx>
        <c:axId val="-14673245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67350112"/>
        <c:crosses val="autoZero"/>
        <c:crossBetween val="midCat"/>
      </c:valAx>
      <c:valAx>
        <c:axId val="-1467350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67324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67331616"/>
        <c:axId val="-1467331072"/>
      </c:scatterChart>
      <c:valAx>
        <c:axId val="-14673316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67331072"/>
        <c:crosses val="autoZero"/>
        <c:crossBetween val="midCat"/>
      </c:valAx>
      <c:valAx>
        <c:axId val="-1467331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673316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108.73492274451898</c:v>
                </c:pt>
                <c:pt idx="22">
                  <c:v>121.17258390131538</c:v>
                </c:pt>
                <c:pt idx="23">
                  <c:v>133.57915795884725</c:v>
                </c:pt>
                <c:pt idx="24">
                  <c:v>145.95794243077449</c:v>
                </c:pt>
                <c:pt idx="25">
                  <c:v>158.31162856255909</c:v>
                </c:pt>
                <c:pt idx="26">
                  <c:v>173.72181380960993</c:v>
                </c:pt>
                <c:pt idx="27">
                  <c:v>189.09987078266829</c:v>
                </c:pt>
                <c:pt idx="28">
                  <c:v>204.4487812295192</c:v>
                </c:pt>
                <c:pt idx="29">
                  <c:v>219.7710421086791</c:v>
                </c:pt>
                <c:pt idx="30">
                  <c:v>235.06877345752704</c:v>
                </c:pt>
                <c:pt idx="31">
                  <c:v>189.09987078266829</c:v>
                </c:pt>
                <c:pt idx="32">
                  <c:v>206.63925413557971</c:v>
                </c:pt>
                <c:pt idx="33">
                  <c:v>224.14424082064872</c:v>
                </c:pt>
                <c:pt idx="34">
                  <c:v>241.61789541835174</c:v>
                </c:pt>
                <c:pt idx="35">
                  <c:v>259.06280274212457</c:v>
                </c:pt>
                <c:pt idx="36">
                  <c:v>277.35142797945286</c:v>
                </c:pt>
                <c:pt idx="37">
                  <c:v>295.61299167711019</c:v>
                </c:pt>
                <c:pt idx="38">
                  <c:v>313.84940040812506</c:v>
                </c:pt>
                <c:pt idx="39">
                  <c:v>332.06232108561716</c:v>
                </c:pt>
                <c:pt idx="40">
                  <c:v>350.25322285655176</c:v>
                </c:pt>
                <c:pt idx="41">
                  <c:v>277.35142797945298</c:v>
                </c:pt>
                <c:pt idx="42">
                  <c:v>295.61299167711024</c:v>
                </c:pt>
                <c:pt idx="43">
                  <c:v>313.84940040812506</c:v>
                </c:pt>
                <c:pt idx="44">
                  <c:v>332.06232108561721</c:v>
                </c:pt>
                <c:pt idx="45">
                  <c:v>350.25322285655193</c:v>
                </c:pt>
                <c:pt idx="46">
                  <c:v>367.991017900744</c:v>
                </c:pt>
                <c:pt idx="47">
                  <c:v>385.71015840744536</c:v>
                </c:pt>
                <c:pt idx="48">
                  <c:v>403.4116216390002</c:v>
                </c:pt>
                <c:pt idx="49">
                  <c:v>421.09629212416644</c:v>
                </c:pt>
                <c:pt idx="50">
                  <c:v>438.76497406308476</c:v>
                </c:pt>
                <c:pt idx="51">
                  <c:v>365.39643285792187</c:v>
                </c:pt>
                <c:pt idx="52">
                  <c:v>382.68621644309741</c:v>
                </c:pt>
                <c:pt idx="53">
                  <c:v>399.95902270499568</c:v>
                </c:pt>
                <c:pt idx="54">
                  <c:v>417.21568777134962</c:v>
                </c:pt>
                <c:pt idx="55">
                  <c:v>434.45697298266236</c:v>
                </c:pt>
                <c:pt idx="56">
                  <c:v>450.82258294436616</c:v>
                </c:pt>
                <c:pt idx="57">
                  <c:v>467.17548976530185</c:v>
                </c:pt>
                <c:pt idx="58">
                  <c:v>483.51620053314986</c:v>
                </c:pt>
                <c:pt idx="59">
                  <c:v>499.8451852797545</c:v>
                </c:pt>
                <c:pt idx="60">
                  <c:v>516.16288083607753</c:v>
                </c:pt>
                <c:pt idx="61">
                  <c:v>441.3493386190641</c:v>
                </c:pt>
                <c:pt idx="62">
                  <c:v>456.84878825602163</c:v>
                </c:pt>
                <c:pt idx="63">
                  <c:v>472.33700882458015</c:v>
                </c:pt>
                <c:pt idx="64">
                  <c:v>487.81442026172425</c:v>
                </c:pt>
                <c:pt idx="65">
                  <c:v>503.281413693037</c:v>
                </c:pt>
                <c:pt idx="66">
                  <c:v>517.87989315697871</c:v>
                </c:pt>
                <c:pt idx="67">
                  <c:v>532.46969417446041</c:v>
                </c:pt>
                <c:pt idx="68">
                  <c:v>547.05108794372802</c:v>
                </c:pt>
                <c:pt idx="69">
                  <c:v>561.62433003260401</c:v>
                </c:pt>
                <c:pt idx="70">
                  <c:v>576.189661669972</c:v>
                </c:pt>
                <c:pt idx="71">
                  <c:v>499.41562163511867</c:v>
                </c:pt>
                <c:pt idx="72">
                  <c:v>512.72849407235992</c:v>
                </c:pt>
                <c:pt idx="73">
                  <c:v>526.034069299154</c:v>
                </c:pt>
                <c:pt idx="74">
                  <c:v>539.3325578512198</c:v>
                </c:pt>
                <c:pt idx="75">
                  <c:v>552.62415903802309</c:v>
                </c:pt>
                <c:pt idx="76">
                  <c:v>565.48061924570618</c:v>
                </c:pt>
                <c:pt idx="77">
                  <c:v>578.33096894357777</c:v>
                </c:pt>
                <c:pt idx="78">
                  <c:v>591.17536299398307</c:v>
                </c:pt>
                <c:pt idx="79">
                  <c:v>604.01394898353044</c:v>
                </c:pt>
                <c:pt idx="80">
                  <c:v>616.84686771553959</c:v>
                </c:pt>
                <c:pt idx="81">
                  <c:v>538.90368289481694</c:v>
                </c:pt>
                <c:pt idx="82">
                  <c:v>550.9094940154298</c:v>
                </c:pt>
                <c:pt idx="83">
                  <c:v>562.90982113451889</c:v>
                </c:pt>
                <c:pt idx="84">
                  <c:v>574.90479761309098</c:v>
                </c:pt>
                <c:pt idx="85">
                  <c:v>586.89455079472907</c:v>
                </c:pt>
                <c:pt idx="86">
                  <c:v>598.87920239707967</c:v>
                </c:pt>
                <c:pt idx="87">
                  <c:v>610.85886887038032</c:v>
                </c:pt>
                <c:pt idx="88">
                  <c:v>622.83366172641229</c:v>
                </c:pt>
                <c:pt idx="89">
                  <c:v>634.8036878408484</c:v>
                </c:pt>
                <c:pt idx="90">
                  <c:v>646.76904973162061</c:v>
                </c:pt>
                <c:pt idx="91">
                  <c:v>567.40855737534105</c:v>
                </c:pt>
                <c:pt idx="92">
                  <c:v>577.90272074471397</c:v>
                </c:pt>
                <c:pt idx="93">
                  <c:v>588.39290880026408</c:v>
                </c:pt>
                <c:pt idx="94">
                  <c:v>598.87920239707967</c:v>
                </c:pt>
                <c:pt idx="95">
                  <c:v>609.36167932827175</c:v>
                </c:pt>
                <c:pt idx="96">
                  <c:v>619.84041449272581</c:v>
                </c:pt>
                <c:pt idx="97">
                  <c:v>630.31548005092702</c:v>
                </c:pt>
                <c:pt idx="98">
                  <c:v>640.78694556988739</c:v>
                </c:pt>
                <c:pt idx="99">
                  <c:v>651.25487815811346</c:v>
                </c:pt>
                <c:pt idx="100">
                  <c:v>661.71934259144484</c:v>
                </c:pt>
                <c:pt idx="101">
                  <c:v>581.3285213801496</c:v>
                </c:pt>
                <c:pt idx="102">
                  <c:v>590.74731089993509</c:v>
                </c:pt>
                <c:pt idx="103">
                  <c:v>600.16297452894128</c:v>
                </c:pt>
                <c:pt idx="104">
                  <c:v>609.57556821855712</c:v>
                </c:pt>
                <c:pt idx="105">
                  <c:v>618.98514605149137</c:v>
                </c:pt>
                <c:pt idx="106">
                  <c:v>628.39176033224737</c:v>
                </c:pt>
                <c:pt idx="107">
                  <c:v>637.79546167190244</c:v>
                </c:pt>
                <c:pt idx="108">
                  <c:v>647.19629906762464</c:v>
                </c:pt>
                <c:pt idx="109">
                  <c:v>656.59431997733509</c:v>
                </c:pt>
                <c:pt idx="110">
                  <c:v>665.98957038987078</c:v>
                </c:pt>
                <c:pt idx="111">
                  <c:v>590.53328243145177</c:v>
                </c:pt>
                <c:pt idx="112">
                  <c:v>598.45126564391705</c:v>
                </c:pt>
                <c:pt idx="113">
                  <c:v>606.36707095513827</c:v>
                </c:pt>
                <c:pt idx="114">
                  <c:v>614.28073080742126</c:v>
                </c:pt>
                <c:pt idx="115">
                  <c:v>622.19227673896842</c:v>
                </c:pt>
                <c:pt idx="116">
                  <c:v>630.10173942049676</c:v>
                </c:pt>
                <c:pt idx="117">
                  <c:v>638.00914868992402</c:v>
                </c:pt>
                <c:pt idx="118">
                  <c:v>645.91453358524438</c:v>
                </c:pt>
                <c:pt idx="119">
                  <c:v>653.81792237571324</c:v>
                </c:pt>
                <c:pt idx="120">
                  <c:v>661.71934259144427</c:v>
                </c:pt>
                <c:pt idx="121">
                  <c:v>593.74354023634271</c:v>
                </c:pt>
                <c:pt idx="122">
                  <c:v>600.59088588094244</c:v>
                </c:pt>
                <c:pt idx="123">
                  <c:v>607.43660911597419</c:v>
                </c:pt>
                <c:pt idx="124">
                  <c:v>614.28073080742081</c:v>
                </c:pt>
                <c:pt idx="125">
                  <c:v>621.12327131831046</c:v>
                </c:pt>
                <c:pt idx="126">
                  <c:v>627.96425052636573</c:v>
                </c:pt>
                <c:pt idx="127">
                  <c:v>634.80368784084692</c:v>
                </c:pt>
                <c:pt idx="128">
                  <c:v>641.64160221862994</c:v>
                </c:pt>
                <c:pt idx="129">
                  <c:v>648.47801217956373</c:v>
                </c:pt>
                <c:pt idx="130">
                  <c:v>655.31293582114483</c:v>
                </c:pt>
                <c:pt idx="131">
                  <c:v>594.81354579947072</c:v>
                </c:pt>
                <c:pt idx="132">
                  <c:v>600.59088588094198</c:v>
                </c:pt>
                <c:pt idx="133">
                  <c:v>606.36707095513759</c:v>
                </c:pt>
                <c:pt idx="134">
                  <c:v>612.14211357944589</c:v>
                </c:pt>
                <c:pt idx="135">
                  <c:v>617.91602605493142</c:v>
                </c:pt>
                <c:pt idx="136">
                  <c:v>623.68882043396547</c:v>
                </c:pt>
                <c:pt idx="137">
                  <c:v>629.4605085275598</c:v>
                </c:pt>
                <c:pt idx="138">
                  <c:v>635.23110191241733</c:v>
                </c:pt>
                <c:pt idx="139">
                  <c:v>641.0006119377133</c:v>
                </c:pt>
                <c:pt idx="140">
                  <c:v>646.76904973161891</c:v>
                </c:pt>
                <c:pt idx="141">
                  <c:v>594.17154727265245</c:v>
                </c:pt>
                <c:pt idx="142">
                  <c:v>599.30713279218094</c:v>
                </c:pt>
                <c:pt idx="143">
                  <c:v>604.44180348405064</c:v>
                </c:pt>
                <c:pt idx="144">
                  <c:v>609.57556821855599</c:v>
                </c:pt>
                <c:pt idx="145">
                  <c:v>614.7084357043459</c:v>
                </c:pt>
                <c:pt idx="146">
                  <c:v>619.84041449272411</c:v>
                </c:pt>
                <c:pt idx="147">
                  <c:v>624.97151298179995</c:v>
                </c:pt>
                <c:pt idx="148">
                  <c:v>630.10173942049585</c:v>
                </c:pt>
                <c:pt idx="149">
                  <c:v>635.23110191241688</c:v>
                </c:pt>
                <c:pt idx="150">
                  <c:v>640.3596084195899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67338688"/>
        <c:axId val="-1467337600"/>
      </c:scatterChart>
      <c:valAx>
        <c:axId val="-14673386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67337600"/>
        <c:crosses val="autoZero"/>
        <c:crossBetween val="midCat"/>
      </c:valAx>
      <c:valAx>
        <c:axId val="-1467337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673386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2.9499424774398109</c:v>
                </c:pt>
                <c:pt idx="2">
                  <c:v>3.5322712998141292</c:v>
                </c:pt>
                <c:pt idx="3">
                  <c:v>4.2299796423063247</c:v>
                </c:pt>
                <c:pt idx="4">
                  <c:v>5.0660077681280073</c:v>
                </c:pt>
                <c:pt idx="5">
                  <c:v>6.0678718432979295</c:v>
                </c:pt>
                <c:pt idx="6">
                  <c:v>7.2685794435074236</c:v>
                </c:pt>
                <c:pt idx="7">
                  <c:v>8.707728736258824</c:v>
                </c:pt>
                <c:pt idx="8">
                  <c:v>10.432828282263435</c:v>
                </c:pt>
                <c:pt idx="9">
                  <c:v>12.500881848154869</c:v>
                </c:pt>
                <c:pt idx="10">
                  <c:v>14.98029157537014</c:v>
                </c:pt>
                <c:pt idx="11">
                  <c:v>17.953143612152349</c:v>
                </c:pt>
                <c:pt idx="12">
                  <c:v>21.517953253369303</c:v>
                </c:pt>
                <c:pt idx="13">
                  <c:v>25.792962186854144</c:v>
                </c:pt>
                <c:pt idx="14">
                  <c:v>30.920099145277529</c:v>
                </c:pt>
                <c:pt idx="15">
                  <c:v>37.069737746726702</c:v>
                </c:pt>
                <c:pt idx="16">
                  <c:v>44.446412342171662</c:v>
                </c:pt>
                <c:pt idx="17">
                  <c:v>53.29568519652458</c:v>
                </c:pt>
                <c:pt idx="18">
                  <c:v>63.912397422094891</c:v>
                </c:pt>
                <c:pt idx="19">
                  <c:v>76.650583094416518</c:v>
                </c:pt>
                <c:pt idx="20">
                  <c:v>91.935382517505545</c:v>
                </c:pt>
                <c:pt idx="21">
                  <c:v>103.84617756844348</c:v>
                </c:pt>
                <c:pt idx="22">
                  <c:v>115.72319627792427</c:v>
                </c:pt>
                <c:pt idx="23">
                  <c:v>127.57039913328697</c:v>
                </c:pt>
                <c:pt idx="24">
                  <c:v>139.39094880292336</c:v>
                </c:pt>
                <c:pt idx="25">
                  <c:v>151.18742647916039</c:v>
                </c:pt>
                <c:pt idx="26">
                  <c:v>165.90240656060988</c:v>
                </c:pt>
                <c:pt idx="27">
                  <c:v>180.58657218998462</c:v>
                </c:pt>
                <c:pt idx="28">
                  <c:v>195.24278318241954</c:v>
                </c:pt>
                <c:pt idx="29">
                  <c:v>209.87343438827483</c:v>
                </c:pt>
                <c:pt idx="30">
                  <c:v>224.48055915021379</c:v>
                </c:pt>
                <c:pt idx="31">
                  <c:v>180.58657218998462</c:v>
                </c:pt>
                <c:pt idx="32">
                  <c:v>197.3343901571734</c:v>
                </c:pt>
                <c:pt idx="33">
                  <c:v>214.04921803989632</c:v>
                </c:pt>
                <c:pt idx="34">
                  <c:v>230.73399509870114</c:v>
                </c:pt>
                <c:pt idx="35">
                  <c:v>247.39120044621509</c:v>
                </c:pt>
                <c:pt idx="36">
                  <c:v>264.85390518195555</c:v>
                </c:pt>
                <c:pt idx="37">
                  <c:v>282.29065500591173</c:v>
                </c:pt>
                <c:pt idx="38">
                  <c:v>299.70327852559689</c:v>
                </c:pt>
                <c:pt idx="39">
                  <c:v>317.09337448903148</c:v>
                </c:pt>
                <c:pt idx="40">
                  <c:v>334.46235196533502</c:v>
                </c:pt>
                <c:pt idx="41">
                  <c:v>264.85390518195561</c:v>
                </c:pt>
                <c:pt idx="42">
                  <c:v>282.29065500591184</c:v>
                </c:pt>
                <c:pt idx="43">
                  <c:v>299.70327852559694</c:v>
                </c:pt>
                <c:pt idx="44">
                  <c:v>317.09337448903153</c:v>
                </c:pt>
                <c:pt idx="45">
                  <c:v>334.46235196533513</c:v>
                </c:pt>
                <c:pt idx="46">
                  <c:v>351.39860979301596</c:v>
                </c:pt>
                <c:pt idx="47">
                  <c:v>368.3169759234454</c:v>
                </c:pt>
                <c:pt idx="48">
                  <c:v>385.21838765576626</c:v>
                </c:pt>
                <c:pt idx="49">
                  <c:v>402.10369334769052</c:v>
                </c:pt>
                <c:pt idx="50">
                  <c:v>418.97366431319239</c:v>
                </c:pt>
                <c:pt idx="51">
                  <c:v>348.92127422322784</c:v>
                </c:pt>
                <c:pt idx="52">
                  <c:v>365.42969930916388</c:v>
                </c:pt>
                <c:pt idx="53">
                  <c:v>381.9218413257197</c:v>
                </c:pt>
                <c:pt idx="54">
                  <c:v>398.39850220884642</c:v>
                </c:pt>
                <c:pt idx="55">
                  <c:v>414.86041216554025</c:v>
                </c:pt>
                <c:pt idx="56">
                  <c:v>430.48617222970438</c:v>
                </c:pt>
                <c:pt idx="57">
                  <c:v>446.0997486227979</c:v>
                </c:pt>
                <c:pt idx="58">
                  <c:v>461.70162769615786</c:v>
                </c:pt>
                <c:pt idx="59">
                  <c:v>477.29226026061059</c:v>
                </c:pt>
                <c:pt idx="60">
                  <c:v>492.87206528378402</c:v>
                </c:pt>
                <c:pt idx="61">
                  <c:v>421.44119734263637</c:v>
                </c:pt>
                <c:pt idx="62">
                  <c:v>436.23993334518991</c:v>
                </c:pt>
                <c:pt idx="63">
                  <c:v>451.02789946978169</c:v>
                </c:pt>
                <c:pt idx="64">
                  <c:v>465.80549848090754</c:v>
                </c:pt>
                <c:pt idx="65">
                  <c:v>480.57310550984766</c:v>
                </c:pt>
                <c:pt idx="66">
                  <c:v>494.51143108208981</c:v>
                </c:pt>
                <c:pt idx="67">
                  <c:v>508.44143309569387</c:v>
                </c:pt>
                <c:pt idx="68">
                  <c:v>522.36337165879229</c:v>
                </c:pt>
                <c:pt idx="69">
                  <c:v>536.27749188826908</c:v>
                </c:pt>
                <c:pt idx="70">
                  <c:v>550.1840251484324</c:v>
                </c:pt>
                <c:pt idx="71">
                  <c:v>476.88212094653812</c:v>
                </c:pt>
                <c:pt idx="72">
                  <c:v>489.59298637351299</c:v>
                </c:pt>
                <c:pt idx="73">
                  <c:v>502.29685299496032</c:v>
                </c:pt>
                <c:pt idx="74">
                  <c:v>514.99392273715932</c:v>
                </c:pt>
                <c:pt idx="75">
                  <c:v>527.68438675921141</c:v>
                </c:pt>
                <c:pt idx="76">
                  <c:v>539.95936220671649</c:v>
                </c:pt>
                <c:pt idx="77">
                  <c:v>552.22847702156594</c:v>
                </c:pt>
                <c:pt idx="78">
                  <c:v>564.49187973331675</c:v>
                </c:pt>
                <c:pt idx="79">
                  <c:v>576.74971189331643</c:v>
                </c:pt>
                <c:pt idx="80">
                  <c:v>589.00210854701243</c:v>
                </c:pt>
                <c:pt idx="81">
                  <c:v>514.58444394878302</c:v>
                </c:pt>
                <c:pt idx="82">
                  <c:v>526.04727227111368</c:v>
                </c:pt>
                <c:pt idx="83">
                  <c:v>537.50484084926495</c:v>
                </c:pt>
                <c:pt idx="84">
                  <c:v>548.95727759070985</c:v>
                </c:pt>
                <c:pt idx="85">
                  <c:v>560.40470463156907</c:v>
                </c:pt>
                <c:pt idx="86">
                  <c:v>571.84723871208746</c:v>
                </c:pt>
                <c:pt idx="87">
                  <c:v>583.28499152050188</c:v>
                </c:pt>
                <c:pt idx="88">
                  <c:v>594.71807000854017</c:v>
                </c:pt>
                <c:pt idx="89">
                  <c:v>606.14657668140785</c:v>
                </c:pt>
                <c:pt idx="90">
                  <c:v>617.57060986476938</c:v>
                </c:pt>
                <c:pt idx="91">
                  <c:v>541.80009933248743</c:v>
                </c:pt>
                <c:pt idx="92">
                  <c:v>551.81959936072451</c:v>
                </c:pt>
                <c:pt idx="93">
                  <c:v>561.835286637698</c:v>
                </c:pt>
                <c:pt idx="94">
                  <c:v>571.84723871208746</c:v>
                </c:pt>
                <c:pt idx="95">
                  <c:v>581.85553019580914</c:v>
                </c:pt>
                <c:pt idx="96">
                  <c:v>591.86023292490802</c:v>
                </c:pt>
                <c:pt idx="97">
                  <c:v>601.86141610900938</c:v>
                </c:pt>
                <c:pt idx="98">
                  <c:v>611.85914647032064</c:v>
                </c:pt>
                <c:pt idx="99">
                  <c:v>621.85348837307845</c:v>
                </c:pt>
                <c:pt idx="100">
                  <c:v>631.84450394424437</c:v>
                </c:pt>
                <c:pt idx="101">
                  <c:v>555.09044325536718</c:v>
                </c:pt>
                <c:pt idx="102">
                  <c:v>564.08319015797451</c:v>
                </c:pt>
                <c:pt idx="103">
                  <c:v>573.07293899689409</c:v>
                </c:pt>
                <c:pt idx="104">
                  <c:v>582.05974343549417</c:v>
                </c:pt>
                <c:pt idx="105">
                  <c:v>591.04365534487806</c:v>
                </c:pt>
                <c:pt idx="106">
                  <c:v>600.0247248906611</c:v>
                </c:pt>
                <c:pt idx="107">
                  <c:v>609.00300061428027</c:v>
                </c:pt>
                <c:pt idx="108">
                  <c:v>617.97852950926267</c:v>
                </c:pt>
                <c:pt idx="109">
                  <c:v>626.95135709283159</c:v>
                </c:pt>
                <c:pt idx="110">
                  <c:v>635.92152747320199</c:v>
                </c:pt>
                <c:pt idx="111">
                  <c:v>563.87884304786473</c:v>
                </c:pt>
                <c:pt idx="112">
                  <c:v>571.43865976099426</c:v>
                </c:pt>
                <c:pt idx="113">
                  <c:v>578.99638763382268</c:v>
                </c:pt>
                <c:pt idx="114">
                  <c:v>586.55205778199286</c:v>
                </c:pt>
                <c:pt idx="115">
                  <c:v>594.10570045401494</c:v>
                </c:pt>
                <c:pt idx="116">
                  <c:v>601.65734506638762</c:v>
                </c:pt>
                <c:pt idx="117">
                  <c:v>609.20702023686624</c:v>
                </c:pt>
                <c:pt idx="118">
                  <c:v>616.75475381599438</c:v>
                </c:pt>
                <c:pt idx="119">
                  <c:v>624.300572917012</c:v>
                </c:pt>
                <c:pt idx="120">
                  <c:v>631.84450394424357</c:v>
                </c:pt>
                <c:pt idx="121">
                  <c:v>566.94388739716328</c:v>
                </c:pt>
                <c:pt idx="122">
                  <c:v>573.48149358555565</c:v>
                </c:pt>
                <c:pt idx="123">
                  <c:v>580.01754370959543</c:v>
                </c:pt>
                <c:pt idx="124">
                  <c:v>586.55205778199274</c:v>
                </c:pt>
                <c:pt idx="125">
                  <c:v>593.08505533306914</c:v>
                </c:pt>
                <c:pt idx="126">
                  <c:v>599.61655542768813</c:v>
                </c:pt>
                <c:pt idx="127">
                  <c:v>606.1465766814066</c:v>
                </c:pt>
                <c:pt idx="128">
                  <c:v>612.67513727589676</c:v>
                </c:pt>
                <c:pt idx="129">
                  <c:v>619.20225497367471</c:v>
                </c:pt>
                <c:pt idx="130">
                  <c:v>625.72794713217661</c:v>
                </c:pt>
                <c:pt idx="131">
                  <c:v>567.96549176174028</c:v>
                </c:pt>
                <c:pt idx="132">
                  <c:v>573.48149358555554</c:v>
                </c:pt>
                <c:pt idx="133">
                  <c:v>578.99638763382234</c:v>
                </c:pt>
                <c:pt idx="134">
                  <c:v>584.51018595041944</c:v>
                </c:pt>
                <c:pt idx="135">
                  <c:v>590.0229003333842</c:v>
                </c:pt>
                <c:pt idx="136">
                  <c:v>595.53454234222977</c:v>
                </c:pt>
                <c:pt idx="137">
                  <c:v>601.04512330498039</c:v>
                </c:pt>
                <c:pt idx="138">
                  <c:v>606.55465432493247</c:v>
                </c:pt>
                <c:pt idx="139">
                  <c:v>612.06314628715938</c:v>
                </c:pt>
                <c:pt idx="140">
                  <c:v>617.57060986476779</c:v>
                </c:pt>
                <c:pt idx="141">
                  <c:v>567.35253375731406</c:v>
                </c:pt>
                <c:pt idx="142">
                  <c:v>572.25581156511964</c:v>
                </c:pt>
                <c:pt idx="143">
                  <c:v>577.15821195532533</c:v>
                </c:pt>
                <c:pt idx="144">
                  <c:v>582.05974343549315</c:v>
                </c:pt>
                <c:pt idx="145">
                  <c:v>586.96041435814834</c:v>
                </c:pt>
                <c:pt idx="146">
                  <c:v>591.86023292490643</c:v>
                </c:pt>
                <c:pt idx="147">
                  <c:v>596.75920719045291</c:v>
                </c:pt>
                <c:pt idx="148">
                  <c:v>601.65734506638671</c:v>
                </c:pt>
                <c:pt idx="149">
                  <c:v>606.55465432493213</c:v>
                </c:pt>
                <c:pt idx="150">
                  <c:v>611.45114260252456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67338144"/>
        <c:axId val="-1467345216"/>
      </c:scatterChart>
      <c:valAx>
        <c:axId val="-14673381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67345216"/>
        <c:crosses val="autoZero"/>
        <c:crossBetween val="midCat"/>
      </c:valAx>
      <c:valAx>
        <c:axId val="-1467345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673381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2.226622737697221</c:v>
                </c:pt>
                <c:pt idx="2">
                  <c:v>2.8625265097424397</c:v>
                </c:pt>
                <c:pt idx="3">
                  <c:v>3.6807673232046039</c:v>
                </c:pt>
                <c:pt idx="4">
                  <c:v>4.7338249191760466</c:v>
                </c:pt>
                <c:pt idx="5">
                  <c:v>6.0893366647592657</c:v>
                </c:pt>
                <c:pt idx="6">
                  <c:v>7.8344897360718626</c:v>
                </c:pt>
                <c:pt idx="7">
                  <c:v>10.081689817520575</c:v>
                </c:pt>
                <c:pt idx="8">
                  <c:v>12.975878330143091</c:v>
                </c:pt>
                <c:pt idx="9">
                  <c:v>16.70397888629628</c:v>
                </c:pt>
                <c:pt idx="10">
                  <c:v>21.507094176298665</c:v>
                </c:pt>
                <c:pt idx="11">
                  <c:v>27.696256162013025</c:v>
                </c:pt>
                <c:pt idx="12">
                  <c:v>35.672767364515572</c:v>
                </c:pt>
                <c:pt idx="13">
                  <c:v>45.954474822239945</c:v>
                </c:pt>
                <c:pt idx="14">
                  <c:v>59.209711195430032</c:v>
                </c:pt>
                <c:pt idx="15">
                  <c:v>76.301145689172856</c:v>
                </c:pt>
                <c:pt idx="16">
                  <c:v>88.457340034120918</c:v>
                </c:pt>
                <c:pt idx="17">
                  <c:v>100.57156022593183</c:v>
                </c:pt>
                <c:pt idx="18">
                  <c:v>112.64958590196655</c:v>
                </c:pt>
                <c:pt idx="19">
                  <c:v>124.69585112217392</c:v>
                </c:pt>
                <c:pt idx="20">
                  <c:v>136.71386058122562</c:v>
                </c:pt>
                <c:pt idx="21">
                  <c:v>113.40336758500625</c:v>
                </c:pt>
                <c:pt idx="22">
                  <c:v>125.82369159890273</c:v>
                </c:pt>
                <c:pt idx="23">
                  <c:v>138.21427227726235</c:v>
                </c:pt>
                <c:pt idx="24">
                  <c:v>150.57815464878283</c:v>
                </c:pt>
                <c:pt idx="25">
                  <c:v>162.91784180635725</c:v>
                </c:pt>
                <c:pt idx="26">
                  <c:v>174.6759892646526</c:v>
                </c:pt>
                <c:pt idx="27">
                  <c:v>186.41554721296791</c:v>
                </c:pt>
                <c:pt idx="28">
                  <c:v>198.13785215720918</c:v>
                </c:pt>
                <c:pt idx="29">
                  <c:v>209.8440693666619</c:v>
                </c:pt>
                <c:pt idx="30">
                  <c:v>221.53522335108485</c:v>
                </c:pt>
                <c:pt idx="31">
                  <c:v>185.2982570323903</c:v>
                </c:pt>
                <c:pt idx="32">
                  <c:v>196.46424765821197</c:v>
                </c:pt>
                <c:pt idx="33">
                  <c:v>207.61550464114839</c:v>
                </c:pt>
                <c:pt idx="34">
                  <c:v>218.7529314533075</c:v>
                </c:pt>
                <c:pt idx="35">
                  <c:v>229.8773319666974</c:v>
                </c:pt>
                <c:pt idx="36">
                  <c:v>240.24898910471029</c:v>
                </c:pt>
                <c:pt idx="37">
                  <c:v>250.61045481310325</c:v>
                </c:pt>
                <c:pt idx="38">
                  <c:v>260.96221015972299</c:v>
                </c:pt>
                <c:pt idx="39">
                  <c:v>271.30469489980919</c:v>
                </c:pt>
                <c:pt idx="40">
                  <c:v>281.63831249761358</c:v>
                </c:pt>
                <c:pt idx="41">
                  <c:v>241.5447193683236</c:v>
                </c:pt>
                <c:pt idx="42">
                  <c:v>251.35018250509077</c:v>
                </c:pt>
                <c:pt idx="43">
                  <c:v>261.14697743122923</c:v>
                </c:pt>
                <c:pt idx="44">
                  <c:v>270.93547543188362</c:v>
                </c:pt>
                <c:pt idx="45">
                  <c:v>280.71601875158382</c:v>
                </c:pt>
                <c:pt idx="46">
                  <c:v>289.75160586553034</c:v>
                </c:pt>
                <c:pt idx="47">
                  <c:v>298.78089686477716</c:v>
                </c:pt>
                <c:pt idx="48">
                  <c:v>307.80410900253173</c:v>
                </c:pt>
                <c:pt idx="49">
                  <c:v>316.82144574470937</c:v>
                </c:pt>
                <c:pt idx="50">
                  <c:v>325.8330980209808</c:v>
                </c:pt>
                <c:pt idx="51">
                  <c:v>287.17066187581446</c:v>
                </c:pt>
                <c:pt idx="52">
                  <c:v>295.46473202474721</c:v>
                </c:pt>
                <c:pt idx="53">
                  <c:v>303.75360952955964</c:v>
                </c:pt>
                <c:pt idx="54">
                  <c:v>312.03745619949137</c:v>
                </c:pt>
                <c:pt idx="55">
                  <c:v>320.31642454362617</c:v>
                </c:pt>
                <c:pt idx="56">
                  <c:v>328.03918745937807</c:v>
                </c:pt>
                <c:pt idx="57">
                  <c:v>335.75793717547276</c:v>
                </c:pt>
                <c:pt idx="58">
                  <c:v>343.47277904595654</c:v>
                </c:pt>
                <c:pt idx="59">
                  <c:v>351.1838133017921</c:v>
                </c:pt>
                <c:pt idx="60">
                  <c:v>358.89113540947909</c:v>
                </c:pt>
                <c:pt idx="61">
                  <c:v>323.07502170283419</c:v>
                </c:pt>
                <c:pt idx="62">
                  <c:v>330.42874810515195</c:v>
                </c:pt>
                <c:pt idx="63">
                  <c:v>337.77886455023247</c:v>
                </c:pt>
                <c:pt idx="64">
                  <c:v>345.12546074519736</c:v>
                </c:pt>
                <c:pt idx="65">
                  <c:v>352.46862226287652</c:v>
                </c:pt>
                <c:pt idx="66">
                  <c:v>359.62497583302707</c:v>
                </c:pt>
                <c:pt idx="67">
                  <c:v>366.77821443674179</c:v>
                </c:pt>
                <c:pt idx="68">
                  <c:v>373.92840744681308</c:v>
                </c:pt>
                <c:pt idx="69">
                  <c:v>381.0756213642569</c:v>
                </c:pt>
                <c:pt idx="70">
                  <c:v>388.21991999001654</c:v>
                </c:pt>
                <c:pt idx="71">
                  <c:v>355.40494358786822</c:v>
                </c:pt>
                <c:pt idx="72">
                  <c:v>362.00973132142713</c:v>
                </c:pt>
                <c:pt idx="73">
                  <c:v>368.61188489876866</c:v>
                </c:pt>
                <c:pt idx="74">
                  <c:v>375.21145820009173</c:v>
                </c:pt>
                <c:pt idx="75">
                  <c:v>381.80850305381119</c:v>
                </c:pt>
                <c:pt idx="76">
                  <c:v>387.85361564101663</c:v>
                </c:pt>
                <c:pt idx="77">
                  <c:v>393.89668264259575</c:v>
                </c:pt>
                <c:pt idx="78">
                  <c:v>399.93773989825166</c:v>
                </c:pt>
                <c:pt idx="79">
                  <c:v>405.97682207564725</c:v>
                </c:pt>
                <c:pt idx="80">
                  <c:v>412.01396272598703</c:v>
                </c:pt>
                <c:pt idx="81">
                  <c:v>380.34270900980056</c:v>
                </c:pt>
                <c:pt idx="82">
                  <c:v>386.2051529766095</c:v>
                </c:pt>
                <c:pt idx="83">
                  <c:v>392.06566407054515</c:v>
                </c:pt>
                <c:pt idx="84">
                  <c:v>397.9242752879988</c:v>
                </c:pt>
                <c:pt idx="85">
                  <c:v>403.78101857356387</c:v>
                </c:pt>
                <c:pt idx="86">
                  <c:v>409.27004647130326</c:v>
                </c:pt>
                <c:pt idx="87">
                  <c:v>414.75748456475031</c:v>
                </c:pt>
                <c:pt idx="88">
                  <c:v>420.24335687514667</c:v>
                </c:pt>
                <c:pt idx="89">
                  <c:v>425.72768674484382</c:v>
                </c:pt>
                <c:pt idx="90">
                  <c:v>431.21049686518558</c:v>
                </c:pt>
                <c:pt idx="91">
                  <c:v>401.76797181151136</c:v>
                </c:pt>
                <c:pt idx="92">
                  <c:v>407.07462745738621</c:v>
                </c:pt>
                <c:pt idx="93">
                  <c:v>412.37978836079861</c:v>
                </c:pt>
                <c:pt idx="94">
                  <c:v>417.6834764831122</c:v>
                </c:pt>
                <c:pt idx="95">
                  <c:v>422.98571318193194</c:v>
                </c:pt>
                <c:pt idx="96">
                  <c:v>428.10375641326408</c:v>
                </c:pt>
                <c:pt idx="97">
                  <c:v>433.22048417506704</c:v>
                </c:pt>
                <c:pt idx="98">
                  <c:v>438.33591421069946</c:v>
                </c:pt>
                <c:pt idx="99">
                  <c:v>443.45006381522575</c:v>
                </c:pt>
                <c:pt idx="100">
                  <c:v>448.56294985189817</c:v>
                </c:pt>
                <c:pt idx="101">
                  <c:v>421.15751834664781</c:v>
                </c:pt>
                <c:pt idx="102">
                  <c:v>425.72768674484382</c:v>
                </c:pt>
                <c:pt idx="103">
                  <c:v>430.29679977258542</c:v>
                </c:pt>
                <c:pt idx="104">
                  <c:v>434.86487022897177</c:v>
                </c:pt>
                <c:pt idx="105">
                  <c:v>439.43191062199884</c:v>
                </c:pt>
                <c:pt idx="106">
                  <c:v>444.18055307943456</c:v>
                </c:pt>
                <c:pt idx="107">
                  <c:v>448.92810808361338</c:v>
                </c:pt>
                <c:pt idx="108">
                  <c:v>453.67458876784752</c:v>
                </c:pt>
                <c:pt idx="109">
                  <c:v>458.42000796797294</c:v>
                </c:pt>
                <c:pt idx="110">
                  <c:v>463.16437823216773</c:v>
                </c:pt>
                <c:pt idx="111">
                  <c:v>3.1457867471021712E-12</c:v>
                </c:pt>
                <c:pt idx="112">
                  <c:v>3.1457867471021712E-12</c:v>
                </c:pt>
                <c:pt idx="113">
                  <c:v>3.1457867471021712E-12</c:v>
                </c:pt>
                <c:pt idx="114">
                  <c:v>3.1457867471021712E-12</c:v>
                </c:pt>
                <c:pt idx="115">
                  <c:v>3.1457867471021712E-12</c:v>
                </c:pt>
                <c:pt idx="116">
                  <c:v>3.1457867471021712E-12</c:v>
                </c:pt>
                <c:pt idx="117">
                  <c:v>3.1457867471021712E-12</c:v>
                </c:pt>
                <c:pt idx="118">
                  <c:v>3.1457867471021712E-12</c:v>
                </c:pt>
                <c:pt idx="119">
                  <c:v>3.1457867471021712E-12</c:v>
                </c:pt>
                <c:pt idx="120">
                  <c:v>3.1457867471021712E-12</c:v>
                </c:pt>
                <c:pt idx="121">
                  <c:v>3.1457867471021712E-12</c:v>
                </c:pt>
                <c:pt idx="122">
                  <c:v>3.1457867471021712E-12</c:v>
                </c:pt>
                <c:pt idx="123">
                  <c:v>3.1457867471021712E-12</c:v>
                </c:pt>
                <c:pt idx="124">
                  <c:v>3.1457867471021712E-12</c:v>
                </c:pt>
                <c:pt idx="125">
                  <c:v>3.1457867471021712E-12</c:v>
                </c:pt>
                <c:pt idx="126">
                  <c:v>3.1457867471021712E-12</c:v>
                </c:pt>
                <c:pt idx="127">
                  <c:v>3.1457867471021712E-12</c:v>
                </c:pt>
                <c:pt idx="128">
                  <c:v>3.1457867471021712E-12</c:v>
                </c:pt>
                <c:pt idx="129">
                  <c:v>3.1457867471021712E-12</c:v>
                </c:pt>
                <c:pt idx="130">
                  <c:v>3.1457867471021712E-12</c:v>
                </c:pt>
                <c:pt idx="131">
                  <c:v>3.1457867471021712E-12</c:v>
                </c:pt>
                <c:pt idx="132">
                  <c:v>3.1457867471021712E-12</c:v>
                </c:pt>
                <c:pt idx="133">
                  <c:v>3.1457867471021712E-12</c:v>
                </c:pt>
                <c:pt idx="134">
                  <c:v>3.1457867471021712E-12</c:v>
                </c:pt>
                <c:pt idx="135">
                  <c:v>3.1457867471021712E-12</c:v>
                </c:pt>
                <c:pt idx="136">
                  <c:v>3.1457867471021712E-12</c:v>
                </c:pt>
                <c:pt idx="137">
                  <c:v>3.1457867471021712E-12</c:v>
                </c:pt>
                <c:pt idx="138">
                  <c:v>3.1457867471021712E-12</c:v>
                </c:pt>
                <c:pt idx="139">
                  <c:v>3.1457867471021712E-12</c:v>
                </c:pt>
                <c:pt idx="140">
                  <c:v>3.1457867471021712E-12</c:v>
                </c:pt>
                <c:pt idx="141">
                  <c:v>3.1457867471021712E-12</c:v>
                </c:pt>
                <c:pt idx="142">
                  <c:v>3.1457867471021712E-12</c:v>
                </c:pt>
                <c:pt idx="143">
                  <c:v>3.1457867471021712E-12</c:v>
                </c:pt>
                <c:pt idx="144">
                  <c:v>3.1457867471021712E-12</c:v>
                </c:pt>
                <c:pt idx="145">
                  <c:v>3.1457867471021712E-12</c:v>
                </c:pt>
                <c:pt idx="146">
                  <c:v>3.1457867471021712E-12</c:v>
                </c:pt>
                <c:pt idx="147">
                  <c:v>3.1457867471021712E-12</c:v>
                </c:pt>
                <c:pt idx="148">
                  <c:v>3.1457867471021712E-12</c:v>
                </c:pt>
                <c:pt idx="149">
                  <c:v>3.1457867471021712E-12</c:v>
                </c:pt>
                <c:pt idx="150">
                  <c:v>3.1457867471021712E-12</c:v>
                </c:pt>
                <c:pt idx="151">
                  <c:v>3.1457867471021712E-12</c:v>
                </c:pt>
                <c:pt idx="152">
                  <c:v>3.1457867471021712E-12</c:v>
                </c:pt>
                <c:pt idx="153">
                  <c:v>3.1457867471021712E-12</c:v>
                </c:pt>
                <c:pt idx="154">
                  <c:v>3.1457867471021712E-12</c:v>
                </c:pt>
                <c:pt idx="155">
                  <c:v>3.1457867471021712E-12</c:v>
                </c:pt>
                <c:pt idx="156">
                  <c:v>3.1457867471021712E-12</c:v>
                </c:pt>
                <c:pt idx="157">
                  <c:v>3.1457867471021712E-12</c:v>
                </c:pt>
                <c:pt idx="158">
                  <c:v>3.1457867471021712E-12</c:v>
                </c:pt>
                <c:pt idx="159">
                  <c:v>3.1457867471021712E-12</c:v>
                </c:pt>
                <c:pt idx="160">
                  <c:v>3.1457867471021712E-12</c:v>
                </c:pt>
                <c:pt idx="161">
                  <c:v>3.1457867471021712E-12</c:v>
                </c:pt>
                <c:pt idx="162">
                  <c:v>3.1457867471021712E-12</c:v>
                </c:pt>
                <c:pt idx="163">
                  <c:v>3.1457867471021712E-12</c:v>
                </c:pt>
                <c:pt idx="164">
                  <c:v>3.1457867471021712E-12</c:v>
                </c:pt>
                <c:pt idx="165">
                  <c:v>3.1457867471021712E-12</c:v>
                </c:pt>
                <c:pt idx="166">
                  <c:v>3.1457867471021712E-12</c:v>
                </c:pt>
                <c:pt idx="167">
                  <c:v>3.1457867471021712E-12</c:v>
                </c:pt>
                <c:pt idx="168">
                  <c:v>3.1457867471021712E-12</c:v>
                </c:pt>
                <c:pt idx="169">
                  <c:v>3.1457867471021712E-12</c:v>
                </c:pt>
                <c:pt idx="170">
                  <c:v>3.1457867471021712E-12</c:v>
                </c:pt>
                <c:pt idx="171">
                  <c:v>3.1457867471021712E-12</c:v>
                </c:pt>
                <c:pt idx="172">
                  <c:v>3.1457867471021712E-12</c:v>
                </c:pt>
                <c:pt idx="173">
                  <c:v>3.1457867471021712E-12</c:v>
                </c:pt>
                <c:pt idx="174">
                  <c:v>3.1457867471021712E-12</c:v>
                </c:pt>
                <c:pt idx="175">
                  <c:v>3.1457867471021712E-12</c:v>
                </c:pt>
                <c:pt idx="176">
                  <c:v>3.1457867471021712E-12</c:v>
                </c:pt>
                <c:pt idx="177">
                  <c:v>3.1457867471021712E-12</c:v>
                </c:pt>
                <c:pt idx="178">
                  <c:v>3.1457867471021712E-12</c:v>
                </c:pt>
                <c:pt idx="179">
                  <c:v>3.1457867471021712E-12</c:v>
                </c:pt>
                <c:pt idx="180">
                  <c:v>3.1457867471021712E-12</c:v>
                </c:pt>
                <c:pt idx="181">
                  <c:v>3.1457867471021712E-12</c:v>
                </c:pt>
                <c:pt idx="182">
                  <c:v>3.1457867471021712E-12</c:v>
                </c:pt>
                <c:pt idx="183">
                  <c:v>3.1457867471021712E-12</c:v>
                </c:pt>
                <c:pt idx="184">
                  <c:v>3.1457867471021712E-12</c:v>
                </c:pt>
                <c:pt idx="185">
                  <c:v>3.1457867471021712E-12</c:v>
                </c:pt>
                <c:pt idx="186">
                  <c:v>3.1457867471021712E-12</c:v>
                </c:pt>
                <c:pt idx="187">
                  <c:v>3.1457867471021712E-12</c:v>
                </c:pt>
                <c:pt idx="188">
                  <c:v>3.1457867471021712E-12</c:v>
                </c:pt>
                <c:pt idx="189">
                  <c:v>3.1457867471021712E-12</c:v>
                </c:pt>
                <c:pt idx="190">
                  <c:v>3.1457867471021712E-12</c:v>
                </c:pt>
                <c:pt idx="191">
                  <c:v>3.1457867471021712E-12</c:v>
                </c:pt>
                <c:pt idx="192">
                  <c:v>3.1457867471021712E-12</c:v>
                </c:pt>
                <c:pt idx="193">
                  <c:v>3.1457867471021712E-12</c:v>
                </c:pt>
                <c:pt idx="194">
                  <c:v>3.1457867471021712E-12</c:v>
                </c:pt>
                <c:pt idx="195">
                  <c:v>3.1457867471021712E-12</c:v>
                </c:pt>
                <c:pt idx="196">
                  <c:v>3.1457867471021712E-12</c:v>
                </c:pt>
                <c:pt idx="197">
                  <c:v>3.1457867471021712E-12</c:v>
                </c:pt>
                <c:pt idx="198">
                  <c:v>3.1457867471021712E-12</c:v>
                </c:pt>
                <c:pt idx="199">
                  <c:v>3.1457867471021712E-12</c:v>
                </c:pt>
                <c:pt idx="200">
                  <c:v>3.1457867471021712E-12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67324000"/>
        <c:axId val="-1467337056"/>
      </c:scatterChart>
      <c:valAx>
        <c:axId val="-14673240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67337056"/>
        <c:crosses val="autoZero"/>
        <c:crossBetween val="midCat"/>
      </c:valAx>
      <c:valAx>
        <c:axId val="-1467337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67324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2.7937677090506927</c:v>
                </c:pt>
                <c:pt idx="2">
                  <c:v>3.494630676602434</c:v>
                </c:pt>
                <c:pt idx="3">
                  <c:v>4.3719965840625639</c:v>
                </c:pt>
                <c:pt idx="4">
                  <c:v>5.4704766677833838</c:v>
                </c:pt>
                <c:pt idx="5">
                  <c:v>6.8459958247924684</c:v>
                </c:pt>
                <c:pt idx="6">
                  <c:v>8.5686708048285141</c:v>
                </c:pt>
                <c:pt idx="7">
                  <c:v>10.726422722638716</c:v>
                </c:pt>
                <c:pt idx="8">
                  <c:v>13.429511733043208</c:v>
                </c:pt>
                <c:pt idx="9">
                  <c:v>16.81622987742189</c:v>
                </c:pt>
                <c:pt idx="10">
                  <c:v>21.060048653888444</c:v>
                </c:pt>
                <c:pt idx="11">
                  <c:v>26.378593971397137</c:v>
                </c:pt>
                <c:pt idx="12">
                  <c:v>33.044916829290678</c:v>
                </c:pt>
                <c:pt idx="13">
                  <c:v>41.401648361600742</c:v>
                </c:pt>
                <c:pt idx="14">
                  <c:v>51.87877914465313</c:v>
                </c:pt>
                <c:pt idx="15">
                  <c:v>65.015992870184718</c:v>
                </c:pt>
                <c:pt idx="16">
                  <c:v>81.490723678847203</c:v>
                </c:pt>
                <c:pt idx="17">
                  <c:v>102.15340727004774</c:v>
                </c:pt>
                <c:pt idx="18">
                  <c:v>128.07177425900235</c:v>
                </c:pt>
                <c:pt idx="19">
                  <c:v>160.58651015726517</c:v>
                </c:pt>
                <c:pt idx="20">
                  <c:v>201.38120500067484</c:v>
                </c:pt>
                <c:pt idx="21">
                  <c:v>221.37253538805248</c:v>
                </c:pt>
                <c:pt idx="22">
                  <c:v>241.32243325977697</c:v>
                </c:pt>
                <c:pt idx="23">
                  <c:v>261.23480530332807</c:v>
                </c:pt>
                <c:pt idx="24">
                  <c:v>281.1129136595859</c:v>
                </c:pt>
                <c:pt idx="25">
                  <c:v>300.95952130477968</c:v>
                </c:pt>
                <c:pt idx="26">
                  <c:v>201.38120500067475</c:v>
                </c:pt>
                <c:pt idx="27">
                  <c:v>220.24209728386404</c:v>
                </c:pt>
                <c:pt idx="28">
                  <c:v>239.06590436046736</c:v>
                </c:pt>
                <c:pt idx="29">
                  <c:v>257.85595699105767</c:v>
                </c:pt>
                <c:pt idx="30">
                  <c:v>276.61506059958816</c:v>
                </c:pt>
                <c:pt idx="31">
                  <c:v>293.84816539917779</c:v>
                </c:pt>
                <c:pt idx="32">
                  <c:v>311.05872099875779</c:v>
                </c:pt>
                <c:pt idx="33">
                  <c:v>328.24815038016737</c:v>
                </c:pt>
                <c:pt idx="34">
                  <c:v>345.41771532693997</c:v>
                </c:pt>
                <c:pt idx="35">
                  <c:v>362.56854195764782</c:v>
                </c:pt>
                <c:pt idx="36">
                  <c:v>263.86211541012477</c:v>
                </c:pt>
                <c:pt idx="37">
                  <c:v>279.23900597474034</c:v>
                </c:pt>
                <c:pt idx="38">
                  <c:v>294.59690838804539</c:v>
                </c:pt>
                <c:pt idx="39">
                  <c:v>309.93695192564923</c:v>
                </c:pt>
                <c:pt idx="40">
                  <c:v>325.26014493454295</c:v>
                </c:pt>
                <c:pt idx="41">
                  <c:v>339.44787284177909</c:v>
                </c:pt>
                <c:pt idx="42">
                  <c:v>353.62255781268254</c:v>
                </c:pt>
                <c:pt idx="43">
                  <c:v>367.78479630486117</c:v>
                </c:pt>
                <c:pt idx="44">
                  <c:v>381.93513509012342</c:v>
                </c:pt>
                <c:pt idx="45">
                  <c:v>396.07407711953448</c:v>
                </c:pt>
                <c:pt idx="46">
                  <c:v>307.6931428899108</c:v>
                </c:pt>
                <c:pt idx="47">
                  <c:v>320.02967142824974</c:v>
                </c:pt>
                <c:pt idx="48">
                  <c:v>332.35567865620197</c:v>
                </c:pt>
                <c:pt idx="49">
                  <c:v>344.67160985755453</c:v>
                </c:pt>
                <c:pt idx="50">
                  <c:v>356.97787588797092</c:v>
                </c:pt>
                <c:pt idx="51">
                  <c:v>368.52984306951635</c:v>
                </c:pt>
                <c:pt idx="52">
                  <c:v>380.07390996625003</c:v>
                </c:pt>
                <c:pt idx="53">
                  <c:v>391.6103504109567</c:v>
                </c:pt>
                <c:pt idx="54">
                  <c:v>403.13942078264853</c:v>
                </c:pt>
                <c:pt idx="55">
                  <c:v>414.66136159701654</c:v>
                </c:pt>
                <c:pt idx="56">
                  <c:v>340.56739298972877</c:v>
                </c:pt>
                <c:pt idx="57">
                  <c:v>350.266541780946</c:v>
                </c:pt>
                <c:pt idx="58">
                  <c:v>359.95980096859495</c:v>
                </c:pt>
                <c:pt idx="59">
                  <c:v>369.64735159591118</c:v>
                </c:pt>
                <c:pt idx="60">
                  <c:v>379.32936443758189</c:v>
                </c:pt>
                <c:pt idx="61">
                  <c:v>387.88973528733226</c:v>
                </c:pt>
                <c:pt idx="62">
                  <c:v>396.44600495131044</c:v>
                </c:pt>
                <c:pt idx="63">
                  <c:v>404.998274475588</c:v>
                </c:pt>
                <c:pt idx="64">
                  <c:v>413.5466402881853</c:v>
                </c:pt>
                <c:pt idx="65">
                  <c:v>422.09119450330354</c:v>
                </c:pt>
                <c:pt idx="66">
                  <c:v>362.56854195764731</c:v>
                </c:pt>
                <c:pt idx="67">
                  <c:v>370.01983804377795</c:v>
                </c:pt>
                <c:pt idx="68">
                  <c:v>377.46786129485963</c:v>
                </c:pt>
                <c:pt idx="69">
                  <c:v>384.91268544829768</c:v>
                </c:pt>
                <c:pt idx="70">
                  <c:v>392.35438115419657</c:v>
                </c:pt>
                <c:pt idx="71">
                  <c:v>399.04928851891054</c:v>
                </c:pt>
                <c:pt idx="72">
                  <c:v>405.74176424723061</c:v>
                </c:pt>
                <c:pt idx="73">
                  <c:v>412.43185413737996</c:v>
                </c:pt>
                <c:pt idx="74">
                  <c:v>419.11960237941997</c:v>
                </c:pt>
                <c:pt idx="75">
                  <c:v>425.80505163704839</c:v>
                </c:pt>
                <c:pt idx="76">
                  <c:v>379.32936443758177</c:v>
                </c:pt>
                <c:pt idx="77">
                  <c:v>384.91268544829762</c:v>
                </c:pt>
                <c:pt idx="78">
                  <c:v>390.49424676672407</c:v>
                </c:pt>
                <c:pt idx="79">
                  <c:v>396.07407711953414</c:v>
                </c:pt>
                <c:pt idx="80">
                  <c:v>401.65220435716293</c:v>
                </c:pt>
                <c:pt idx="81">
                  <c:v>406.48522456571436</c:v>
                </c:pt>
                <c:pt idx="82">
                  <c:v>411.31700294422717</c:v>
                </c:pt>
                <c:pt idx="83">
                  <c:v>416.1475561543038</c:v>
                </c:pt>
                <c:pt idx="84">
                  <c:v>420.97690043878146</c:v>
                </c:pt>
                <c:pt idx="85">
                  <c:v>425.80505163704839</c:v>
                </c:pt>
                <c:pt idx="86">
                  <c:v>386.77339997206644</c:v>
                </c:pt>
                <c:pt idx="87">
                  <c:v>392.35438115419646</c:v>
                </c:pt>
                <c:pt idx="88">
                  <c:v>397.9336407495843</c:v>
                </c:pt>
                <c:pt idx="89">
                  <c:v>403.51120632532246</c:v>
                </c:pt>
                <c:pt idx="90">
                  <c:v>409.08710462349251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67343584"/>
        <c:axId val="-1467344128"/>
      </c:scatterChart>
      <c:valAx>
        <c:axId val="-14673435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67344128"/>
        <c:crosses val="autoZero"/>
        <c:crossBetween val="midCat"/>
      </c:valAx>
      <c:valAx>
        <c:axId val="-1467344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673435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155.46288225618903</c:v>
                </c:pt>
                <c:pt idx="27">
                  <c:v>169.22076873606747</c:v>
                </c:pt>
                <c:pt idx="28">
                  <c:v>182.95230030612535</c:v>
                </c:pt>
                <c:pt idx="29">
                  <c:v>196.65973476943884</c:v>
                </c:pt>
                <c:pt idx="30">
                  <c:v>210.34498910896306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248.16968942779488</c:v>
                </c:pt>
                <c:pt idx="37">
                  <c:v>264.50544806917611</c:v>
                </c:pt>
                <c:pt idx="38">
                  <c:v>280.81846105391611</c:v>
                </c:pt>
                <c:pt idx="39">
                  <c:v>297.11023564036316</c:v>
                </c:pt>
                <c:pt idx="40">
                  <c:v>313.38210026249641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329.24846413649914</c:v>
                </c:pt>
                <c:pt idx="47">
                  <c:v>345.09796018035962</c:v>
                </c:pt>
                <c:pt idx="48">
                  <c:v>360.93147205550491</c:v>
                </c:pt>
                <c:pt idx="49">
                  <c:v>376.74979957167847</c:v>
                </c:pt>
                <c:pt idx="50">
                  <c:v>392.55366990377706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403.33859253105862</c:v>
                </c:pt>
                <c:pt idx="57">
                  <c:v>417.96533499156266</c:v>
                </c:pt>
                <c:pt idx="58">
                  <c:v>432.58104952108766</c:v>
                </c:pt>
                <c:pt idx="59">
                  <c:v>447.18616113243911</c:v>
                </c:pt>
                <c:pt idx="60">
                  <c:v>461.78106481747727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463.31679190893482</c:v>
                </c:pt>
                <c:pt idx="67">
                  <c:v>476.36612856926143</c:v>
                </c:pt>
                <c:pt idx="68">
                  <c:v>489.40786321667775</c:v>
                </c:pt>
                <c:pt idx="69">
                  <c:v>502.44222694105241</c:v>
                </c:pt>
                <c:pt idx="70">
                  <c:v>515.4694378666801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470.61001955868869</c:v>
                </c:pt>
                <c:pt idx="74">
                  <c:v>482.50434799892832</c:v>
                </c:pt>
                <c:pt idx="75">
                  <c:v>494.39244873679587</c:v>
                </c:pt>
                <c:pt idx="76">
                  <c:v>505.89129373820577</c:v>
                </c:pt>
                <c:pt idx="77">
                  <c:v>517.38461348648957</c:v>
                </c:pt>
                <c:pt idx="78">
                  <c:v>528.87254801147833</c:v>
                </c:pt>
                <c:pt idx="79">
                  <c:v>540.35523076412733</c:v>
                </c:pt>
                <c:pt idx="80">
                  <c:v>551.83278906179692</c:v>
                </c:pt>
                <c:pt idx="81">
                  <c:v>482.12075813367829</c:v>
                </c:pt>
                <c:pt idx="82">
                  <c:v>492.85884412246605</c:v>
                </c:pt>
                <c:pt idx="83">
                  <c:v>503.59197136026643</c:v>
                </c:pt>
                <c:pt idx="84">
                  <c:v>514.32026043494204</c:v>
                </c:pt>
                <c:pt idx="85">
                  <c:v>525.04382649327351</c:v>
                </c:pt>
                <c:pt idx="86">
                  <c:v>535.76277959494894</c:v>
                </c:pt>
                <c:pt idx="87">
                  <c:v>546.47722503675357</c:v>
                </c:pt>
                <c:pt idx="88">
                  <c:v>557.18726365001555</c:v>
                </c:pt>
                <c:pt idx="89">
                  <c:v>567.89299207399438</c:v>
                </c:pt>
                <c:pt idx="90">
                  <c:v>578.59450300758806</c:v>
                </c:pt>
                <c:pt idx="91">
                  <c:v>507.61564043595672</c:v>
                </c:pt>
                <c:pt idx="92">
                  <c:v>517.00159034875594</c:v>
                </c:pt>
                <c:pt idx="93">
                  <c:v>526.3839456981226</c:v>
                </c:pt>
                <c:pt idx="94">
                  <c:v>535.76277959494894</c:v>
                </c:pt>
                <c:pt idx="95">
                  <c:v>545.13816238142283</c:v>
                </c:pt>
                <c:pt idx="96">
                  <c:v>554.51016178271254</c:v>
                </c:pt>
                <c:pt idx="97">
                  <c:v>563.87884304786564</c:v>
                </c:pt>
                <c:pt idx="98">
                  <c:v>573.24426908085582</c:v>
                </c:pt>
                <c:pt idx="99">
                  <c:v>582.60650056262409</c:v>
                </c:pt>
                <c:pt idx="100">
                  <c:v>591.9655960648646</c:v>
                </c:pt>
                <c:pt idx="101">
                  <c:v>520.06560820994252</c:v>
                </c:pt>
                <c:pt idx="102">
                  <c:v>528.48970219589648</c:v>
                </c:pt>
                <c:pt idx="103">
                  <c:v>536.91096968482657</c:v>
                </c:pt>
                <c:pt idx="104">
                  <c:v>545.32946126916943</c:v>
                </c:pt>
                <c:pt idx="105">
                  <c:v>553.74522585166278</c:v>
                </c:pt>
                <c:pt idx="106">
                  <c:v>562.15831072715287</c:v>
                </c:pt>
                <c:pt idx="107">
                  <c:v>570.56876165925303</c:v>
                </c:pt>
                <c:pt idx="108">
                  <c:v>578.97662295224757</c:v>
                </c:pt>
                <c:pt idx="109">
                  <c:v>587.38193751859842</c:v>
                </c:pt>
                <c:pt idx="110">
                  <c:v>595.7847469423923</c:v>
                </c:pt>
                <c:pt idx="111">
                  <c:v>528.29827709857079</c:v>
                </c:pt>
                <c:pt idx="112">
                  <c:v>535.38003807305233</c:v>
                </c:pt>
                <c:pt idx="113">
                  <c:v>542.45982974283959</c:v>
                </c:pt>
                <c:pt idx="114">
                  <c:v>549.53768144295657</c:v>
                </c:pt>
                <c:pt idx="115">
                  <c:v>556.61362169091774</c:v>
                </c:pt>
                <c:pt idx="116">
                  <c:v>563.68767821983818</c:v>
                </c:pt>
                <c:pt idx="117">
                  <c:v>570.75987800979885</c:v>
                </c:pt>
                <c:pt idx="118">
                  <c:v>577.8302473175728</c:v>
                </c:pt>
                <c:pt idx="119">
                  <c:v>584.89881170482306</c:v>
                </c:pt>
                <c:pt idx="120">
                  <c:v>591.96559606486414</c:v>
                </c:pt>
                <c:pt idx="121">
                  <c:v>531.16950054399888</c:v>
                </c:pt>
                <c:pt idx="122">
                  <c:v>537.29368823845141</c:v>
                </c:pt>
                <c:pt idx="123">
                  <c:v>543.41640891561519</c:v>
                </c:pt>
                <c:pt idx="124">
                  <c:v>549.53768144295634</c:v>
                </c:pt>
                <c:pt idx="125">
                  <c:v>555.65752423315837</c:v>
                </c:pt>
                <c:pt idx="126">
                  <c:v>561.77595526008167</c:v>
                </c:pt>
                <c:pt idx="127">
                  <c:v>567.89299207399313</c:v>
                </c:pt>
                <c:pt idx="128">
                  <c:v>574.00865181610322</c:v>
                </c:pt>
                <c:pt idx="129">
                  <c:v>580.12295123245383</c:v>
                </c:pt>
                <c:pt idx="130">
                  <c:v>586.23590668718714</c:v>
                </c:pt>
                <c:pt idx="131">
                  <c:v>532.12650235188266</c:v>
                </c:pt>
                <c:pt idx="132">
                  <c:v>537.29368823845118</c:v>
                </c:pt>
                <c:pt idx="133">
                  <c:v>542.45982974283925</c:v>
                </c:pt>
                <c:pt idx="134">
                  <c:v>547.62493821970475</c:v>
                </c:pt>
                <c:pt idx="135">
                  <c:v>552.78902479193243</c:v>
                </c:pt>
                <c:pt idx="136">
                  <c:v>557.95210035753337</c:v>
                </c:pt>
                <c:pt idx="137">
                  <c:v>563.11417559627546</c:v>
                </c:pt>
                <c:pt idx="138">
                  <c:v>568.27526097606062</c:v>
                </c:pt>
                <c:pt idx="139">
                  <c:v>573.43536675905443</c:v>
                </c:pt>
                <c:pt idx="140">
                  <c:v>578.59450300758647</c:v>
                </c:pt>
                <c:pt idx="141">
                  <c:v>531.55230561741405</c:v>
                </c:pt>
                <c:pt idx="142">
                  <c:v>536.14551536775082</c:v>
                </c:pt>
                <c:pt idx="143">
                  <c:v>540.73789791143247</c:v>
                </c:pt>
                <c:pt idx="144">
                  <c:v>545.32946126916829</c:v>
                </c:pt>
                <c:pt idx="145">
                  <c:v>549.92021331550427</c:v>
                </c:pt>
                <c:pt idx="146">
                  <c:v>554.51016178271107</c:v>
                </c:pt>
                <c:pt idx="147">
                  <c:v>559.09931426453841</c:v>
                </c:pt>
                <c:pt idx="148">
                  <c:v>563.68767821983727</c:v>
                </c:pt>
                <c:pt idx="149">
                  <c:v>568.27526097606028</c:v>
                </c:pt>
                <c:pt idx="150">
                  <c:v>572.86206973264132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67322912"/>
        <c:axId val="-1467349568"/>
      </c:scatterChart>
      <c:valAx>
        <c:axId val="-14673229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67349568"/>
        <c:crosses val="autoZero"/>
        <c:crossBetween val="midCat"/>
      </c:valAx>
      <c:valAx>
        <c:axId val="-1467349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673229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1.9187539791618089</c:v>
                </c:pt>
                <c:pt idx="2">
                  <c:v>2.3739048046992908</c:v>
                </c:pt>
                <c:pt idx="3">
                  <c:v>2.9374441074345867</c:v>
                </c:pt>
                <c:pt idx="4">
                  <c:v>3.6352780855090621</c:v>
                </c:pt>
                <c:pt idx="5">
                  <c:v>4.4995261026160422</c:v>
                </c:pt>
                <c:pt idx="6">
                  <c:v>5.5700155600904404</c:v>
                </c:pt>
                <c:pt idx="7">
                  <c:v>6.8961374885838422</c:v>
                </c:pt>
                <c:pt idx="8">
                  <c:v>8.5391501371991527</c:v>
                </c:pt>
                <c:pt idx="9">
                  <c:v>10.575039007163371</c:v>
                </c:pt>
                <c:pt idx="10">
                  <c:v>13.098068092351689</c:v>
                </c:pt>
                <c:pt idx="11">
                  <c:v>16.225189803711778</c:v>
                </c:pt>
                <c:pt idx="12">
                  <c:v>20.10152172821854</c:v>
                </c:pt>
                <c:pt idx="13">
                  <c:v>24.907148945397026</c:v>
                </c:pt>
                <c:pt idx="14">
                  <c:v>30.86557350936096</c:v>
                </c:pt>
                <c:pt idx="15">
                  <c:v>38.254210904943911</c:v>
                </c:pt>
                <c:pt idx="16">
                  <c:v>47.417430539824153</c:v>
                </c:pt>
                <c:pt idx="17">
                  <c:v>58.782758290837201</c:v>
                </c:pt>
                <c:pt idx="18">
                  <c:v>72.881009569035243</c:v>
                </c:pt>
                <c:pt idx="19">
                  <c:v>90.371308506742437</c:v>
                </c:pt>
                <c:pt idx="20">
                  <c:v>112.07218166479875</c:v>
                </c:pt>
                <c:pt idx="21">
                  <c:v>139.00020426650113</c:v>
                </c:pt>
                <c:pt idx="22">
                  <c:v>172.4180372740486</c:v>
                </c:pt>
                <c:pt idx="23">
                  <c:v>124.58472360701334</c:v>
                </c:pt>
                <c:pt idx="24">
                  <c:v>145.02805620742021</c:v>
                </c:pt>
                <c:pt idx="25">
                  <c:v>165.40237263393973</c:v>
                </c:pt>
                <c:pt idx="26">
                  <c:v>185.71738050051655</c:v>
                </c:pt>
                <c:pt idx="27">
                  <c:v>205.98048401362237</c:v>
                </c:pt>
                <c:pt idx="28">
                  <c:v>178.51850048567619</c:v>
                </c:pt>
                <c:pt idx="29">
                  <c:v>200.02348598066865</c:v>
                </c:pt>
                <c:pt idx="30">
                  <c:v>221.4748626414931</c:v>
                </c:pt>
                <c:pt idx="31">
                  <c:v>242.87855360298772</c:v>
                </c:pt>
                <c:pt idx="32">
                  <c:v>264.2393516504294</c:v>
                </c:pt>
                <c:pt idx="33">
                  <c:v>285.56121089534173</c:v>
                </c:pt>
                <c:pt idx="34">
                  <c:v>242.26244165420414</c:v>
                </c:pt>
                <c:pt idx="35">
                  <c:v>263.73520381427107</c:v>
                </c:pt>
                <c:pt idx="36">
                  <c:v>285.16853501749591</c:v>
                </c:pt>
                <c:pt idx="37">
                  <c:v>306.56581456468081</c:v>
                </c:pt>
                <c:pt idx="38">
                  <c:v>327.9299114637476</c:v>
                </c:pt>
                <c:pt idx="39">
                  <c:v>349.26329041321327</c:v>
                </c:pt>
                <c:pt idx="40">
                  <c:v>370.56809051054285</c:v>
                </c:pt>
                <c:pt idx="41">
                  <c:v>391.84618490100024</c:v>
                </c:pt>
                <c:pt idx="42">
                  <c:v>319.87385016852949</c:v>
                </c:pt>
                <c:pt idx="43">
                  <c:v>339.97241120235793</c:v>
                </c:pt>
                <c:pt idx="44">
                  <c:v>360.04484296464358</c:v>
                </c:pt>
                <c:pt idx="45">
                  <c:v>380.09280633515499</c:v>
                </c:pt>
                <c:pt idx="46">
                  <c:v>400.11777275179617</c:v>
                </c:pt>
                <c:pt idx="47">
                  <c:v>420.12105441362888</c:v>
                </c:pt>
                <c:pt idx="48">
                  <c:v>440.10382843073734</c:v>
                </c:pt>
                <c:pt idx="49">
                  <c:v>460.06715635927225</c:v>
                </c:pt>
                <c:pt idx="50">
                  <c:v>480.01200016945194</c:v>
                </c:pt>
                <c:pt idx="51">
                  <c:v>408.79839326527775</c:v>
                </c:pt>
                <c:pt idx="52">
                  <c:v>426.75219446239697</c:v>
                </c:pt>
                <c:pt idx="53">
                  <c:v>444.68975682178728</c:v>
                </c:pt>
                <c:pt idx="54">
                  <c:v>462.61182724795117</c:v>
                </c:pt>
                <c:pt idx="55">
                  <c:v>480.51909008117696</c:v>
                </c:pt>
                <c:pt idx="56">
                  <c:v>498.41217452232013</c:v>
                </c:pt>
                <c:pt idx="57">
                  <c:v>516.29166093616948</c:v>
                </c:pt>
                <c:pt idx="58">
                  <c:v>534.15808623651117</c:v>
                </c:pt>
                <c:pt idx="59">
                  <c:v>552.01194851351363</c:v>
                </c:pt>
                <c:pt idx="60">
                  <c:v>569.85371103158263</c:v>
                </c:pt>
                <c:pt idx="61">
                  <c:v>496.54621081777759</c:v>
                </c:pt>
                <c:pt idx="62">
                  <c:v>511.61287446770939</c:v>
                </c:pt>
                <c:pt idx="63">
                  <c:v>526.67016955574252</c:v>
                </c:pt>
                <c:pt idx="64">
                  <c:v>541.7184015430804</c:v>
                </c:pt>
                <c:pt idx="65">
                  <c:v>556.75785754371952</c:v>
                </c:pt>
                <c:pt idx="66">
                  <c:v>571.78880790256096</c:v>
                </c:pt>
                <c:pt idx="67">
                  <c:v>586.81150759902118</c:v>
                </c:pt>
                <c:pt idx="68">
                  <c:v>601.82619749950163</c:v>
                </c:pt>
                <c:pt idx="69">
                  <c:v>616.83310547843132</c:v>
                </c:pt>
                <c:pt idx="70">
                  <c:v>631.83244742460067</c:v>
                </c:pt>
                <c:pt idx="71">
                  <c:v>558.51065903898927</c:v>
                </c:pt>
                <c:pt idx="72">
                  <c:v>570.86927504318612</c:v>
                </c:pt>
                <c:pt idx="73">
                  <c:v>583.22230315943023</c:v>
                </c:pt>
                <c:pt idx="74">
                  <c:v>595.56987838765781</c:v>
                </c:pt>
                <c:pt idx="75">
                  <c:v>607.91212967537479</c:v>
                </c:pt>
                <c:pt idx="76">
                  <c:v>620.2491803089523</c:v>
                </c:pt>
                <c:pt idx="77">
                  <c:v>632.58114827218685</c:v>
                </c:pt>
                <c:pt idx="78">
                  <c:v>644.90814657545741</c:v>
                </c:pt>
                <c:pt idx="79">
                  <c:v>657.23028355841996</c:v>
                </c:pt>
                <c:pt idx="80">
                  <c:v>669.54766316883149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67344672"/>
        <c:axId val="-1467343040"/>
      </c:scatterChart>
      <c:valAx>
        <c:axId val="-14673446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67343040"/>
        <c:crosses val="autoZero"/>
        <c:crossBetween val="midCat"/>
      </c:valAx>
      <c:valAx>
        <c:axId val="-1467343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673446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1.7916401853770756</c:v>
                </c:pt>
                <c:pt idx="2">
                  <c:v>2.0696284937632212</c:v>
                </c:pt>
                <c:pt idx="3">
                  <c:v>2.3909076147077641</c:v>
                </c:pt>
                <c:pt idx="4">
                  <c:v>2.7622425714808005</c:v>
                </c:pt>
                <c:pt idx="5">
                  <c:v>3.1914589913744771</c:v>
                </c:pt>
                <c:pt idx="6">
                  <c:v>3.6876098884172968</c:v>
                </c:pt>
                <c:pt idx="7">
                  <c:v>4.2611687466615322</c:v>
                </c:pt>
                <c:pt idx="8">
                  <c:v>4.9242530621859038</c:v>
                </c:pt>
                <c:pt idx="9">
                  <c:v>5.6908831609160648</c:v>
                </c:pt>
                <c:pt idx="10">
                  <c:v>6.5772818729793769</c:v>
                </c:pt>
                <c:pt idx="11">
                  <c:v>7.6022215292314961</c:v>
                </c:pt>
                <c:pt idx="12">
                  <c:v>8.7874257711277881</c:v>
                </c:pt>
                <c:pt idx="13">
                  <c:v>10.158034853649696</c:v>
                </c:pt>
                <c:pt idx="14">
                  <c:v>11.743144498490622</c:v>
                </c:pt>
                <c:pt idx="15">
                  <c:v>13.576429951255363</c:v>
                </c:pt>
                <c:pt idx="16">
                  <c:v>15.696868746929809</c:v>
                </c:pt>
                <c:pt idx="17">
                  <c:v>18.149577832801743</c:v>
                </c:pt>
                <c:pt idx="18">
                  <c:v>20.986783184285837</c:v>
                </c:pt>
                <c:pt idx="19">
                  <c:v>24.268942931145151</c:v>
                </c:pt>
                <c:pt idx="20">
                  <c:v>28.066048352515214</c:v>
                </c:pt>
                <c:pt idx="21">
                  <c:v>32.459130972111687</c:v>
                </c:pt>
                <c:pt idx="22">
                  <c:v>37.542008474916045</c:v>
                </c:pt>
                <c:pt idx="23">
                  <c:v>43.423307371923194</c:v>
                </c:pt>
                <c:pt idx="24">
                  <c:v>50.228806374368297</c:v>
                </c:pt>
                <c:pt idx="25">
                  <c:v>58.104151435642841</c:v>
                </c:pt>
                <c:pt idx="26">
                  <c:v>67.218001531444202</c:v>
                </c:pt>
                <c:pt idx="27">
                  <c:v>77.765673654715798</c:v>
                </c:pt>
                <c:pt idx="28">
                  <c:v>89.973366408253185</c:v>
                </c:pt>
                <c:pt idx="29">
                  <c:v>104.10305422414478</c:v>
                </c:pt>
                <c:pt idx="30">
                  <c:v>120.45815890349847</c:v>
                </c:pt>
                <c:pt idx="31">
                  <c:v>139.39012217467084</c:v>
                </c:pt>
                <c:pt idx="32">
                  <c:v>161.30602268756169</c:v>
                </c:pt>
                <c:pt idx="33">
                  <c:v>113.69914945997108</c:v>
                </c:pt>
                <c:pt idx="34">
                  <c:v>126.12965241438131</c:v>
                </c:pt>
                <c:pt idx="35">
                  <c:v>138.53044263697197</c:v>
                </c:pt>
                <c:pt idx="36">
                  <c:v>150.90455756698671</c:v>
                </c:pt>
                <c:pt idx="37">
                  <c:v>163.2544947857113</c:v>
                </c:pt>
                <c:pt idx="38">
                  <c:v>175.5823424815143</c:v>
                </c:pt>
                <c:pt idx="39">
                  <c:v>187.88987123468576</c:v>
                </c:pt>
                <c:pt idx="40">
                  <c:v>200.17860042757502</c:v>
                </c:pt>
                <c:pt idx="41">
                  <c:v>140.34112384075158</c:v>
                </c:pt>
                <c:pt idx="42">
                  <c:v>153.217428030631</c:v>
                </c:pt>
                <c:pt idx="43">
                  <c:v>166.06798531764863</c:v>
                </c:pt>
                <c:pt idx="44">
                  <c:v>178.89507020866532</c:v>
                </c:pt>
                <c:pt idx="45">
                  <c:v>191.70060392958302</c:v>
                </c:pt>
                <c:pt idx="46">
                  <c:v>204.48622975560693</c:v>
                </c:pt>
                <c:pt idx="47">
                  <c:v>217.2533684705445</c:v>
                </c:pt>
                <c:pt idx="48">
                  <c:v>230.00326008127158</c:v>
                </c:pt>
                <c:pt idx="49">
                  <c:v>242.736995782945</c:v>
                </c:pt>
                <c:pt idx="50">
                  <c:v>171.33780641491845</c:v>
                </c:pt>
                <c:pt idx="51">
                  <c:v>182.65124759561698</c:v>
                </c:pt>
                <c:pt idx="52">
                  <c:v>193.94830249519498</c:v>
                </c:pt>
                <c:pt idx="53">
                  <c:v>205.23006081804292</c:v>
                </c:pt>
                <c:pt idx="54">
                  <c:v>216.49748255007356</c:v>
                </c:pt>
                <c:pt idx="55">
                  <c:v>227.75141949538093</c:v>
                </c:pt>
                <c:pt idx="56">
                  <c:v>238.99263232697908</c:v>
                </c:pt>
                <c:pt idx="57">
                  <c:v>250.22180425745921</c:v>
                </c:pt>
                <c:pt idx="58">
                  <c:v>261.43955212439715</c:v>
                </c:pt>
                <c:pt idx="59">
                  <c:v>272.64643547165798</c:v>
                </c:pt>
                <c:pt idx="60">
                  <c:v>283.84296405810704</c:v>
                </c:pt>
                <c:pt idx="61">
                  <c:v>202.6640303075537</c:v>
                </c:pt>
                <c:pt idx="62">
                  <c:v>212.8966630324926</c:v>
                </c:pt>
                <c:pt idx="63">
                  <c:v>223.11796712539521</c:v>
                </c:pt>
                <c:pt idx="64">
                  <c:v>233.32853515424782</c:v>
                </c:pt>
                <c:pt idx="65">
                  <c:v>243.52890353990992</c:v>
                </c:pt>
                <c:pt idx="66">
                  <c:v>253.71956005637853</c:v>
                </c:pt>
                <c:pt idx="67">
                  <c:v>263.90095006171481</c:v>
                </c:pt>
                <c:pt idx="68">
                  <c:v>274.07348171615934</c:v>
                </c:pt>
                <c:pt idx="69">
                  <c:v>284.23753038433046</c:v>
                </c:pt>
                <c:pt idx="70">
                  <c:v>294.39344237430413</c:v>
                </c:pt>
                <c:pt idx="71">
                  <c:v>304.54153813337172</c:v>
                </c:pt>
                <c:pt idx="72">
                  <c:v>314.68211499527439</c:v>
                </c:pt>
                <c:pt idx="73">
                  <c:v>324.81544955459077</c:v>
                </c:pt>
                <c:pt idx="74">
                  <c:v>246.91859919087901</c:v>
                </c:pt>
                <c:pt idx="75">
                  <c:v>254.95565122562834</c:v>
                </c:pt>
                <c:pt idx="76">
                  <c:v>262.98696978963306</c:v>
                </c:pt>
                <c:pt idx="77">
                  <c:v>271.01275486164383</c:v>
                </c:pt>
                <c:pt idx="78">
                  <c:v>279.03319359622645</c:v>
                </c:pt>
                <c:pt idx="79">
                  <c:v>287.04846149927107</c:v>
                </c:pt>
                <c:pt idx="80">
                  <c:v>295.05872346522455</c:v>
                </c:pt>
                <c:pt idx="81">
                  <c:v>303.06413469570208</c:v>
                </c:pt>
                <c:pt idx="82">
                  <c:v>311.06484151588677</c:v>
                </c:pt>
                <c:pt idx="83">
                  <c:v>319.06098210248155</c:v>
                </c:pt>
                <c:pt idx="84">
                  <c:v>327.05268713481996</c:v>
                </c:pt>
                <c:pt idx="85">
                  <c:v>335.04008037896625</c:v>
                </c:pt>
                <c:pt idx="86">
                  <c:v>343.0232792131676</c:v>
                </c:pt>
                <c:pt idx="87">
                  <c:v>351.00239510180586</c:v>
                </c:pt>
                <c:pt idx="88">
                  <c:v>358.9775340239749</c:v>
                </c:pt>
                <c:pt idx="89">
                  <c:v>366.94879686196288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67342496"/>
        <c:axId val="-1467336512"/>
      </c:scatterChart>
      <c:valAx>
        <c:axId val="-14673424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67336512"/>
        <c:crosses val="autoZero"/>
        <c:crossBetween val="midCat"/>
      </c:valAx>
      <c:valAx>
        <c:axId val="-1467336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673424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1.4647854151676807</c:v>
                </c:pt>
                <c:pt idx="2">
                  <c:v>1.850059493826502</c:v>
                </c:pt>
                <c:pt idx="3">
                  <c:v>2.3370785233308911</c:v>
                </c:pt>
                <c:pt idx="4">
                  <c:v>2.9528138663313848</c:v>
                </c:pt>
                <c:pt idx="5">
                  <c:v>3.7314120779494235</c:v>
                </c:pt>
                <c:pt idx="6">
                  <c:v>4.7161100224737451</c:v>
                </c:pt>
                <c:pt idx="7">
                  <c:v>5.9616627066785979</c:v>
                </c:pt>
                <c:pt idx="8">
                  <c:v>7.5374214779895388</c:v>
                </c:pt>
                <c:pt idx="9">
                  <c:v>9.5312372840313433</c:v>
                </c:pt>
                <c:pt idx="10">
                  <c:v>12.054410733070766</c:v>
                </c:pt>
                <c:pt idx="11">
                  <c:v>15.247970434442587</c:v>
                </c:pt>
                <c:pt idx="12">
                  <c:v>19.290636967950768</c:v>
                </c:pt>
                <c:pt idx="13">
                  <c:v>24.408926195535471</c:v>
                </c:pt>
                <c:pt idx="14">
                  <c:v>30.889968034082738</c:v>
                </c:pt>
                <c:pt idx="15">
                  <c:v>39.097772305937845</c:v>
                </c:pt>
                <c:pt idx="16">
                  <c:v>49.493870836600898</c:v>
                </c:pt>
                <c:pt idx="17">
                  <c:v>62.663515972141028</c:v>
                </c:pt>
                <c:pt idx="18">
                  <c:v>79.348934629498771</c:v>
                </c:pt>
                <c:pt idx="19">
                  <c:v>101.74927414228381</c:v>
                </c:pt>
                <c:pt idx="20">
                  <c:v>124.02689857686322</c:v>
                </c:pt>
                <c:pt idx="21">
                  <c:v>146.20706576742037</c:v>
                </c:pt>
                <c:pt idx="22">
                  <c:v>168.30668061428091</c:v>
                </c:pt>
                <c:pt idx="23">
                  <c:v>190.33782299028056</c:v>
                </c:pt>
                <c:pt idx="24">
                  <c:v>156.01690157907348</c:v>
                </c:pt>
                <c:pt idx="25">
                  <c:v>182.10748009693808</c:v>
                </c:pt>
                <c:pt idx="26">
                  <c:v>208.11050084048546</c:v>
                </c:pt>
                <c:pt idx="27">
                  <c:v>234.03845020577921</c:v>
                </c:pt>
                <c:pt idx="28">
                  <c:v>259.9008152608456</c:v>
                </c:pt>
                <c:pt idx="29">
                  <c:v>286.84221892490893</c:v>
                </c:pt>
                <c:pt idx="30">
                  <c:v>313.72701376737501</c:v>
                </c:pt>
                <c:pt idx="31">
                  <c:v>340.5607294191388</c:v>
                </c:pt>
                <c:pt idx="32">
                  <c:v>367.34795297163237</c:v>
                </c:pt>
                <c:pt idx="33">
                  <c:v>394.09254810392412</c:v>
                </c:pt>
                <c:pt idx="34">
                  <c:v>301.42724140998001</c:v>
                </c:pt>
                <c:pt idx="35">
                  <c:v>327.71684527393012</c:v>
                </c:pt>
                <c:pt idx="36">
                  <c:v>353.95989635089626</c:v>
                </c:pt>
                <c:pt idx="37">
                  <c:v>380.160328372322</c:v>
                </c:pt>
                <c:pt idx="38">
                  <c:v>406.32148880719052</c:v>
                </c:pt>
                <c:pt idx="39">
                  <c:v>430.00440790035373</c:v>
                </c:pt>
                <c:pt idx="40">
                  <c:v>453.65930664053917</c:v>
                </c:pt>
                <c:pt idx="41">
                  <c:v>477.28785020034371</c:v>
                </c:pt>
                <c:pt idx="42">
                  <c:v>500.89152556647787</c:v>
                </c:pt>
                <c:pt idx="43">
                  <c:v>524.47166827471267</c:v>
                </c:pt>
                <c:pt idx="44">
                  <c:v>427.93799333307169</c:v>
                </c:pt>
                <c:pt idx="45">
                  <c:v>449.53102985794357</c:v>
                </c:pt>
                <c:pt idx="46">
                  <c:v>471.1018833558872</c:v>
                </c:pt>
                <c:pt idx="47">
                  <c:v>492.65171161322957</c:v>
                </c:pt>
                <c:pt idx="48">
                  <c:v>514.18156294337689</c:v>
                </c:pt>
                <c:pt idx="49">
                  <c:v>533.07466842838869</c:v>
                </c:pt>
                <c:pt idx="50">
                  <c:v>551.95369434702229</c:v>
                </c:pt>
                <c:pt idx="51">
                  <c:v>570.81918970877302</c:v>
                </c:pt>
                <c:pt idx="52">
                  <c:v>589.67166430237876</c:v>
                </c:pt>
                <c:pt idx="53">
                  <c:v>608.51159268756396</c:v>
                </c:pt>
                <c:pt idx="54">
                  <c:v>537.188111278973</c:v>
                </c:pt>
                <c:pt idx="55">
                  <c:v>553.6353194452139</c:v>
                </c:pt>
                <c:pt idx="56">
                  <c:v>570.07229224422372</c:v>
                </c:pt>
                <c:pt idx="57">
                  <c:v>586.49936617948526</c:v>
                </c:pt>
                <c:pt idx="58">
                  <c:v>602.91685737914997</c:v>
                </c:pt>
                <c:pt idx="59">
                  <c:v>617.08811705349808</c:v>
                </c:pt>
                <c:pt idx="60">
                  <c:v>631.25263281623972</c:v>
                </c:pt>
                <c:pt idx="61">
                  <c:v>645.41057723213942</c:v>
                </c:pt>
                <c:pt idx="62">
                  <c:v>659.56211468201639</c:v>
                </c:pt>
                <c:pt idx="63">
                  <c:v>673.70740192177618</c:v>
                </c:pt>
                <c:pt idx="64">
                  <c:v>619.32506336238896</c:v>
                </c:pt>
                <c:pt idx="65">
                  <c:v>631.06630064172725</c:v>
                </c:pt>
                <c:pt idx="66">
                  <c:v>642.80302101929783</c:v>
                </c:pt>
                <c:pt idx="67">
                  <c:v>654.53531856159873</c:v>
                </c:pt>
                <c:pt idx="68">
                  <c:v>666.26328368923998</c:v>
                </c:pt>
                <c:pt idx="69">
                  <c:v>675.75423729144916</c:v>
                </c:pt>
                <c:pt idx="70">
                  <c:v>685.24245337230741</c:v>
                </c:pt>
                <c:pt idx="71">
                  <c:v>694.72797517077015</c:v>
                </c:pt>
                <c:pt idx="72">
                  <c:v>704.21084464911007</c:v>
                </c:pt>
                <c:pt idx="73">
                  <c:v>713.69110254766395</c:v>
                </c:pt>
                <c:pt idx="74">
                  <c:v>672.96306649134704</c:v>
                </c:pt>
                <c:pt idx="75">
                  <c:v>680.59170636714771</c:v>
                </c:pt>
                <c:pt idx="76">
                  <c:v>688.21859138722095</c:v>
                </c:pt>
                <c:pt idx="77">
                  <c:v>695.84374373909066</c:v>
                </c:pt>
                <c:pt idx="78">
                  <c:v>703.46718508441745</c:v>
                </c:pt>
                <c:pt idx="79">
                  <c:v>1.0714397109046761E-11</c:v>
                </c:pt>
                <c:pt idx="80">
                  <c:v>1.0714397109046761E-11</c:v>
                </c:pt>
                <c:pt idx="81">
                  <c:v>1.0714397109046761E-11</c:v>
                </c:pt>
                <c:pt idx="82">
                  <c:v>1.0714397109046761E-11</c:v>
                </c:pt>
                <c:pt idx="83">
                  <c:v>1.0714397109046761E-11</c:v>
                </c:pt>
                <c:pt idx="84">
                  <c:v>1.0714397109046761E-11</c:v>
                </c:pt>
                <c:pt idx="85">
                  <c:v>1.0714397109046761E-11</c:v>
                </c:pt>
                <c:pt idx="86">
                  <c:v>1.0714397109046761E-11</c:v>
                </c:pt>
                <c:pt idx="87">
                  <c:v>1.0714397109046761E-11</c:v>
                </c:pt>
                <c:pt idx="88">
                  <c:v>1.0714397109046761E-11</c:v>
                </c:pt>
                <c:pt idx="89">
                  <c:v>1.0714397109046761E-11</c:v>
                </c:pt>
                <c:pt idx="90">
                  <c:v>1.0714397109046761E-11</c:v>
                </c:pt>
                <c:pt idx="91">
                  <c:v>1.0714397109046761E-11</c:v>
                </c:pt>
                <c:pt idx="92">
                  <c:v>1.0714397109046761E-11</c:v>
                </c:pt>
                <c:pt idx="93">
                  <c:v>1.0714397109046761E-11</c:v>
                </c:pt>
                <c:pt idx="94">
                  <c:v>1.0714397109046761E-11</c:v>
                </c:pt>
                <c:pt idx="95">
                  <c:v>1.0714397109046761E-11</c:v>
                </c:pt>
                <c:pt idx="96">
                  <c:v>1.0714397109046761E-11</c:v>
                </c:pt>
                <c:pt idx="97">
                  <c:v>1.0714397109046761E-11</c:v>
                </c:pt>
                <c:pt idx="98">
                  <c:v>1.0714397109046761E-11</c:v>
                </c:pt>
                <c:pt idx="99">
                  <c:v>1.0714397109046761E-11</c:v>
                </c:pt>
                <c:pt idx="100">
                  <c:v>1.0714397109046761E-11</c:v>
                </c:pt>
                <c:pt idx="101">
                  <c:v>1.0714397109046761E-11</c:v>
                </c:pt>
                <c:pt idx="102">
                  <c:v>1.0714397109046761E-11</c:v>
                </c:pt>
                <c:pt idx="103">
                  <c:v>1.0714397109046761E-11</c:v>
                </c:pt>
                <c:pt idx="104">
                  <c:v>1.0714397109046761E-11</c:v>
                </c:pt>
                <c:pt idx="105">
                  <c:v>1.0714397109046761E-11</c:v>
                </c:pt>
                <c:pt idx="106">
                  <c:v>1.0714397109046761E-11</c:v>
                </c:pt>
                <c:pt idx="107">
                  <c:v>1.0714397109046761E-11</c:v>
                </c:pt>
                <c:pt idx="108">
                  <c:v>1.0714397109046761E-11</c:v>
                </c:pt>
                <c:pt idx="109">
                  <c:v>1.0714397109046761E-11</c:v>
                </c:pt>
                <c:pt idx="110">
                  <c:v>1.0714397109046761E-11</c:v>
                </c:pt>
                <c:pt idx="111">
                  <c:v>1.0714397109046761E-11</c:v>
                </c:pt>
                <c:pt idx="112">
                  <c:v>1.0714397109046761E-11</c:v>
                </c:pt>
                <c:pt idx="113">
                  <c:v>1.0714397109046761E-11</c:v>
                </c:pt>
                <c:pt idx="114">
                  <c:v>1.0714397109046761E-11</c:v>
                </c:pt>
                <c:pt idx="115">
                  <c:v>1.0714397109046761E-11</c:v>
                </c:pt>
                <c:pt idx="116">
                  <c:v>1.0714397109046761E-11</c:v>
                </c:pt>
                <c:pt idx="117">
                  <c:v>1.0714397109046761E-11</c:v>
                </c:pt>
                <c:pt idx="118">
                  <c:v>1.0714397109046761E-11</c:v>
                </c:pt>
                <c:pt idx="119">
                  <c:v>1.0714397109046761E-11</c:v>
                </c:pt>
                <c:pt idx="120">
                  <c:v>1.0714397109046761E-11</c:v>
                </c:pt>
                <c:pt idx="121">
                  <c:v>1.0714397109046761E-11</c:v>
                </c:pt>
                <c:pt idx="122">
                  <c:v>1.0714397109046761E-11</c:v>
                </c:pt>
                <c:pt idx="123">
                  <c:v>1.0714397109046761E-11</c:v>
                </c:pt>
                <c:pt idx="124">
                  <c:v>1.0714397109046761E-11</c:v>
                </c:pt>
                <c:pt idx="125">
                  <c:v>1.0714397109046761E-11</c:v>
                </c:pt>
                <c:pt idx="126">
                  <c:v>1.0714397109046761E-11</c:v>
                </c:pt>
                <c:pt idx="127">
                  <c:v>1.0714397109046761E-11</c:v>
                </c:pt>
                <c:pt idx="128">
                  <c:v>1.0714397109046761E-11</c:v>
                </c:pt>
                <c:pt idx="129">
                  <c:v>1.0714397109046761E-11</c:v>
                </c:pt>
                <c:pt idx="130">
                  <c:v>1.0714397109046761E-11</c:v>
                </c:pt>
                <c:pt idx="131">
                  <c:v>1.0714397109046761E-11</c:v>
                </c:pt>
                <c:pt idx="132">
                  <c:v>1.0714397109046761E-11</c:v>
                </c:pt>
                <c:pt idx="133">
                  <c:v>1.0714397109046761E-11</c:v>
                </c:pt>
                <c:pt idx="134">
                  <c:v>1.0714397109046761E-11</c:v>
                </c:pt>
                <c:pt idx="135">
                  <c:v>1.0714397109046761E-11</c:v>
                </c:pt>
                <c:pt idx="136">
                  <c:v>1.0714397109046761E-11</c:v>
                </c:pt>
                <c:pt idx="137">
                  <c:v>1.0714397109046761E-11</c:v>
                </c:pt>
                <c:pt idx="138">
                  <c:v>1.0714397109046761E-11</c:v>
                </c:pt>
                <c:pt idx="139">
                  <c:v>1.0714397109046761E-11</c:v>
                </c:pt>
                <c:pt idx="140">
                  <c:v>1.0714397109046761E-11</c:v>
                </c:pt>
                <c:pt idx="141">
                  <c:v>1.0714397109046761E-11</c:v>
                </c:pt>
                <c:pt idx="142">
                  <c:v>1.0714397109046761E-11</c:v>
                </c:pt>
                <c:pt idx="143">
                  <c:v>1.0714397109046761E-11</c:v>
                </c:pt>
                <c:pt idx="144">
                  <c:v>1.0714397109046761E-11</c:v>
                </c:pt>
                <c:pt idx="145">
                  <c:v>1.0714397109046761E-11</c:v>
                </c:pt>
                <c:pt idx="146">
                  <c:v>1.0714397109046761E-11</c:v>
                </c:pt>
                <c:pt idx="147">
                  <c:v>1.0714397109046761E-11</c:v>
                </c:pt>
                <c:pt idx="148">
                  <c:v>1.0714397109046761E-11</c:v>
                </c:pt>
                <c:pt idx="149">
                  <c:v>1.0714397109046761E-11</c:v>
                </c:pt>
                <c:pt idx="150">
                  <c:v>1.0714397109046761E-11</c:v>
                </c:pt>
                <c:pt idx="151">
                  <c:v>1.0714397109046761E-11</c:v>
                </c:pt>
                <c:pt idx="152">
                  <c:v>1.0714397109046761E-11</c:v>
                </c:pt>
                <c:pt idx="153">
                  <c:v>1.0714397109046761E-11</c:v>
                </c:pt>
                <c:pt idx="154">
                  <c:v>1.0714397109046761E-11</c:v>
                </c:pt>
                <c:pt idx="155">
                  <c:v>1.0714397109046761E-11</c:v>
                </c:pt>
                <c:pt idx="156">
                  <c:v>1.0714397109046761E-11</c:v>
                </c:pt>
                <c:pt idx="157">
                  <c:v>1.0714397109046761E-11</c:v>
                </c:pt>
                <c:pt idx="158">
                  <c:v>1.0714397109046761E-11</c:v>
                </c:pt>
                <c:pt idx="159">
                  <c:v>1.0714397109046761E-11</c:v>
                </c:pt>
                <c:pt idx="160">
                  <c:v>1.0714397109046761E-11</c:v>
                </c:pt>
                <c:pt idx="161">
                  <c:v>1.0714397109046761E-11</c:v>
                </c:pt>
                <c:pt idx="162">
                  <c:v>1.0714397109046761E-11</c:v>
                </c:pt>
                <c:pt idx="163">
                  <c:v>1.0714397109046761E-11</c:v>
                </c:pt>
                <c:pt idx="164">
                  <c:v>1.0714397109046761E-11</c:v>
                </c:pt>
                <c:pt idx="165">
                  <c:v>1.0714397109046761E-11</c:v>
                </c:pt>
                <c:pt idx="166">
                  <c:v>1.0714397109046761E-11</c:v>
                </c:pt>
                <c:pt idx="167">
                  <c:v>1.0714397109046761E-11</c:v>
                </c:pt>
                <c:pt idx="168">
                  <c:v>1.0714397109046761E-11</c:v>
                </c:pt>
                <c:pt idx="169">
                  <c:v>1.0714397109046761E-11</c:v>
                </c:pt>
                <c:pt idx="170">
                  <c:v>1.0714397109046761E-11</c:v>
                </c:pt>
                <c:pt idx="171">
                  <c:v>1.0714397109046761E-11</c:v>
                </c:pt>
                <c:pt idx="172">
                  <c:v>1.0714397109046761E-11</c:v>
                </c:pt>
                <c:pt idx="173">
                  <c:v>1.0714397109046761E-11</c:v>
                </c:pt>
                <c:pt idx="174">
                  <c:v>1.0714397109046761E-11</c:v>
                </c:pt>
                <c:pt idx="175">
                  <c:v>1.0714397109046761E-11</c:v>
                </c:pt>
                <c:pt idx="176">
                  <c:v>1.0714397109046761E-11</c:v>
                </c:pt>
                <c:pt idx="177">
                  <c:v>1.0714397109046761E-11</c:v>
                </c:pt>
                <c:pt idx="178">
                  <c:v>1.0714397109046761E-11</c:v>
                </c:pt>
                <c:pt idx="179">
                  <c:v>1.0714397109046761E-11</c:v>
                </c:pt>
                <c:pt idx="180">
                  <c:v>1.0714397109046761E-11</c:v>
                </c:pt>
                <c:pt idx="181">
                  <c:v>1.0714397109046761E-11</c:v>
                </c:pt>
                <c:pt idx="182">
                  <c:v>1.0714397109046761E-11</c:v>
                </c:pt>
                <c:pt idx="183">
                  <c:v>1.0714397109046761E-11</c:v>
                </c:pt>
                <c:pt idx="184">
                  <c:v>1.0714397109046761E-11</c:v>
                </c:pt>
                <c:pt idx="185">
                  <c:v>1.0714397109046761E-11</c:v>
                </c:pt>
                <c:pt idx="186">
                  <c:v>1.0714397109046761E-11</c:v>
                </c:pt>
                <c:pt idx="187">
                  <c:v>1.0714397109046761E-11</c:v>
                </c:pt>
                <c:pt idx="188">
                  <c:v>1.0714397109046761E-11</c:v>
                </c:pt>
                <c:pt idx="189">
                  <c:v>1.0714397109046761E-11</c:v>
                </c:pt>
                <c:pt idx="190">
                  <c:v>1.0714397109046761E-11</c:v>
                </c:pt>
                <c:pt idx="191">
                  <c:v>1.0714397109046761E-11</c:v>
                </c:pt>
                <c:pt idx="192">
                  <c:v>1.0714397109046761E-11</c:v>
                </c:pt>
                <c:pt idx="193">
                  <c:v>1.0714397109046761E-11</c:v>
                </c:pt>
                <c:pt idx="194">
                  <c:v>1.0714397109046761E-11</c:v>
                </c:pt>
                <c:pt idx="195">
                  <c:v>1.0714397109046761E-11</c:v>
                </c:pt>
                <c:pt idx="196">
                  <c:v>1.0714397109046761E-11</c:v>
                </c:pt>
                <c:pt idx="197">
                  <c:v>1.0714397109046761E-11</c:v>
                </c:pt>
                <c:pt idx="198">
                  <c:v>1.0714397109046761E-11</c:v>
                </c:pt>
                <c:pt idx="199">
                  <c:v>1.0714397109046761E-11</c:v>
                </c:pt>
                <c:pt idx="200">
                  <c:v>1.0714397109046761E-11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67335968"/>
        <c:axId val="-1467333248"/>
      </c:scatterChart>
      <c:valAx>
        <c:axId val="-14673359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67333248"/>
        <c:crosses val="autoZero"/>
        <c:crossBetween val="midCat"/>
      </c:valAx>
      <c:valAx>
        <c:axId val="-146733324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673359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topLeftCell="A4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88" t="s">
        <v>291</v>
      </c>
      <c r="C12" s="288"/>
      <c r="D12" s="288"/>
      <c r="E12" s="288"/>
      <c r="F12" s="288"/>
      <c r="G12" s="288"/>
      <c r="H12" s="288"/>
      <c r="I12" s="288"/>
      <c r="J12" s="288"/>
      <c r="K12" s="288"/>
      <c r="L12" s="288"/>
      <c r="M12" s="288"/>
    </row>
    <row r="13" spans="2:13" ht="15" customHeight="1" x14ac:dyDescent="0.3">
      <c r="B13" s="288"/>
      <c r="C13" s="288"/>
      <c r="D13" s="288"/>
      <c r="E13" s="288"/>
      <c r="F13" s="288"/>
      <c r="G13" s="288"/>
      <c r="H13" s="288"/>
      <c r="I13" s="288"/>
      <c r="J13" s="288"/>
      <c r="K13" s="288"/>
      <c r="L13" s="288"/>
      <c r="M13" s="288"/>
    </row>
    <row r="14" spans="2:13" ht="15" customHeight="1" x14ac:dyDescent="0.3">
      <c r="B14" s="288"/>
      <c r="C14" s="288"/>
      <c r="D14" s="288"/>
      <c r="E14" s="288"/>
      <c r="F14" s="288"/>
      <c r="G14" s="288"/>
      <c r="H14" s="288"/>
      <c r="I14" s="288"/>
      <c r="J14" s="288"/>
      <c r="K14" s="288"/>
      <c r="L14" s="288"/>
      <c r="M14" s="288"/>
    </row>
    <row r="15" spans="2:13" ht="18.75" customHeight="1" x14ac:dyDescent="0.3">
      <c r="B15" s="288"/>
      <c r="C15" s="288"/>
      <c r="D15" s="288"/>
      <c r="E15" s="288"/>
      <c r="F15" s="288"/>
      <c r="G15" s="288"/>
      <c r="H15" s="288"/>
      <c r="I15" s="288"/>
      <c r="J15" s="288"/>
      <c r="K15" s="288"/>
      <c r="L15" s="288"/>
      <c r="M15" s="288"/>
    </row>
    <row r="16" spans="2:13" ht="18.75" customHeight="1" x14ac:dyDescent="0.3">
      <c r="B16" s="288"/>
      <c r="C16" s="288"/>
      <c r="D16" s="288"/>
      <c r="E16" s="288"/>
      <c r="F16" s="288"/>
      <c r="G16" s="288"/>
      <c r="H16" s="288"/>
      <c r="I16" s="288"/>
      <c r="J16" s="288"/>
      <c r="K16" s="288"/>
      <c r="L16" s="288"/>
      <c r="M16" s="288"/>
    </row>
    <row r="18" spans="2:13" ht="12" customHeight="1" x14ac:dyDescent="0.3">
      <c r="B18" s="288" t="s">
        <v>292</v>
      </c>
      <c r="C18" s="288"/>
      <c r="D18" s="288"/>
      <c r="E18" s="288"/>
      <c r="F18" s="288"/>
      <c r="G18" s="288"/>
      <c r="H18" s="288"/>
      <c r="I18" s="288"/>
      <c r="J18" s="288"/>
      <c r="K18" s="288"/>
      <c r="L18" s="288"/>
      <c r="M18" s="288"/>
    </row>
    <row r="19" spans="2:13" ht="12" customHeight="1" x14ac:dyDescent="0.3">
      <c r="B19" s="288"/>
      <c r="C19" s="288"/>
      <c r="D19" s="288"/>
      <c r="E19" s="288"/>
      <c r="F19" s="288"/>
      <c r="G19" s="288"/>
      <c r="H19" s="288"/>
      <c r="I19" s="288"/>
      <c r="J19" s="288"/>
      <c r="K19" s="288"/>
      <c r="L19" s="288"/>
      <c r="M19" s="288"/>
    </row>
    <row r="20" spans="2:13" ht="12" customHeight="1" x14ac:dyDescent="0.3">
      <c r="B20" s="288"/>
      <c r="C20" s="288"/>
      <c r="D20" s="288"/>
      <c r="E20" s="288"/>
      <c r="F20" s="288"/>
      <c r="G20" s="288"/>
      <c r="H20" s="288"/>
      <c r="I20" s="288"/>
      <c r="J20" s="288"/>
      <c r="K20" s="288"/>
      <c r="L20" s="288"/>
      <c r="M20" s="288"/>
    </row>
    <row r="21" spans="2:13" ht="12" customHeight="1" x14ac:dyDescent="0.3">
      <c r="B21" s="288"/>
      <c r="C21" s="288"/>
      <c r="D21" s="288"/>
      <c r="E21" s="288"/>
      <c r="F21" s="288"/>
      <c r="G21" s="288"/>
      <c r="H21" s="288"/>
      <c r="I21" s="288"/>
      <c r="J21" s="288"/>
      <c r="K21" s="288"/>
      <c r="L21" s="288"/>
      <c r="M21" s="288"/>
    </row>
    <row r="22" spans="2:13" ht="12" customHeight="1" x14ac:dyDescent="0.3">
      <c r="B22" s="288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</row>
    <row r="23" spans="2:13" ht="12" customHeight="1" x14ac:dyDescent="0.3">
      <c r="B23" s="288"/>
      <c r="C23" s="288"/>
      <c r="D23" s="288"/>
      <c r="E23" s="288"/>
      <c r="F23" s="288"/>
      <c r="G23" s="288"/>
      <c r="H23" s="288"/>
      <c r="I23" s="288"/>
      <c r="J23" s="288"/>
      <c r="K23" s="288"/>
      <c r="L23" s="288"/>
      <c r="M23" s="288"/>
    </row>
    <row r="24" spans="2:13" ht="12" customHeight="1" x14ac:dyDescent="0.3">
      <c r="B24" s="288"/>
      <c r="C24" s="288"/>
      <c r="D24" s="288"/>
      <c r="E24" s="288"/>
      <c r="F24" s="288"/>
      <c r="G24" s="288"/>
      <c r="H24" s="288"/>
      <c r="I24" s="288"/>
      <c r="J24" s="288"/>
      <c r="K24" s="288"/>
      <c r="L24" s="288"/>
      <c r="M24" s="288"/>
    </row>
    <row r="25" spans="2:13" ht="12" customHeight="1" x14ac:dyDescent="0.3">
      <c r="B25" s="288"/>
      <c r="C25" s="288"/>
      <c r="D25" s="288"/>
      <c r="E25" s="288"/>
      <c r="F25" s="288"/>
      <c r="G25" s="288"/>
      <c r="H25" s="288"/>
      <c r="I25" s="288"/>
      <c r="J25" s="288"/>
      <c r="K25" s="288"/>
      <c r="L25" s="288"/>
      <c r="M25" s="288"/>
    </row>
    <row r="26" spans="2:13" ht="12" customHeight="1" x14ac:dyDescent="0.3">
      <c r="B26" s="288"/>
      <c r="C26" s="288"/>
      <c r="D26" s="288"/>
      <c r="E26" s="288"/>
      <c r="F26" s="288"/>
      <c r="G26" s="288"/>
      <c r="H26" s="288"/>
      <c r="I26" s="288"/>
      <c r="J26" s="288"/>
      <c r="K26" s="288"/>
      <c r="L26" s="288"/>
      <c r="M26" s="288"/>
    </row>
    <row r="27" spans="2:13" ht="12" customHeight="1" x14ac:dyDescent="0.3">
      <c r="B27" s="288"/>
      <c r="C27" s="288"/>
      <c r="D27" s="288"/>
      <c r="E27" s="288"/>
      <c r="F27" s="288"/>
      <c r="G27" s="288"/>
      <c r="H27" s="288"/>
      <c r="I27" s="288"/>
      <c r="J27" s="288"/>
      <c r="K27" s="288"/>
      <c r="L27" s="288"/>
      <c r="M27" s="288"/>
    </row>
    <row r="28" spans="2:13" ht="12" customHeight="1" x14ac:dyDescent="0.3">
      <c r="B28" s="288"/>
      <c r="C28" s="288"/>
      <c r="D28" s="288"/>
      <c r="E28" s="288"/>
      <c r="F28" s="288"/>
      <c r="G28" s="288"/>
      <c r="H28" s="288"/>
      <c r="I28" s="288"/>
      <c r="J28" s="288"/>
      <c r="K28" s="288"/>
      <c r="L28" s="288"/>
      <c r="M28" s="288"/>
    </row>
    <row r="29" spans="2:13" ht="12" customHeight="1" x14ac:dyDescent="0.3">
      <c r="B29" s="288"/>
      <c r="C29" s="288"/>
      <c r="D29" s="288"/>
      <c r="E29" s="288"/>
      <c r="F29" s="288"/>
      <c r="G29" s="288"/>
      <c r="H29" s="288"/>
      <c r="I29" s="288"/>
      <c r="J29" s="288"/>
      <c r="K29" s="288"/>
      <c r="L29" s="288"/>
      <c r="M29" s="288"/>
    </row>
    <row r="30" spans="2:13" ht="12" customHeight="1" x14ac:dyDescent="0.3">
      <c r="B30" s="288"/>
      <c r="C30" s="288"/>
      <c r="D30" s="288"/>
      <c r="E30" s="288"/>
      <c r="F30" s="288"/>
      <c r="G30" s="288"/>
      <c r="H30" s="288"/>
      <c r="I30" s="288"/>
      <c r="J30" s="288"/>
      <c r="K30" s="288"/>
      <c r="L30" s="288"/>
      <c r="M30" s="288"/>
    </row>
    <row r="31" spans="2:13" ht="12" customHeight="1" x14ac:dyDescent="0.3">
      <c r="B31" s="288"/>
      <c r="C31" s="288"/>
      <c r="D31" s="288"/>
      <c r="E31" s="288"/>
      <c r="F31" s="288"/>
      <c r="G31" s="288"/>
      <c r="H31" s="288"/>
      <c r="I31" s="288"/>
      <c r="J31" s="288"/>
      <c r="K31" s="288"/>
      <c r="L31" s="288"/>
      <c r="M31" s="28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19" zoomScale="70" zoomScaleNormal="70" workbookViewId="0">
      <selection activeCell="D28" sqref="D28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89" t="s">
        <v>190</v>
      </c>
      <c r="D1" s="289"/>
      <c r="E1" s="289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4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4" t="s">
        <v>192</v>
      </c>
      <c r="C3" s="295"/>
      <c r="D3" s="295"/>
      <c r="E3" s="295"/>
      <c r="F3" s="296"/>
      <c r="G3" s="92"/>
      <c r="I3" s="224" t="s">
        <v>304</v>
      </c>
      <c r="J3" s="93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4"/>
      <c r="B4" s="94"/>
      <c r="C4" s="94"/>
      <c r="D4" s="94"/>
      <c r="E4" s="94"/>
      <c r="F4" s="94"/>
      <c r="G4" s="234"/>
      <c r="I4" s="224" t="s">
        <v>305</v>
      </c>
      <c r="J4" s="93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0" t="s">
        <v>231</v>
      </c>
      <c r="B5" s="300"/>
      <c r="C5" s="26">
        <v>5.7539999999999996</v>
      </c>
      <c r="D5" s="301" t="s">
        <v>229</v>
      </c>
      <c r="E5" s="302"/>
      <c r="F5" s="94"/>
      <c r="G5" s="234"/>
      <c r="H5" s="235"/>
      <c r="I5" s="235"/>
      <c r="J5" s="243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5"/>
      <c r="B6" s="95"/>
      <c r="C6" s="96"/>
      <c r="D6" s="89"/>
      <c r="E6" s="89"/>
      <c r="F6" s="29"/>
      <c r="G6" s="236"/>
      <c r="H6" s="237"/>
      <c r="I6" s="237"/>
      <c r="J6" s="244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</row>
    <row r="7" spans="1:38" ht="25.8" x14ac:dyDescent="0.3">
      <c r="A7" s="298" t="s">
        <v>226</v>
      </c>
      <c r="B7" s="298"/>
      <c r="C7" s="94"/>
      <c r="D7" s="94"/>
      <c r="E7" s="5"/>
      <c r="F7" s="94"/>
      <c r="G7" s="234"/>
      <c r="H7" s="235"/>
      <c r="I7" s="235"/>
      <c r="J7" s="243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49"/>
      <c r="J8" s="243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36</v>
      </c>
      <c r="C9" s="35">
        <v>0.24399999999999999</v>
      </c>
      <c r="D9" s="36">
        <f t="shared" ref="D9:D18" si="0">C9*$C$5</f>
        <v>1.4039759999999999</v>
      </c>
      <c r="E9" s="37">
        <v>60</v>
      </c>
      <c r="F9" s="38" t="str">
        <f t="array" ref="F9">IF(E9="","",IF(INDEX(A:A,MAX(IF(ISNUMBER($A$36:$A$55),ROW($A$36:$A$55),"")))&lt;&gt;E9,"Corrigez : révolution incorrecte","OK"))</f>
        <v>OK</v>
      </c>
      <c r="G9" s="254" t="s">
        <v>306</v>
      </c>
      <c r="I9" s="250"/>
      <c r="J9" s="243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12</v>
      </c>
      <c r="C10" s="35">
        <v>0.20100000000000001</v>
      </c>
      <c r="D10" s="36">
        <f t="shared" si="0"/>
        <v>1.1565540000000001</v>
      </c>
      <c r="E10" s="37">
        <v>150</v>
      </c>
      <c r="F10" s="38" t="str">
        <f t="array" ref="F10">IF(E10="","",IF(INDEX(A:A,MAX(IF(ISNUMBER($A$62:$A$81),ROW($A$62:$A$81),"")))&lt;&gt;E10,"Corrigez : révolution incorrecte","OK"))</f>
        <v>OK</v>
      </c>
      <c r="I10" s="250"/>
      <c r="J10" s="243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1</v>
      </c>
      <c r="C11" s="35">
        <v>0.19900000000000001</v>
      </c>
      <c r="D11" s="36">
        <f t="shared" si="0"/>
        <v>1.145046</v>
      </c>
      <c r="E11" s="37">
        <v>150</v>
      </c>
      <c r="F11" s="38" t="str">
        <f t="array" ref="F11">IF(E11="","",IF(INDEX(A:A,MAX(IF(ISNUMBER($A$88:$A$107),ROW($A$88:$A$107),"")))&lt;&gt;E11,"Corrigez : révolution incorrecte","OK"))</f>
        <v>OK</v>
      </c>
      <c r="H11" s="227"/>
      <c r="I11" s="250"/>
      <c r="J11" s="243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50</v>
      </c>
      <c r="C12" s="35">
        <v>8.8999999999999996E-2</v>
      </c>
      <c r="D12" s="36">
        <f t="shared" si="0"/>
        <v>0.51210599999999995</v>
      </c>
      <c r="E12" s="37">
        <v>110</v>
      </c>
      <c r="F12" s="38" t="str">
        <f t="array" ref="F12">IF(E12="","",IF(INDEX(A:A,MAX(IF(ISNUMBER($A$114:$A$133),ROW($A$114:$A$133),"")))&lt;&gt;E12,"Corrigez : révolution incorrecte","OK"))</f>
        <v>OK</v>
      </c>
      <c r="H12" s="227"/>
      <c r="I12" s="250"/>
      <c r="J12" s="243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 t="s">
        <v>13</v>
      </c>
      <c r="C13" s="35">
        <v>0.09</v>
      </c>
      <c r="D13" s="36">
        <f t="shared" si="0"/>
        <v>0.51785999999999999</v>
      </c>
      <c r="E13" s="37">
        <v>90</v>
      </c>
      <c r="F13" s="38" t="str">
        <f t="array" ref="F13">IF(E13="","",IF(INDEX(A:A,MAX(IF(ISNUMBER($A$140:$A$159),ROW($A$140:$A$159),"")))&lt;&gt;E13,"Corrigez : révolution incorrecte","OK"))</f>
        <v>OK</v>
      </c>
      <c r="H13" s="227"/>
      <c r="I13" s="250"/>
      <c r="J13" s="243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 t="s">
        <v>14</v>
      </c>
      <c r="C14" s="35">
        <v>7.0000000000000007E-2</v>
      </c>
      <c r="D14" s="36">
        <f t="shared" si="0"/>
        <v>0.40278000000000003</v>
      </c>
      <c r="E14" s="37">
        <v>150</v>
      </c>
      <c r="F14" s="38" t="str">
        <f t="array" ref="F14">IF(E14="","",IF(INDEX(A:A,MAX(IF(ISNUMBER($A$166:$A$185),ROW($A$166:$A$185),"")))&lt;&gt;E14,"Corrigez : révolution incorrecte","OK"))</f>
        <v>OK</v>
      </c>
      <c r="H14" s="227"/>
      <c r="I14" s="250"/>
      <c r="J14" s="243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 t="s">
        <v>35</v>
      </c>
      <c r="C15" s="35">
        <v>4.4999999999999998E-2</v>
      </c>
      <c r="D15" s="36">
        <f t="shared" si="0"/>
        <v>0.25892999999999999</v>
      </c>
      <c r="E15" s="37">
        <v>80</v>
      </c>
      <c r="F15" s="38" t="str">
        <f t="array" ref="F15">IF(E15="","",IF(INDEX(A:A,MAX(IF(ISNUMBER($A$192:$A$211),ROW($A$192:$A$211),"")))&lt;&gt;E15,"Corrigez : révolution incorrecte","OK"))</f>
        <v>OK</v>
      </c>
      <c r="H15" s="227"/>
      <c r="I15" s="250"/>
      <c r="J15" s="243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 t="s">
        <v>40</v>
      </c>
      <c r="C16" s="35">
        <v>4.2000000000000003E-2</v>
      </c>
      <c r="D16" s="36">
        <f t="shared" si="0"/>
        <v>0.24166799999999999</v>
      </c>
      <c r="E16" s="37">
        <v>89</v>
      </c>
      <c r="F16" s="38" t="str">
        <f t="array" ref="F16">IF(E16="","",IF(INDEX(A:A,MAX(IF(ISNUMBER($A$218:$A$237),ROW($A$218:$A$237),"")))&lt;&gt;E16,"Corrigez : révolution incorrecte","OK"))</f>
        <v>OK</v>
      </c>
      <c r="H16" s="227"/>
      <c r="I16" s="250"/>
      <c r="J16" s="243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 t="s">
        <v>156</v>
      </c>
      <c r="C17" s="35">
        <v>8.9999999999999993E-3</v>
      </c>
      <c r="D17" s="36">
        <f t="shared" si="0"/>
        <v>5.1785999999999992E-2</v>
      </c>
      <c r="E17" s="37">
        <v>78</v>
      </c>
      <c r="F17" s="38" t="str">
        <f t="array" ref="F17">IF(E17="","",IF(INDEX(A:A,MAX(IF(ISNUMBER($A$244:$A$263),ROW($A$244:$A$263),"")))&lt;&gt;E17,"Corrigez : révolution incorrecte","OK"))</f>
        <v>OK</v>
      </c>
      <c r="H17" s="227"/>
      <c r="I17" s="250"/>
      <c r="J17" s="243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27"/>
      <c r="I18" s="250"/>
      <c r="J18" s="243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97"/>
      <c r="B19" s="39" t="s">
        <v>175</v>
      </c>
      <c r="C19" s="40">
        <f>SUM(C9:C18)</f>
        <v>0.9890000000000001</v>
      </c>
      <c r="D19" s="41">
        <f>SUM(D9:D18)</f>
        <v>5.6907059999999996</v>
      </c>
      <c r="E19" s="5"/>
      <c r="F19" s="98"/>
      <c r="G19" s="238"/>
      <c r="H19" s="239"/>
      <c r="I19" s="238"/>
      <c r="J19" s="243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97"/>
      <c r="B20" s="42" t="s">
        <v>230</v>
      </c>
      <c r="C20" s="43" t="str">
        <f>IF(C19&gt;100%,"Erreur : corrigez","OK")</f>
        <v>OK</v>
      </c>
      <c r="D20" s="245"/>
      <c r="F20" s="237"/>
      <c r="G20" s="237"/>
      <c r="H20" s="239"/>
      <c r="I20" s="238"/>
      <c r="J20" s="243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0"/>
      <c r="I21" s="251"/>
      <c r="J21" s="243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297" t="s">
        <v>232</v>
      </c>
      <c r="B22" s="297"/>
      <c r="C22" s="96"/>
      <c r="H22" s="226"/>
      <c r="I22" s="244"/>
      <c r="J22" s="244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96"/>
      <c r="AK22" s="96"/>
      <c r="AL22" s="96"/>
      <c r="AM22" s="96"/>
    </row>
    <row r="23" spans="1:45" x14ac:dyDescent="0.3">
      <c r="A23" s="5"/>
      <c r="B23" s="5"/>
      <c r="C23" s="5"/>
      <c r="H23" s="217"/>
      <c r="I23" s="243"/>
      <c r="J23" s="243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99"/>
      <c r="F24" s="99"/>
      <c r="G24" s="241"/>
      <c r="H24" s="227"/>
      <c r="I24" s="241"/>
      <c r="J24" s="242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0"/>
      <c r="E25" s="5"/>
      <c r="F25" s="100"/>
      <c r="G25" s="242"/>
      <c r="H25" s="227"/>
      <c r="I25" s="242"/>
      <c r="J25" s="242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0.05</v>
      </c>
      <c r="D26" s="47" t="s">
        <v>234</v>
      </c>
      <c r="E26" s="99"/>
      <c r="F26" s="99"/>
      <c r="G26" s="241"/>
      <c r="I26" s="241"/>
      <c r="J26" s="241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99"/>
      <c r="F27" s="99"/>
      <c r="G27" s="241"/>
      <c r="I27" s="241"/>
      <c r="J27" s="241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3"/>
      <c r="I28" s="243"/>
      <c r="J28" s="243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3"/>
      <c r="I29" s="243"/>
      <c r="J29" s="243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299" t="s">
        <v>227</v>
      </c>
      <c r="B30" s="299"/>
      <c r="D30" s="246"/>
      <c r="H30" s="244"/>
      <c r="I30" s="244"/>
      <c r="J30" s="244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</row>
    <row r="31" spans="1:45" x14ac:dyDescent="0.3">
      <c r="A31" s="5"/>
      <c r="B31" s="5"/>
      <c r="H31" s="243"/>
      <c r="I31" s="243"/>
      <c r="J31" s="243"/>
      <c r="K31" s="246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Pin maritime</v>
      </c>
      <c r="C32" s="25" t="s">
        <v>329</v>
      </c>
      <c r="D32" s="255" t="s">
        <v>307</v>
      </c>
      <c r="J32" s="25" t="s">
        <v>331</v>
      </c>
      <c r="K32" s="246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C33" s="25" t="s">
        <v>328</v>
      </c>
      <c r="K33" s="246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88" t="s">
        <v>185</v>
      </c>
      <c r="C34" s="290" t="s">
        <v>186</v>
      </c>
      <c r="D34" s="290"/>
      <c r="E34" s="291" t="s">
        <v>187</v>
      </c>
      <c r="F34" s="292"/>
      <c r="G34" s="292"/>
      <c r="H34" s="293"/>
      <c r="I34" s="101"/>
      <c r="J34" s="247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48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17</v>
      </c>
      <c r="B36" s="61">
        <f>122.32</f>
        <v>122.32</v>
      </c>
      <c r="C36" s="61">
        <v>1</v>
      </c>
      <c r="D36" s="61">
        <v>40.76</v>
      </c>
      <c r="E36" s="54"/>
      <c r="F36" s="54">
        <v>0.5</v>
      </c>
      <c r="G36" s="54">
        <v>0.5</v>
      </c>
      <c r="H36" s="54"/>
      <c r="I36" s="52">
        <f>IFERROR(B36/A36,"")</f>
        <v>7.1952941176470588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23</v>
      </c>
      <c r="B37" s="61">
        <f>187.68</f>
        <v>187.68</v>
      </c>
      <c r="C37" s="61">
        <v>2</v>
      </c>
      <c r="D37" s="61">
        <v>57.75</v>
      </c>
      <c r="E37" s="54"/>
      <c r="F37" s="54">
        <v>0.5</v>
      </c>
      <c r="G37" s="54">
        <v>0.5</v>
      </c>
      <c r="H37" s="54"/>
      <c r="I37" s="56">
        <f t="shared" ref="I37:I55" si="1">IF(A37&lt;&gt;0,(B37-(B36-D36))/(A37-A36),"")</f>
        <v>17.686666666666667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29</v>
      </c>
      <c r="B38" s="61">
        <v>241.61</v>
      </c>
      <c r="C38" s="61">
        <v>3</v>
      </c>
      <c r="D38" s="61">
        <v>54.64</v>
      </c>
      <c r="E38" s="54">
        <v>0.6</v>
      </c>
      <c r="F38" s="54">
        <v>0.2</v>
      </c>
      <c r="G38" s="54">
        <v>0.2</v>
      </c>
      <c r="H38" s="54"/>
      <c r="I38" s="56">
        <f t="shared" si="1"/>
        <v>18.613333333333333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36</v>
      </c>
      <c r="B39" s="61">
        <v>311.13</v>
      </c>
      <c r="C39" s="61">
        <v>4</v>
      </c>
      <c r="D39" s="61">
        <v>76.069999999999993</v>
      </c>
      <c r="E39" s="54"/>
      <c r="F39" s="54"/>
      <c r="G39" s="54"/>
      <c r="H39" s="54"/>
      <c r="I39" s="52">
        <f t="shared" si="1"/>
        <v>17.737142857142853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44</v>
      </c>
      <c r="B40" s="61">
        <f>367.35</f>
        <v>367.35</v>
      </c>
      <c r="C40" s="61">
        <v>5</v>
      </c>
      <c r="D40" s="61">
        <v>77.91</v>
      </c>
      <c r="E40" s="54"/>
      <c r="F40" s="54"/>
      <c r="G40" s="54"/>
      <c r="H40" s="54"/>
      <c r="I40" s="52">
        <f t="shared" si="1"/>
        <v>16.536250000000003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52</v>
      </c>
      <c r="B41" s="61">
        <v>406.59</v>
      </c>
      <c r="C41" s="61">
        <v>6</v>
      </c>
      <c r="D41" s="61">
        <v>75.37</v>
      </c>
      <c r="E41" s="54"/>
      <c r="F41" s="54"/>
      <c r="G41" s="54"/>
      <c r="H41" s="54"/>
      <c r="I41" s="56">
        <f t="shared" si="1"/>
        <v>14.64374999999999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60</v>
      </c>
      <c r="B42" s="61">
        <v>436.34</v>
      </c>
      <c r="C42" s="61">
        <v>7</v>
      </c>
      <c r="D42" s="61">
        <v>436.34</v>
      </c>
      <c r="E42" s="54"/>
      <c r="F42" s="54"/>
      <c r="G42" s="54"/>
      <c r="H42" s="54"/>
      <c r="I42" s="56">
        <f t="shared" si="1"/>
        <v>13.14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79"/>
      <c r="B43" s="61"/>
      <c r="C43" s="61"/>
      <c r="D43" s="61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79"/>
      <c r="B44" s="61"/>
      <c r="C44" s="61"/>
      <c r="D44" s="61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79"/>
      <c r="B45" s="61"/>
      <c r="C45" s="61"/>
      <c r="D45" s="61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79"/>
      <c r="B46" s="61"/>
      <c r="C46" s="61"/>
      <c r="D46" s="61"/>
      <c r="E46" s="54"/>
      <c r="F46" s="54"/>
      <c r="G46" s="54"/>
      <c r="H46" s="54"/>
      <c r="I46" s="52" t="str">
        <f>IF(A46&lt;&gt;0,(B46-(B45-D45))/(A46-A45),"")</f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79"/>
      <c r="B47" s="61"/>
      <c r="C47" s="61"/>
      <c r="D47" s="61"/>
      <c r="E47" s="54"/>
      <c r="F47" s="54"/>
      <c r="G47" s="54"/>
      <c r="H47" s="54"/>
      <c r="I47" s="52" t="str">
        <f>IF(A47&lt;&gt;0,(B47-(B46-D46))/(A47-A46),"")</f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79"/>
      <c r="B48" s="61"/>
      <c r="C48" s="61"/>
      <c r="D48" s="61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79"/>
      <c r="B49" s="61"/>
      <c r="C49" s="61"/>
      <c r="D49" s="61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79"/>
      <c r="B50" s="61"/>
      <c r="C50" s="61"/>
      <c r="D50" s="61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79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79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79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79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79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Chêne pubescent</v>
      </c>
      <c r="C58" s="25" t="s">
        <v>324</v>
      </c>
      <c r="D58" s="255" t="s">
        <v>307</v>
      </c>
      <c r="J58" s="25" t="s">
        <v>331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2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88" t="s">
        <v>185</v>
      </c>
      <c r="C60" s="290" t="s">
        <v>186</v>
      </c>
      <c r="D60" s="290"/>
      <c r="E60" s="291" t="s">
        <v>187</v>
      </c>
      <c r="F60" s="292"/>
      <c r="G60" s="292"/>
      <c r="H60" s="293"/>
      <c r="I60" s="101"/>
      <c r="J60" s="247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48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20</v>
      </c>
      <c r="B62" s="61">
        <v>42</v>
      </c>
      <c r="C62" s="61"/>
      <c r="D62" s="61"/>
      <c r="E62" s="54"/>
      <c r="F62" s="54"/>
      <c r="G62" s="54"/>
      <c r="H62" s="54"/>
      <c r="I62" s="56">
        <f>IFERROR(B62/A62,"")</f>
        <v>2.1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25</v>
      </c>
      <c r="B63" s="61">
        <f>62+8</f>
        <v>70</v>
      </c>
      <c r="C63" s="61"/>
      <c r="D63" s="61"/>
      <c r="E63" s="54"/>
      <c r="F63" s="54"/>
      <c r="G63" s="54"/>
      <c r="H63" s="54"/>
      <c r="I63" s="52">
        <f>IF(A63&lt;&gt;0,(B63-(B62-D62))/(A63-A62),"")</f>
        <v>5.6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30</v>
      </c>
      <c r="B64" s="61">
        <f>76+8+21</f>
        <v>105</v>
      </c>
      <c r="C64" s="61">
        <v>1</v>
      </c>
      <c r="D64" s="61">
        <f>8+21</f>
        <v>29</v>
      </c>
      <c r="E64" s="54"/>
      <c r="F64" s="54"/>
      <c r="G64" s="54"/>
      <c r="H64" s="54">
        <v>1</v>
      </c>
      <c r="I64" s="52">
        <f>IF(A64&lt;&gt;0,(B64-(B63-D63))/(A64-A63),"")</f>
        <v>7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35</v>
      </c>
      <c r="B65" s="61">
        <f>95+21</f>
        <v>116</v>
      </c>
      <c r="C65" s="61"/>
      <c r="D65" s="61"/>
      <c r="E65" s="54"/>
      <c r="F65" s="54"/>
      <c r="G65" s="54"/>
      <c r="H65" s="54"/>
      <c r="I65" s="52">
        <f>IF(A65&lt;&gt;0,(B65-(B64-D64))/(A65-A64),"")</f>
        <v>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40</v>
      </c>
      <c r="B66" s="61">
        <f>116+21+21</f>
        <v>158</v>
      </c>
      <c r="C66" s="61">
        <v>2</v>
      </c>
      <c r="D66" s="61">
        <f>21+21</f>
        <v>42</v>
      </c>
      <c r="E66" s="54"/>
      <c r="F66" s="54"/>
      <c r="G66" s="54"/>
      <c r="H66" s="54"/>
      <c r="I66" s="52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45</v>
      </c>
      <c r="B67" s="61">
        <f>137+21</f>
        <v>158</v>
      </c>
      <c r="C67" s="61"/>
      <c r="D67" s="61"/>
      <c r="E67" s="54"/>
      <c r="F67" s="54"/>
      <c r="G67" s="54"/>
      <c r="H67" s="54"/>
      <c r="I67" s="52">
        <f t="shared" si="2"/>
        <v>8.4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50</v>
      </c>
      <c r="B68" s="61">
        <f>157+21+21</f>
        <v>199</v>
      </c>
      <c r="C68" s="61">
        <v>3</v>
      </c>
      <c r="D68" s="61">
        <f>21+21</f>
        <v>42</v>
      </c>
      <c r="E68" s="54"/>
      <c r="F68" s="54"/>
      <c r="G68" s="54"/>
      <c r="H68" s="54"/>
      <c r="I68" s="52">
        <f t="shared" si="2"/>
        <v>8.1999999999999993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55</v>
      </c>
      <c r="B69" s="61">
        <f>176+21</f>
        <v>197</v>
      </c>
      <c r="C69" s="61"/>
      <c r="D69" s="61"/>
      <c r="E69" s="54"/>
      <c r="F69" s="54"/>
      <c r="G69" s="54"/>
      <c r="H69" s="54"/>
      <c r="I69" s="52">
        <f t="shared" si="2"/>
        <v>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60</v>
      </c>
      <c r="B70" s="53">
        <v>235</v>
      </c>
      <c r="C70" s="53">
        <v>4</v>
      </c>
      <c r="D70" s="53">
        <v>42</v>
      </c>
      <c r="E70" s="54"/>
      <c r="F70" s="54"/>
      <c r="G70" s="54"/>
      <c r="H70" s="54"/>
      <c r="I70" s="52">
        <f t="shared" si="2"/>
        <v>7.6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65</v>
      </c>
      <c r="B71" s="53">
        <v>229</v>
      </c>
      <c r="C71" s="53"/>
      <c r="D71" s="53"/>
      <c r="E71" s="54"/>
      <c r="F71" s="54"/>
      <c r="G71" s="54"/>
      <c r="H71" s="54"/>
      <c r="I71" s="52">
        <f t="shared" si="2"/>
        <v>7.2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70</v>
      </c>
      <c r="B72" s="53">
        <v>263</v>
      </c>
      <c r="C72" s="53">
        <v>5</v>
      </c>
      <c r="D72" s="53">
        <v>42</v>
      </c>
      <c r="E72" s="54"/>
      <c r="F72" s="54"/>
      <c r="G72" s="54"/>
      <c r="H72" s="54"/>
      <c r="I72" s="52">
        <f t="shared" si="2"/>
        <v>6.8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>
        <v>75</v>
      </c>
      <c r="B73" s="53">
        <v>252</v>
      </c>
      <c r="C73" s="53"/>
      <c r="D73" s="53"/>
      <c r="E73" s="54"/>
      <c r="F73" s="54"/>
      <c r="G73" s="54"/>
      <c r="H73" s="54"/>
      <c r="I73" s="52">
        <f t="shared" si="2"/>
        <v>6.2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>
        <v>80</v>
      </c>
      <c r="B74" s="53">
        <v>282</v>
      </c>
      <c r="C74" s="53">
        <v>6</v>
      </c>
      <c r="D74" s="53">
        <v>42</v>
      </c>
      <c r="E74" s="54"/>
      <c r="F74" s="54"/>
      <c r="G74" s="54"/>
      <c r="H74" s="54"/>
      <c r="I74" s="52">
        <f t="shared" si="2"/>
        <v>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>
        <v>90</v>
      </c>
      <c r="B75" s="53">
        <v>296</v>
      </c>
      <c r="C75" s="53">
        <v>7</v>
      </c>
      <c r="D75" s="53">
        <v>42</v>
      </c>
      <c r="E75" s="54"/>
      <c r="F75" s="54"/>
      <c r="G75" s="54"/>
      <c r="H75" s="54"/>
      <c r="I75" s="52">
        <f t="shared" si="2"/>
        <v>5.6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>
        <v>100</v>
      </c>
      <c r="B76" s="53">
        <v>303</v>
      </c>
      <c r="C76" s="53">
        <v>8</v>
      </c>
      <c r="D76" s="53">
        <v>42</v>
      </c>
      <c r="E76" s="54"/>
      <c r="F76" s="54"/>
      <c r="G76" s="54"/>
      <c r="H76" s="54"/>
      <c r="I76" s="52">
        <f t="shared" si="2"/>
        <v>4.9000000000000004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>
        <v>110</v>
      </c>
      <c r="B77" s="53">
        <v>305</v>
      </c>
      <c r="C77" s="53">
        <v>9</v>
      </c>
      <c r="D77" s="53">
        <v>39</v>
      </c>
      <c r="E77" s="54"/>
      <c r="F77" s="54"/>
      <c r="G77" s="54"/>
      <c r="H77" s="54"/>
      <c r="I77" s="52">
        <f t="shared" si="2"/>
        <v>4.4000000000000004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>
        <v>120</v>
      </c>
      <c r="B78" s="53">
        <v>303</v>
      </c>
      <c r="C78" s="53">
        <v>10</v>
      </c>
      <c r="D78" s="53">
        <v>35</v>
      </c>
      <c r="E78" s="54"/>
      <c r="F78" s="54"/>
      <c r="G78" s="54"/>
      <c r="H78" s="54"/>
      <c r="I78" s="52">
        <f t="shared" si="2"/>
        <v>3.7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>
        <v>130</v>
      </c>
      <c r="B79" s="53">
        <v>300</v>
      </c>
      <c r="C79" s="53">
        <v>11</v>
      </c>
      <c r="D79" s="53">
        <v>31</v>
      </c>
      <c r="E79" s="54"/>
      <c r="F79" s="54"/>
      <c r="G79" s="54"/>
      <c r="H79" s="54"/>
      <c r="I79" s="52">
        <f t="shared" si="2"/>
        <v>3.2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>
        <v>140</v>
      </c>
      <c r="B80" s="53">
        <v>296</v>
      </c>
      <c r="C80" s="53">
        <v>12</v>
      </c>
      <c r="D80" s="53">
        <v>27</v>
      </c>
      <c r="E80" s="54"/>
      <c r="F80" s="54"/>
      <c r="G80" s="54"/>
      <c r="H80" s="54"/>
      <c r="I80" s="52">
        <f t="shared" si="2"/>
        <v>2.7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>
        <v>150</v>
      </c>
      <c r="B81" s="53">
        <v>293</v>
      </c>
      <c r="C81" s="53">
        <v>13</v>
      </c>
      <c r="D81" s="53">
        <v>293</v>
      </c>
      <c r="E81" s="54"/>
      <c r="F81" s="54"/>
      <c r="G81" s="54"/>
      <c r="H81" s="54"/>
      <c r="I81" s="52">
        <f t="shared" si="2"/>
        <v>2.4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Alisier torminal</v>
      </c>
      <c r="C84" s="25" t="s">
        <v>324</v>
      </c>
      <c r="D84" s="255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2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88" t="s">
        <v>185</v>
      </c>
      <c r="C86" s="290" t="s">
        <v>186</v>
      </c>
      <c r="D86" s="290"/>
      <c r="E86" s="291" t="s">
        <v>187</v>
      </c>
      <c r="F86" s="292"/>
      <c r="G86" s="292"/>
      <c r="H86" s="293"/>
      <c r="I86" s="101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20</v>
      </c>
      <c r="B88" s="61">
        <v>42</v>
      </c>
      <c r="C88" s="61"/>
      <c r="D88" s="61"/>
      <c r="E88" s="54"/>
      <c r="F88" s="54"/>
      <c r="G88" s="54"/>
      <c r="H88" s="54"/>
      <c r="I88" s="56">
        <f>IFERROR(B88/A88,"")</f>
        <v>2.1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25</v>
      </c>
      <c r="B89" s="61">
        <f>62+8</f>
        <v>70</v>
      </c>
      <c r="C89" s="61"/>
      <c r="D89" s="61"/>
      <c r="E89" s="54"/>
      <c r="F89" s="54"/>
      <c r="G89" s="54"/>
      <c r="H89" s="54"/>
      <c r="I89" s="56">
        <f t="shared" ref="I89:I107" si="3">IF(A89&lt;&gt;0,(B89-(B88-D88))/(A89-A88),"")</f>
        <v>5.6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30</v>
      </c>
      <c r="B90" s="61">
        <f>76+8+21</f>
        <v>105</v>
      </c>
      <c r="C90" s="61">
        <v>1</v>
      </c>
      <c r="D90" s="61">
        <f>8+21</f>
        <v>29</v>
      </c>
      <c r="E90" s="54"/>
      <c r="F90" s="54"/>
      <c r="G90" s="54"/>
      <c r="H90" s="54">
        <v>1</v>
      </c>
      <c r="I90" s="56">
        <f t="shared" si="3"/>
        <v>7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35</v>
      </c>
      <c r="B91" s="61">
        <f>95+21</f>
        <v>116</v>
      </c>
      <c r="C91" s="61"/>
      <c r="D91" s="61"/>
      <c r="E91" s="54"/>
      <c r="F91" s="54"/>
      <c r="G91" s="54"/>
      <c r="H91" s="54"/>
      <c r="I91" s="56">
        <f t="shared" si="3"/>
        <v>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40</v>
      </c>
      <c r="B92" s="61">
        <f>116+21+21</f>
        <v>158</v>
      </c>
      <c r="C92" s="61">
        <v>2</v>
      </c>
      <c r="D92" s="61">
        <f>21+21</f>
        <v>42</v>
      </c>
      <c r="E92" s="54"/>
      <c r="F92" s="54"/>
      <c r="G92" s="54"/>
      <c r="H92" s="54"/>
      <c r="I92" s="56">
        <f t="shared" si="3"/>
        <v>8.4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45</v>
      </c>
      <c r="B93" s="61">
        <f>137+21</f>
        <v>158</v>
      </c>
      <c r="C93" s="61"/>
      <c r="D93" s="61"/>
      <c r="E93" s="54"/>
      <c r="F93" s="54"/>
      <c r="G93" s="54"/>
      <c r="H93" s="54"/>
      <c r="I93" s="56">
        <f t="shared" si="3"/>
        <v>8.4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50</v>
      </c>
      <c r="B94" s="61">
        <f>157+21+21</f>
        <v>199</v>
      </c>
      <c r="C94" s="61">
        <v>3</v>
      </c>
      <c r="D94" s="61">
        <f>21+21</f>
        <v>42</v>
      </c>
      <c r="E94" s="54"/>
      <c r="F94" s="54"/>
      <c r="G94" s="54"/>
      <c r="H94" s="54"/>
      <c r="I94" s="56">
        <f t="shared" si="3"/>
        <v>8.1999999999999993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53">
        <v>55</v>
      </c>
      <c r="B95" s="61">
        <f>176+21</f>
        <v>197</v>
      </c>
      <c r="C95" s="61"/>
      <c r="D95" s="61"/>
      <c r="E95" s="54"/>
      <c r="F95" s="54"/>
      <c r="G95" s="54"/>
      <c r="H95" s="54"/>
      <c r="I95" s="56">
        <f t="shared" si="3"/>
        <v>8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53">
        <v>60</v>
      </c>
      <c r="B96" s="53">
        <v>235</v>
      </c>
      <c r="C96" s="53">
        <v>4</v>
      </c>
      <c r="D96" s="53">
        <v>42</v>
      </c>
      <c r="E96" s="54"/>
      <c r="F96" s="54"/>
      <c r="G96" s="54"/>
      <c r="H96" s="54"/>
      <c r="I96" s="56">
        <f t="shared" si="3"/>
        <v>7.6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53">
        <v>65</v>
      </c>
      <c r="B97" s="53">
        <v>229</v>
      </c>
      <c r="C97" s="53"/>
      <c r="D97" s="53"/>
      <c r="E97" s="54"/>
      <c r="F97" s="54"/>
      <c r="G97" s="54"/>
      <c r="H97" s="54"/>
      <c r="I97" s="56">
        <f t="shared" si="3"/>
        <v>7.2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53">
        <v>70</v>
      </c>
      <c r="B98" s="53">
        <v>263</v>
      </c>
      <c r="C98" s="53">
        <v>5</v>
      </c>
      <c r="D98" s="53">
        <v>42</v>
      </c>
      <c r="E98" s="54"/>
      <c r="F98" s="54"/>
      <c r="G98" s="54"/>
      <c r="H98" s="54"/>
      <c r="I98" s="56">
        <f t="shared" si="3"/>
        <v>6.8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53">
        <v>75</v>
      </c>
      <c r="B99" s="53">
        <v>252</v>
      </c>
      <c r="C99" s="53"/>
      <c r="D99" s="53"/>
      <c r="E99" s="54"/>
      <c r="F99" s="54"/>
      <c r="G99" s="54"/>
      <c r="H99" s="54"/>
      <c r="I99" s="56">
        <f t="shared" si="3"/>
        <v>6.2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53">
        <v>80</v>
      </c>
      <c r="B100" s="53">
        <v>282</v>
      </c>
      <c r="C100" s="53">
        <v>6</v>
      </c>
      <c r="D100" s="53">
        <v>42</v>
      </c>
      <c r="E100" s="54"/>
      <c r="F100" s="54"/>
      <c r="G100" s="54"/>
      <c r="H100" s="54"/>
      <c r="I100" s="56">
        <f t="shared" si="3"/>
        <v>6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53">
        <v>90</v>
      </c>
      <c r="B101" s="53">
        <v>296</v>
      </c>
      <c r="C101" s="53">
        <v>7</v>
      </c>
      <c r="D101" s="53">
        <v>42</v>
      </c>
      <c r="E101" s="54"/>
      <c r="F101" s="54"/>
      <c r="G101" s="54"/>
      <c r="H101" s="54"/>
      <c r="I101" s="56">
        <f t="shared" si="3"/>
        <v>5.6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53">
        <v>100</v>
      </c>
      <c r="B102" s="53">
        <v>303</v>
      </c>
      <c r="C102" s="53">
        <v>8</v>
      </c>
      <c r="D102" s="53">
        <v>42</v>
      </c>
      <c r="E102" s="54"/>
      <c r="F102" s="54"/>
      <c r="G102" s="54"/>
      <c r="H102" s="54"/>
      <c r="I102" s="56">
        <f t="shared" si="3"/>
        <v>4.9000000000000004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53">
        <v>110</v>
      </c>
      <c r="B103" s="53">
        <v>305</v>
      </c>
      <c r="C103" s="53">
        <v>9</v>
      </c>
      <c r="D103" s="53">
        <v>39</v>
      </c>
      <c r="E103" s="54"/>
      <c r="F103" s="54"/>
      <c r="G103" s="54"/>
      <c r="H103" s="54"/>
      <c r="I103" s="56">
        <f t="shared" si="3"/>
        <v>4.4000000000000004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53">
        <v>120</v>
      </c>
      <c r="B104" s="53">
        <v>303</v>
      </c>
      <c r="C104" s="53">
        <v>10</v>
      </c>
      <c r="D104" s="53">
        <v>35</v>
      </c>
      <c r="E104" s="54"/>
      <c r="F104" s="54"/>
      <c r="G104" s="54"/>
      <c r="H104" s="54"/>
      <c r="I104" s="56">
        <f t="shared" si="3"/>
        <v>3.7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>
        <v>130</v>
      </c>
      <c r="B105" s="53">
        <v>300</v>
      </c>
      <c r="C105" s="53">
        <v>11</v>
      </c>
      <c r="D105" s="53">
        <v>31</v>
      </c>
      <c r="E105" s="54"/>
      <c r="F105" s="54"/>
      <c r="G105" s="54"/>
      <c r="H105" s="54"/>
      <c r="I105" s="56">
        <f t="shared" si="3"/>
        <v>3.2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>
        <v>140</v>
      </c>
      <c r="B106" s="53">
        <v>296</v>
      </c>
      <c r="C106" s="53">
        <v>12</v>
      </c>
      <c r="D106" s="53">
        <v>27</v>
      </c>
      <c r="E106" s="54"/>
      <c r="F106" s="54"/>
      <c r="G106" s="54"/>
      <c r="H106" s="54"/>
      <c r="I106" s="56">
        <f t="shared" si="3"/>
        <v>2.7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>
        <v>150</v>
      </c>
      <c r="B107" s="53">
        <v>293</v>
      </c>
      <c r="C107" s="53">
        <v>13</v>
      </c>
      <c r="D107" s="53">
        <v>293</v>
      </c>
      <c r="E107" s="54"/>
      <c r="F107" s="54"/>
      <c r="G107" s="54"/>
      <c r="H107" s="54"/>
      <c r="I107" s="56">
        <f t="shared" si="3"/>
        <v>2.4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Tilleul</v>
      </c>
      <c r="C110" s="25" t="s">
        <v>325</v>
      </c>
      <c r="D110" s="255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2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88" t="s">
        <v>185</v>
      </c>
      <c r="C112" s="290" t="s">
        <v>186</v>
      </c>
      <c r="D112" s="290"/>
      <c r="E112" s="291" t="s">
        <v>187</v>
      </c>
      <c r="F112" s="292"/>
      <c r="G112" s="292"/>
      <c r="H112" s="293"/>
      <c r="I112" s="101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15</v>
      </c>
      <c r="B114" s="61">
        <f>78/1.56</f>
        <v>50</v>
      </c>
      <c r="C114" s="61"/>
      <c r="D114" s="61"/>
      <c r="E114" s="54"/>
      <c r="F114" s="54"/>
      <c r="G114" s="54"/>
      <c r="H114" s="54"/>
      <c r="I114" s="56">
        <f>IFERROR(B114/A114,"")</f>
        <v>3.3333333333333335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20</v>
      </c>
      <c r="B115" s="61">
        <f>(126+16)/1.56</f>
        <v>91.025641025641022</v>
      </c>
      <c r="C115" s="61">
        <v>1</v>
      </c>
      <c r="D115" s="61">
        <f>(16+22)/1.56</f>
        <v>24.358974358974358</v>
      </c>
      <c r="E115" s="54"/>
      <c r="F115" s="54"/>
      <c r="G115" s="54"/>
      <c r="H115" s="54">
        <v>1</v>
      </c>
      <c r="I115" s="56">
        <f t="shared" ref="I115:I133" si="4">IF(A115&lt;&gt;0,(B115-(B114-D114))/(A115-A114),"")</f>
        <v>8.2051282051282044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25</v>
      </c>
      <c r="B116" s="61">
        <f>170/1.56</f>
        <v>108.97435897435896</v>
      </c>
      <c r="C116" s="53"/>
      <c r="D116" s="61"/>
      <c r="E116" s="54"/>
      <c r="F116" s="54"/>
      <c r="G116" s="54"/>
      <c r="H116" s="54"/>
      <c r="I116" s="56">
        <f t="shared" si="4"/>
        <v>8.4615384615384617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30</v>
      </c>
      <c r="B117" s="61">
        <f>(208+25)/1.56</f>
        <v>149.35897435897436</v>
      </c>
      <c r="C117" s="61">
        <v>2</v>
      </c>
      <c r="D117" s="61">
        <f>(26+25)/1.56</f>
        <v>32.692307692307693</v>
      </c>
      <c r="E117" s="54"/>
      <c r="F117" s="54"/>
      <c r="G117" s="54"/>
      <c r="H117" s="54">
        <v>1</v>
      </c>
      <c r="I117" s="56">
        <f t="shared" si="4"/>
        <v>8.0769230769230802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35</v>
      </c>
      <c r="B118" s="61">
        <f>242/1.56</f>
        <v>155.12820512820511</v>
      </c>
      <c r="C118" s="61"/>
      <c r="D118" s="61"/>
      <c r="E118" s="54"/>
      <c r="F118" s="54"/>
      <c r="G118" s="54"/>
      <c r="H118" s="54"/>
      <c r="I118" s="56">
        <f t="shared" si="4"/>
        <v>7.6923076923076881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40</v>
      </c>
      <c r="B119" s="61">
        <f>(271+27)/1.56</f>
        <v>191.02564102564102</v>
      </c>
      <c r="C119" s="61">
        <v>3</v>
      </c>
      <c r="D119" s="61">
        <f>(27+27)/1.56</f>
        <v>34.615384615384613</v>
      </c>
      <c r="E119" s="54"/>
      <c r="F119" s="54"/>
      <c r="G119" s="54"/>
      <c r="H119" s="54"/>
      <c r="I119" s="56">
        <f t="shared" si="4"/>
        <v>7.1794871794871824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53">
        <v>45</v>
      </c>
      <c r="B120" s="61">
        <f>297/1.56</f>
        <v>190.38461538461539</v>
      </c>
      <c r="C120" s="61"/>
      <c r="D120" s="61"/>
      <c r="E120" s="54"/>
      <c r="F120" s="54"/>
      <c r="G120" s="54"/>
      <c r="H120" s="54"/>
      <c r="I120" s="56">
        <f t="shared" si="4"/>
        <v>6.7948717948717956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53">
        <v>50</v>
      </c>
      <c r="B121" s="61">
        <f>(320+26)/1.56</f>
        <v>221.7948717948718</v>
      </c>
      <c r="C121" s="58">
        <v>4</v>
      </c>
      <c r="D121" s="61">
        <f>(25+26)/1.56</f>
        <v>32.692307692307693</v>
      </c>
      <c r="E121" s="54"/>
      <c r="F121" s="54"/>
      <c r="G121" s="54"/>
      <c r="H121" s="54"/>
      <c r="I121" s="56">
        <f t="shared" si="4"/>
        <v>6.2820512820512819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53">
        <v>55</v>
      </c>
      <c r="B122" s="61">
        <f>340/1.56</f>
        <v>217.94871794871793</v>
      </c>
      <c r="C122" s="58"/>
      <c r="D122" s="61"/>
      <c r="E122" s="54"/>
      <c r="F122" s="54"/>
      <c r="G122" s="54"/>
      <c r="H122" s="54"/>
      <c r="I122" s="56">
        <f t="shared" si="4"/>
        <v>5.7692307692307683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53">
        <v>60</v>
      </c>
      <c r="B123" s="61">
        <f>(358+24)/1.56</f>
        <v>244.87179487179486</v>
      </c>
      <c r="C123" s="58">
        <v>5</v>
      </c>
      <c r="D123" s="61">
        <f>(23+24)/1.56</f>
        <v>30.128205128205128</v>
      </c>
      <c r="E123" s="54"/>
      <c r="F123" s="54"/>
      <c r="G123" s="54"/>
      <c r="H123" s="54"/>
      <c r="I123" s="56">
        <f t="shared" si="4"/>
        <v>5.3846153846153868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53">
        <v>65</v>
      </c>
      <c r="B124" s="61">
        <f>375/1.56</f>
        <v>240.38461538461539</v>
      </c>
      <c r="C124" s="58"/>
      <c r="D124" s="61"/>
      <c r="E124" s="54"/>
      <c r="F124" s="54"/>
      <c r="G124" s="54"/>
      <c r="H124" s="54"/>
      <c r="I124" s="56">
        <f t="shared" si="4"/>
        <v>5.1282051282051331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53">
        <v>70</v>
      </c>
      <c r="B125" s="61">
        <f>(393+21)/1.56</f>
        <v>265.38461538461536</v>
      </c>
      <c r="C125" s="58">
        <v>6</v>
      </c>
      <c r="D125" s="61">
        <f>(22+21)/1.56</f>
        <v>27.564102564102562</v>
      </c>
      <c r="E125" s="54"/>
      <c r="F125" s="54"/>
      <c r="G125" s="54"/>
      <c r="H125" s="54"/>
      <c r="I125" s="56">
        <f t="shared" si="4"/>
        <v>4.9999999999999947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53">
        <v>75</v>
      </c>
      <c r="B126" s="61">
        <f>407/1.56</f>
        <v>260.89743589743591</v>
      </c>
      <c r="C126" s="58"/>
      <c r="D126" s="61"/>
      <c r="E126" s="54"/>
      <c r="F126" s="54"/>
      <c r="G126" s="54"/>
      <c r="H126" s="54"/>
      <c r="I126" s="56">
        <f t="shared" si="4"/>
        <v>4.6153846153846247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53">
        <v>80</v>
      </c>
      <c r="B127" s="61">
        <f>(419+21)/1.56</f>
        <v>282.05128205128204</v>
      </c>
      <c r="C127" s="91">
        <v>7</v>
      </c>
      <c r="D127" s="61">
        <f>(21+20)/1.56</f>
        <v>26.282051282051281</v>
      </c>
      <c r="E127" s="54"/>
      <c r="F127" s="54"/>
      <c r="G127" s="54"/>
      <c r="H127" s="54"/>
      <c r="I127" s="56">
        <f t="shared" si="4"/>
        <v>4.2307692307692264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>
        <v>85</v>
      </c>
      <c r="B128" s="61">
        <f>431/1.56</f>
        <v>276.28205128205127</v>
      </c>
      <c r="C128" s="53"/>
      <c r="D128" s="53"/>
      <c r="E128" s="54"/>
      <c r="F128" s="54"/>
      <c r="G128" s="54"/>
      <c r="H128" s="54"/>
      <c r="I128" s="56">
        <f t="shared" si="4"/>
        <v>4.1025641025640995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>
        <v>90</v>
      </c>
      <c r="B129" s="61">
        <f>(442+19)/1.56</f>
        <v>295.5128205128205</v>
      </c>
      <c r="C129" s="53">
        <v>8</v>
      </c>
      <c r="D129" s="53">
        <v>24.358974358974358</v>
      </c>
      <c r="E129" s="54"/>
      <c r="F129" s="54"/>
      <c r="G129" s="54"/>
      <c r="H129" s="54"/>
      <c r="I129" s="56">
        <f t="shared" si="4"/>
        <v>3.8461538461538454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>
        <v>95</v>
      </c>
      <c r="B130" s="61">
        <f>452/1.56</f>
        <v>289.74358974358972</v>
      </c>
      <c r="C130" s="53"/>
      <c r="D130" s="53"/>
      <c r="E130" s="54"/>
      <c r="F130" s="54"/>
      <c r="G130" s="54"/>
      <c r="H130" s="54"/>
      <c r="I130" s="56">
        <f t="shared" si="4"/>
        <v>3.7179487179487181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>
        <v>100</v>
      </c>
      <c r="B131" s="61">
        <f>(462+18)/1.56</f>
        <v>307.69230769230768</v>
      </c>
      <c r="C131" s="53">
        <v>9</v>
      </c>
      <c r="D131" s="53">
        <v>22.435897435897434</v>
      </c>
      <c r="E131" s="54"/>
      <c r="F131" s="54"/>
      <c r="G131" s="54"/>
      <c r="H131" s="54"/>
      <c r="I131" s="56">
        <f t="shared" si="4"/>
        <v>3.5897435897435912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>
        <v>105</v>
      </c>
      <c r="B132" s="61">
        <f>470/1.56</f>
        <v>301.28205128205127</v>
      </c>
      <c r="C132" s="53"/>
      <c r="D132" s="53"/>
      <c r="E132" s="54"/>
      <c r="F132" s="54"/>
      <c r="G132" s="54"/>
      <c r="H132" s="54"/>
      <c r="I132" s="56">
        <f t="shared" si="4"/>
        <v>3.2051282051282102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>
        <v>110</v>
      </c>
      <c r="B133" s="61">
        <f>(479+17)/1.56</f>
        <v>317.94871794871796</v>
      </c>
      <c r="C133" s="53">
        <v>10</v>
      </c>
      <c r="D133" s="61">
        <f>(479+17)/1.56</f>
        <v>317.94871794871796</v>
      </c>
      <c r="E133" s="54"/>
      <c r="F133" s="54"/>
      <c r="G133" s="54"/>
      <c r="H133" s="54"/>
      <c r="I133" s="56">
        <f t="shared" si="4"/>
        <v>3.333333333333337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>Chêne rouge d'Amérique</v>
      </c>
      <c r="C136" s="25" t="s">
        <v>326</v>
      </c>
      <c r="D136" s="255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2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88" t="s">
        <v>185</v>
      </c>
      <c r="C138" s="290" t="s">
        <v>186</v>
      </c>
      <c r="D138" s="290"/>
      <c r="E138" s="291" t="s">
        <v>187</v>
      </c>
      <c r="F138" s="292"/>
      <c r="G138" s="292"/>
      <c r="H138" s="293"/>
      <c r="I138" s="101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>
        <v>20</v>
      </c>
      <c r="B140" s="61">
        <f>104</f>
        <v>104</v>
      </c>
      <c r="C140" s="61"/>
      <c r="D140" s="61"/>
      <c r="E140" s="54"/>
      <c r="F140" s="54"/>
      <c r="G140" s="54"/>
      <c r="H140" s="54"/>
      <c r="I140" s="59">
        <f>IFERROR(B140/A140,"")</f>
        <v>5.2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>
        <v>25</v>
      </c>
      <c r="B141" s="61">
        <f>125+32</f>
        <v>157</v>
      </c>
      <c r="C141" s="61">
        <v>1</v>
      </c>
      <c r="D141" s="61">
        <f>31+32</f>
        <v>63</v>
      </c>
      <c r="E141" s="54"/>
      <c r="F141" s="54"/>
      <c r="G141" s="54"/>
      <c r="H141" s="54">
        <v>1</v>
      </c>
      <c r="I141" s="59">
        <f t="shared" ref="I141:I159" si="5">IF(A141&lt;&gt;0,(B141-(B140-D140))/(A141-A140),"")</f>
        <v>10.6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>
        <v>30</v>
      </c>
      <c r="B142" s="61">
        <f>144</f>
        <v>144</v>
      </c>
      <c r="C142" s="61"/>
      <c r="D142" s="61"/>
      <c r="E142" s="54"/>
      <c r="F142" s="54"/>
      <c r="G142" s="54"/>
      <c r="H142" s="54"/>
      <c r="I142" s="59">
        <f t="shared" si="5"/>
        <v>10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>
        <v>35</v>
      </c>
      <c r="B143" s="61">
        <f>159+31</f>
        <v>190</v>
      </c>
      <c r="C143" s="61">
        <v>2</v>
      </c>
      <c r="D143" s="61">
        <f>30+31</f>
        <v>61</v>
      </c>
      <c r="E143" s="54"/>
      <c r="F143" s="54"/>
      <c r="G143" s="54"/>
      <c r="H143" s="54"/>
      <c r="I143" s="59">
        <f t="shared" si="5"/>
        <v>9.1999999999999993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>
        <v>40</v>
      </c>
      <c r="B144" s="61">
        <f>170</f>
        <v>170</v>
      </c>
      <c r="C144" s="61"/>
      <c r="D144" s="61"/>
      <c r="E144" s="54"/>
      <c r="F144" s="54"/>
      <c r="G144" s="54"/>
      <c r="H144" s="54"/>
      <c r="I144" s="59">
        <f t="shared" si="5"/>
        <v>8.1999999999999993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>
        <v>45</v>
      </c>
      <c r="B145" s="61">
        <f>180+28</f>
        <v>208</v>
      </c>
      <c r="C145" s="61">
        <v>3</v>
      </c>
      <c r="D145" s="61">
        <f>26+28</f>
        <v>54</v>
      </c>
      <c r="E145" s="54"/>
      <c r="F145" s="54"/>
      <c r="G145" s="54"/>
      <c r="H145" s="54"/>
      <c r="I145" s="59">
        <f t="shared" si="5"/>
        <v>7.6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>
        <v>50</v>
      </c>
      <c r="B146" s="61">
        <f>187</f>
        <v>187</v>
      </c>
      <c r="C146" s="61"/>
      <c r="D146" s="61"/>
      <c r="E146" s="54"/>
      <c r="F146" s="54"/>
      <c r="G146" s="54"/>
      <c r="H146" s="54"/>
      <c r="I146" s="59">
        <f t="shared" si="5"/>
        <v>6.6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279">
        <v>55</v>
      </c>
      <c r="B147" s="61">
        <f>194+24</f>
        <v>218</v>
      </c>
      <c r="C147" s="61">
        <v>4</v>
      </c>
      <c r="D147" s="61">
        <f>21+24</f>
        <v>45</v>
      </c>
      <c r="E147" s="54"/>
      <c r="F147" s="54"/>
      <c r="G147" s="54"/>
      <c r="H147" s="54"/>
      <c r="I147" s="59">
        <f>IF(A147&lt;&gt;0,(B147-(B146-D146))/(A147-A146),"")</f>
        <v>6.2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279">
        <v>60</v>
      </c>
      <c r="B148" s="61">
        <f>199</f>
        <v>199</v>
      </c>
      <c r="C148" s="61"/>
      <c r="D148" s="61"/>
      <c r="E148" s="54"/>
      <c r="F148" s="54"/>
      <c r="G148" s="54"/>
      <c r="H148" s="54"/>
      <c r="I148" s="59">
        <f t="shared" si="5"/>
        <v>5.2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8">
        <v>65</v>
      </c>
      <c r="B149" s="58">
        <v>222</v>
      </c>
      <c r="C149" s="58">
        <v>5</v>
      </c>
      <c r="D149" s="58">
        <v>36</v>
      </c>
      <c r="E149" s="54"/>
      <c r="F149" s="64"/>
      <c r="G149" s="64"/>
      <c r="H149" s="64"/>
      <c r="I149" s="59">
        <f t="shared" si="5"/>
        <v>4.5999999999999996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8">
        <v>70</v>
      </c>
      <c r="B150" s="58">
        <v>206</v>
      </c>
      <c r="C150" s="58"/>
      <c r="D150" s="58"/>
      <c r="E150" s="54"/>
      <c r="F150" s="64"/>
      <c r="G150" s="64"/>
      <c r="H150" s="64"/>
      <c r="I150" s="59">
        <f t="shared" si="5"/>
        <v>4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8">
        <v>75</v>
      </c>
      <c r="B151" s="58">
        <v>224</v>
      </c>
      <c r="C151" s="58">
        <v>6</v>
      </c>
      <c r="D151" s="58">
        <v>28</v>
      </c>
      <c r="E151" s="54"/>
      <c r="F151" s="64"/>
      <c r="G151" s="64"/>
      <c r="H151" s="64"/>
      <c r="I151" s="59">
        <f t="shared" si="5"/>
        <v>3.6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8">
        <v>80</v>
      </c>
      <c r="B152" s="58">
        <v>211</v>
      </c>
      <c r="C152" s="58"/>
      <c r="D152" s="58"/>
      <c r="E152" s="54"/>
      <c r="F152" s="65"/>
      <c r="G152" s="65"/>
      <c r="H152" s="65"/>
      <c r="I152" s="59">
        <f t="shared" si="5"/>
        <v>3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8">
        <v>85</v>
      </c>
      <c r="B153" s="61">
        <f>213+11</f>
        <v>224</v>
      </c>
      <c r="C153" s="58">
        <v>7</v>
      </c>
      <c r="D153" s="61">
        <f>11+13</f>
        <v>24</v>
      </c>
      <c r="E153" s="54"/>
      <c r="F153" s="57"/>
      <c r="G153" s="57"/>
      <c r="H153" s="57"/>
      <c r="I153" s="59">
        <f t="shared" si="5"/>
        <v>2.6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3">
        <v>90</v>
      </c>
      <c r="B154" s="53">
        <v>215</v>
      </c>
      <c r="C154" s="53">
        <v>8</v>
      </c>
      <c r="D154" s="53">
        <v>215</v>
      </c>
      <c r="E154" s="54"/>
      <c r="F154" s="57"/>
      <c r="G154" s="57"/>
      <c r="H154" s="57"/>
      <c r="I154" s="59">
        <f t="shared" si="5"/>
        <v>3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3"/>
      <c r="B155" s="53"/>
      <c r="C155" s="53"/>
      <c r="D155" s="53"/>
      <c r="E155" s="54"/>
      <c r="F155" s="54"/>
      <c r="G155" s="54"/>
      <c r="H155" s="54"/>
      <c r="I155" s="59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3"/>
      <c r="B156" s="53"/>
      <c r="C156" s="53"/>
      <c r="D156" s="53"/>
      <c r="E156" s="54"/>
      <c r="F156" s="54"/>
      <c r="G156" s="54"/>
      <c r="H156" s="54"/>
      <c r="I156" s="59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3"/>
      <c r="B157" s="53"/>
      <c r="C157" s="53"/>
      <c r="D157" s="53"/>
      <c r="E157" s="54"/>
      <c r="F157" s="54"/>
      <c r="G157" s="54"/>
      <c r="H157" s="54"/>
      <c r="I157" s="59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3"/>
      <c r="B158" s="53"/>
      <c r="C158" s="53"/>
      <c r="D158" s="53"/>
      <c r="E158" s="54"/>
      <c r="F158" s="54"/>
      <c r="G158" s="54"/>
      <c r="H158" s="54"/>
      <c r="I158" s="59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3"/>
      <c r="B159" s="53"/>
      <c r="C159" s="53"/>
      <c r="D159" s="53"/>
      <c r="E159" s="54"/>
      <c r="F159" s="54"/>
      <c r="G159" s="54"/>
      <c r="H159" s="54"/>
      <c r="I159" s="59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>Chêne sessile</v>
      </c>
      <c r="C162" s="25" t="s">
        <v>324</v>
      </c>
      <c r="D162" s="255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2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88" t="s">
        <v>185</v>
      </c>
      <c r="C164" s="290" t="s">
        <v>186</v>
      </c>
      <c r="D164" s="290"/>
      <c r="E164" s="291" t="s">
        <v>187</v>
      </c>
      <c r="F164" s="292"/>
      <c r="G164" s="292"/>
      <c r="H164" s="293"/>
      <c r="I164" s="101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>
        <v>20</v>
      </c>
      <c r="B166" s="61">
        <v>42</v>
      </c>
      <c r="C166" s="61"/>
      <c r="D166" s="61"/>
      <c r="E166" s="54"/>
      <c r="F166" s="54"/>
      <c r="G166" s="54"/>
      <c r="H166" s="54"/>
      <c r="I166" s="52">
        <f>IFERROR(B166/A166,"")</f>
        <v>2.1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>
        <v>25</v>
      </c>
      <c r="B167" s="61">
        <f>62+8</f>
        <v>70</v>
      </c>
      <c r="C167" s="61"/>
      <c r="D167" s="61"/>
      <c r="E167" s="54"/>
      <c r="F167" s="54"/>
      <c r="G167" s="54"/>
      <c r="H167" s="54"/>
      <c r="I167" s="52">
        <f t="shared" ref="I167:I185" si="6">IF(A167&lt;&gt;0,(B167-(B166-D166))/(A167-A166),"")</f>
        <v>5.6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>
        <v>30</v>
      </c>
      <c r="B168" s="61">
        <f>76+8+21</f>
        <v>105</v>
      </c>
      <c r="C168" s="61">
        <v>1</v>
      </c>
      <c r="D168" s="61">
        <f>8+21</f>
        <v>29</v>
      </c>
      <c r="E168" s="54"/>
      <c r="F168" s="54"/>
      <c r="G168" s="54"/>
      <c r="H168" s="54">
        <v>1</v>
      </c>
      <c r="I168" s="52">
        <f t="shared" si="6"/>
        <v>7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>
        <v>35</v>
      </c>
      <c r="B169" s="61">
        <f>95+21</f>
        <v>116</v>
      </c>
      <c r="C169" s="61"/>
      <c r="D169" s="61"/>
      <c r="E169" s="54"/>
      <c r="F169" s="54"/>
      <c r="G169" s="54"/>
      <c r="H169" s="54"/>
      <c r="I169" s="52">
        <f t="shared" si="6"/>
        <v>8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>
        <v>40</v>
      </c>
      <c r="B170" s="61">
        <f>116+21+21</f>
        <v>158</v>
      </c>
      <c r="C170" s="61">
        <v>2</v>
      </c>
      <c r="D170" s="61">
        <f>21+21</f>
        <v>42</v>
      </c>
      <c r="E170" s="54"/>
      <c r="F170" s="54"/>
      <c r="G170" s="54"/>
      <c r="H170" s="54"/>
      <c r="I170" s="52">
        <f t="shared" si="6"/>
        <v>8.4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>
        <v>45</v>
      </c>
      <c r="B171" s="61">
        <f>137+21</f>
        <v>158</v>
      </c>
      <c r="C171" s="61"/>
      <c r="D171" s="61"/>
      <c r="E171" s="54"/>
      <c r="F171" s="54"/>
      <c r="G171" s="54"/>
      <c r="H171" s="54"/>
      <c r="I171" s="52">
        <f t="shared" si="6"/>
        <v>8.4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>
        <v>50</v>
      </c>
      <c r="B172" s="61">
        <f>157+21+21</f>
        <v>199</v>
      </c>
      <c r="C172" s="61">
        <v>3</v>
      </c>
      <c r="D172" s="61">
        <f>21+21</f>
        <v>42</v>
      </c>
      <c r="E172" s="54"/>
      <c r="F172" s="54"/>
      <c r="G172" s="54"/>
      <c r="H172" s="54"/>
      <c r="I172" s="52">
        <f t="shared" si="6"/>
        <v>8.1999999999999993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>
        <v>55</v>
      </c>
      <c r="B173" s="61">
        <f>176+21</f>
        <v>197</v>
      </c>
      <c r="C173" s="61"/>
      <c r="D173" s="61"/>
      <c r="E173" s="54"/>
      <c r="F173" s="54"/>
      <c r="G173" s="54"/>
      <c r="H173" s="54"/>
      <c r="I173" s="52">
        <f t="shared" si="6"/>
        <v>8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>
        <v>60</v>
      </c>
      <c r="B174" s="53">
        <v>235</v>
      </c>
      <c r="C174" s="53">
        <v>4</v>
      </c>
      <c r="D174" s="53">
        <v>42</v>
      </c>
      <c r="E174" s="54"/>
      <c r="F174" s="54"/>
      <c r="G174" s="54"/>
      <c r="H174" s="54"/>
      <c r="I174" s="52">
        <f t="shared" si="6"/>
        <v>7.6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>
        <v>65</v>
      </c>
      <c r="B175" s="53">
        <v>229</v>
      </c>
      <c r="C175" s="53"/>
      <c r="D175" s="53"/>
      <c r="E175" s="54"/>
      <c r="F175" s="54"/>
      <c r="G175" s="54"/>
      <c r="H175" s="54"/>
      <c r="I175" s="52">
        <f t="shared" si="6"/>
        <v>7.2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>
        <v>70</v>
      </c>
      <c r="B176" s="53">
        <v>263</v>
      </c>
      <c r="C176" s="53">
        <v>5</v>
      </c>
      <c r="D176" s="53">
        <v>42</v>
      </c>
      <c r="E176" s="54"/>
      <c r="F176" s="54"/>
      <c r="G176" s="54"/>
      <c r="H176" s="54"/>
      <c r="I176" s="52">
        <f t="shared" si="6"/>
        <v>6.8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>
        <v>75</v>
      </c>
      <c r="B177" s="53">
        <v>252</v>
      </c>
      <c r="C177" s="53"/>
      <c r="D177" s="53"/>
      <c r="E177" s="54"/>
      <c r="F177" s="54"/>
      <c r="G177" s="54"/>
      <c r="H177" s="54"/>
      <c r="I177" s="52">
        <f t="shared" si="6"/>
        <v>6.2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>
        <v>80</v>
      </c>
      <c r="B178" s="53">
        <v>282</v>
      </c>
      <c r="C178" s="53">
        <v>6</v>
      </c>
      <c r="D178" s="53">
        <v>42</v>
      </c>
      <c r="E178" s="54"/>
      <c r="F178" s="54"/>
      <c r="G178" s="54"/>
      <c r="H178" s="54"/>
      <c r="I178" s="52">
        <f t="shared" si="6"/>
        <v>6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>
        <v>90</v>
      </c>
      <c r="B179" s="53">
        <v>296</v>
      </c>
      <c r="C179" s="53">
        <v>7</v>
      </c>
      <c r="D179" s="53">
        <v>42</v>
      </c>
      <c r="E179" s="54"/>
      <c r="F179" s="54"/>
      <c r="G179" s="54"/>
      <c r="H179" s="54"/>
      <c r="I179" s="52">
        <f t="shared" si="6"/>
        <v>5.6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>
        <v>100</v>
      </c>
      <c r="B180" s="53">
        <v>303</v>
      </c>
      <c r="C180" s="53">
        <v>8</v>
      </c>
      <c r="D180" s="53">
        <v>42</v>
      </c>
      <c r="E180" s="54"/>
      <c r="F180" s="54"/>
      <c r="G180" s="54"/>
      <c r="H180" s="54"/>
      <c r="I180" s="52">
        <f t="shared" si="6"/>
        <v>4.9000000000000004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>
        <v>110</v>
      </c>
      <c r="B181" s="53">
        <v>305</v>
      </c>
      <c r="C181" s="53">
        <v>9</v>
      </c>
      <c r="D181" s="53">
        <v>39</v>
      </c>
      <c r="E181" s="54"/>
      <c r="F181" s="54"/>
      <c r="G181" s="54"/>
      <c r="H181" s="54"/>
      <c r="I181" s="52">
        <f t="shared" si="6"/>
        <v>4.4000000000000004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>
        <v>120</v>
      </c>
      <c r="B182" s="53">
        <v>303</v>
      </c>
      <c r="C182" s="53">
        <v>10</v>
      </c>
      <c r="D182" s="53">
        <v>35</v>
      </c>
      <c r="E182" s="54"/>
      <c r="F182" s="54"/>
      <c r="G182" s="54"/>
      <c r="H182" s="54"/>
      <c r="I182" s="52">
        <f t="shared" si="6"/>
        <v>3.7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>
        <v>130</v>
      </c>
      <c r="B183" s="53">
        <v>300</v>
      </c>
      <c r="C183" s="53">
        <v>11</v>
      </c>
      <c r="D183" s="53">
        <v>31</v>
      </c>
      <c r="E183" s="54"/>
      <c r="F183" s="54"/>
      <c r="G183" s="54"/>
      <c r="H183" s="54"/>
      <c r="I183" s="52">
        <f t="shared" si="6"/>
        <v>3.2</v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>
        <v>140</v>
      </c>
      <c r="B184" s="53">
        <v>296</v>
      </c>
      <c r="C184" s="53">
        <v>12</v>
      </c>
      <c r="D184" s="53">
        <v>27</v>
      </c>
      <c r="E184" s="54"/>
      <c r="F184" s="54"/>
      <c r="G184" s="54"/>
      <c r="H184" s="54"/>
      <c r="I184" s="52">
        <f t="shared" si="6"/>
        <v>2.7</v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>
        <v>150</v>
      </c>
      <c r="B185" s="53">
        <v>293</v>
      </c>
      <c r="C185" s="53">
        <v>13</v>
      </c>
      <c r="D185" s="53">
        <v>293</v>
      </c>
      <c r="E185" s="54"/>
      <c r="F185" s="54"/>
      <c r="G185" s="54"/>
      <c r="H185" s="54"/>
      <c r="I185" s="52">
        <f t="shared" si="6"/>
        <v>2.4</v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>Pin laricio</v>
      </c>
      <c r="C188" s="25" t="s">
        <v>329</v>
      </c>
      <c r="D188" s="255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2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88" t="s">
        <v>185</v>
      </c>
      <c r="C190" s="290" t="s">
        <v>186</v>
      </c>
      <c r="D190" s="290"/>
      <c r="E190" s="291" t="s">
        <v>187</v>
      </c>
      <c r="F190" s="292"/>
      <c r="G190" s="292"/>
      <c r="H190" s="293"/>
      <c r="I190" s="101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>
        <v>22</v>
      </c>
      <c r="B192" s="61">
        <v>129.56</v>
      </c>
      <c r="C192" s="61">
        <v>1</v>
      </c>
      <c r="D192" s="61">
        <v>52.41</v>
      </c>
      <c r="E192" s="54"/>
      <c r="F192" s="54">
        <v>0.5</v>
      </c>
      <c r="G192" s="54">
        <v>0.5</v>
      </c>
      <c r="H192" s="54"/>
      <c r="I192" s="52">
        <f>IFERROR(B192/A192,"")</f>
        <v>5.8890909090909096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>
        <v>27</v>
      </c>
      <c r="B193" s="61">
        <v>155.49</v>
      </c>
      <c r="C193" s="61">
        <v>2</v>
      </c>
      <c r="D193" s="61">
        <v>37.840000000000003</v>
      </c>
      <c r="E193" s="54"/>
      <c r="F193" s="54">
        <v>0.5</v>
      </c>
      <c r="G193" s="54">
        <v>0.5</v>
      </c>
      <c r="H193" s="54"/>
      <c r="I193" s="52">
        <f t="shared" ref="I193:I211" si="7">IF(A193&lt;&gt;0,(B193-(B192-D192))/(A193-A192),"")</f>
        <v>15.668000000000001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>
        <v>33</v>
      </c>
      <c r="B194" s="61">
        <v>217.34</v>
      </c>
      <c r="C194" s="61">
        <v>3</v>
      </c>
      <c r="D194" s="61">
        <v>50.41</v>
      </c>
      <c r="E194" s="54"/>
      <c r="F194" s="54"/>
      <c r="G194" s="54"/>
      <c r="H194" s="54"/>
      <c r="I194" s="52">
        <f t="shared" si="7"/>
        <v>16.614999999999998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>
        <v>41</v>
      </c>
      <c r="B195" s="61">
        <v>300.54000000000002</v>
      </c>
      <c r="C195" s="61">
        <v>4</v>
      </c>
      <c r="D195" s="61">
        <v>72.13</v>
      </c>
      <c r="E195" s="54"/>
      <c r="F195" s="54"/>
      <c r="G195" s="54"/>
      <c r="H195" s="54"/>
      <c r="I195" s="52">
        <f t="shared" si="7"/>
        <v>16.701250000000002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>
        <v>50</v>
      </c>
      <c r="B196" s="61">
        <v>369.94</v>
      </c>
      <c r="C196" s="61">
        <v>5</v>
      </c>
      <c r="D196" s="61">
        <v>70.2</v>
      </c>
      <c r="E196" s="54"/>
      <c r="F196" s="54"/>
      <c r="G196" s="54"/>
      <c r="H196" s="54"/>
      <c r="I196" s="52">
        <f t="shared" si="7"/>
        <v>15.725555555555552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>
        <v>60</v>
      </c>
      <c r="B197" s="61">
        <v>440.94</v>
      </c>
      <c r="C197" s="61">
        <v>6</v>
      </c>
      <c r="D197" s="61">
        <v>69.849999999999994</v>
      </c>
      <c r="E197" s="54"/>
      <c r="F197" s="54"/>
      <c r="G197" s="54"/>
      <c r="H197" s="54"/>
      <c r="I197" s="52">
        <f t="shared" si="7"/>
        <v>14.12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>
        <v>70</v>
      </c>
      <c r="B198" s="61">
        <v>490.06</v>
      </c>
      <c r="C198" s="61">
        <v>7</v>
      </c>
      <c r="D198" s="61">
        <v>67.88</v>
      </c>
      <c r="E198" s="54"/>
      <c r="F198" s="54"/>
      <c r="G198" s="54"/>
      <c r="H198" s="54"/>
      <c r="I198" s="52">
        <f t="shared" si="7"/>
        <v>11.896999999999997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>
        <v>80</v>
      </c>
      <c r="B199" s="61">
        <v>520</v>
      </c>
      <c r="C199" s="61">
        <v>8</v>
      </c>
      <c r="D199" s="61">
        <v>520</v>
      </c>
      <c r="E199" s="54"/>
      <c r="F199" s="54"/>
      <c r="G199" s="54"/>
      <c r="H199" s="54"/>
      <c r="I199" s="52">
        <f t="shared" si="7"/>
        <v>9.782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61"/>
      <c r="B200" s="61"/>
      <c r="C200" s="61"/>
      <c r="D200" s="61"/>
      <c r="E200" s="90"/>
      <c r="F200" s="90"/>
      <c r="G200" s="90"/>
      <c r="H200" s="90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61"/>
      <c r="B201" s="61"/>
      <c r="C201" s="61"/>
      <c r="D201" s="61"/>
      <c r="E201" s="90"/>
      <c r="F201" s="54"/>
      <c r="G201" s="54"/>
      <c r="H201" s="90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61"/>
      <c r="B202" s="61"/>
      <c r="C202" s="61"/>
      <c r="D202" s="61"/>
      <c r="E202" s="90"/>
      <c r="F202" s="90"/>
      <c r="G202" s="90"/>
      <c r="H202" s="90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>Pin de Salzmann</v>
      </c>
      <c r="C214" s="25" t="s">
        <v>327</v>
      </c>
      <c r="D214" s="255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2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88" t="s">
        <v>185</v>
      </c>
      <c r="C216" s="290" t="s">
        <v>186</v>
      </c>
      <c r="D216" s="290"/>
      <c r="E216" s="291" t="s">
        <v>187</v>
      </c>
      <c r="F216" s="292"/>
      <c r="G216" s="292"/>
      <c r="H216" s="293"/>
      <c r="I216" s="101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61">
        <v>32</v>
      </c>
      <c r="B218" s="61">
        <v>121</v>
      </c>
      <c r="C218" s="61">
        <v>1</v>
      </c>
      <c r="D218" s="61">
        <v>46</v>
      </c>
      <c r="E218" s="64"/>
      <c r="F218" s="64"/>
      <c r="G218" s="64"/>
      <c r="H218" s="64"/>
      <c r="I218" s="56">
        <f>IFERROR(B218/A218,"")</f>
        <v>3.78125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61">
        <v>40</v>
      </c>
      <c r="B219" s="61">
        <v>151</v>
      </c>
      <c r="C219" s="61">
        <v>2</v>
      </c>
      <c r="D219" s="61">
        <v>56</v>
      </c>
      <c r="E219" s="64"/>
      <c r="F219" s="64"/>
      <c r="G219" s="64"/>
      <c r="H219" s="64"/>
      <c r="I219" s="56">
        <f t="shared" ref="I219:I237" si="8">IF(A219&lt;&gt;0,(B219-(B218-D218))/(A219-A218),"")</f>
        <v>9.5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61">
        <v>49</v>
      </c>
      <c r="B220" s="61">
        <v>184</v>
      </c>
      <c r="C220" s="61">
        <v>3</v>
      </c>
      <c r="D220" s="61">
        <v>64</v>
      </c>
      <c r="E220" s="64"/>
      <c r="F220" s="64"/>
      <c r="G220" s="64"/>
      <c r="H220" s="64"/>
      <c r="I220" s="56">
        <f t="shared" si="8"/>
        <v>9.8888888888888893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61">
        <v>60</v>
      </c>
      <c r="B221" s="61">
        <v>216</v>
      </c>
      <c r="C221" s="61">
        <v>4</v>
      </c>
      <c r="D221" s="61">
        <v>71</v>
      </c>
      <c r="E221" s="64"/>
      <c r="F221" s="64"/>
      <c r="G221" s="64"/>
      <c r="H221" s="64"/>
      <c r="I221" s="56">
        <f t="shared" si="8"/>
        <v>8.7272727272727266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61">
        <v>73</v>
      </c>
      <c r="B222" s="61">
        <v>248</v>
      </c>
      <c r="C222" s="61">
        <v>5</v>
      </c>
      <c r="D222" s="61">
        <v>67</v>
      </c>
      <c r="E222" s="64"/>
      <c r="F222" s="64"/>
      <c r="G222" s="64"/>
      <c r="H222" s="64"/>
      <c r="I222" s="56">
        <f t="shared" si="8"/>
        <v>7.9230769230769234</v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61">
        <v>89</v>
      </c>
      <c r="B223" s="61">
        <v>281</v>
      </c>
      <c r="C223" s="61">
        <v>6</v>
      </c>
      <c r="D223" s="61">
        <v>281</v>
      </c>
      <c r="E223" s="64"/>
      <c r="F223" s="64"/>
      <c r="G223" s="64"/>
      <c r="H223" s="64"/>
      <c r="I223" s="56">
        <f t="shared" si="8"/>
        <v>6.25</v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4"/>
      <c r="F224" s="64"/>
      <c r="G224" s="64"/>
      <c r="H224" s="64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4"/>
      <c r="F225" s="64"/>
      <c r="G225" s="64"/>
      <c r="H225" s="64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4"/>
      <c r="F226" s="64"/>
      <c r="G226" s="64"/>
      <c r="H226" s="64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4"/>
      <c r="F227" s="64"/>
      <c r="G227" s="64"/>
      <c r="H227" s="64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4"/>
      <c r="F228" s="64"/>
      <c r="G228" s="64"/>
      <c r="H228" s="64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4"/>
      <c r="F229" s="64"/>
      <c r="G229" s="64"/>
      <c r="H229" s="64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5"/>
      <c r="F230" s="65"/>
      <c r="G230" s="65"/>
      <c r="H230" s="65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1"/>
      <c r="B231" s="61"/>
      <c r="C231" s="91"/>
      <c r="D231" s="61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>Séquoia toujours vert</v>
      </c>
      <c r="C240" s="25" t="s">
        <v>330</v>
      </c>
      <c r="D240" s="255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2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88" t="s">
        <v>185</v>
      </c>
      <c r="C242" s="290" t="s">
        <v>186</v>
      </c>
      <c r="D242" s="290"/>
      <c r="E242" s="291" t="s">
        <v>187</v>
      </c>
      <c r="F242" s="292"/>
      <c r="G242" s="292"/>
      <c r="H242" s="293"/>
      <c r="I242" s="101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>
        <v>18</v>
      </c>
      <c r="B244" s="61">
        <f>79</f>
        <v>79</v>
      </c>
      <c r="C244" s="53"/>
      <c r="D244" s="61"/>
      <c r="E244" s="54"/>
      <c r="F244" s="54"/>
      <c r="G244" s="54"/>
      <c r="H244" s="54"/>
      <c r="I244" s="56">
        <f>IFERROR(B244/A244,"")</f>
        <v>4.3888888888888893</v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>
        <v>23</v>
      </c>
      <c r="B245" s="61">
        <f>194+0</f>
        <v>194</v>
      </c>
      <c r="C245" s="53">
        <v>1</v>
      </c>
      <c r="D245" s="61">
        <f>63</f>
        <v>63</v>
      </c>
      <c r="E245" s="54"/>
      <c r="F245" s="54"/>
      <c r="G245" s="54"/>
      <c r="H245" s="54">
        <v>1</v>
      </c>
      <c r="I245" s="56">
        <f>IF(A245&lt;&gt;0,(B245-(B244-D244))/(A245-A244),"")</f>
        <v>23</v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>
        <v>28</v>
      </c>
      <c r="B246" s="61">
        <f>267</f>
        <v>267</v>
      </c>
      <c r="C246" s="53"/>
      <c r="D246" s="61"/>
      <c r="E246" s="54"/>
      <c r="F246" s="54"/>
      <c r="G246" s="54"/>
      <c r="H246" s="54"/>
      <c r="I246" s="56">
        <f>IF(A246&lt;&gt;0,(B246-(B245-D245))/(A246-A245),"")</f>
        <v>27.2</v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>
        <v>33</v>
      </c>
      <c r="B247" s="61">
        <f>346+63</f>
        <v>409</v>
      </c>
      <c r="C247" s="53">
        <v>2</v>
      </c>
      <c r="D247" s="61">
        <f>63+63</f>
        <v>126</v>
      </c>
      <c r="E247" s="54"/>
      <c r="F247" s="54"/>
      <c r="G247" s="54"/>
      <c r="H247" s="54"/>
      <c r="I247" s="56">
        <f t="shared" ref="I247:I263" si="9">IF(A247&lt;&gt;0,(B247-(B246-D246))/(A247-A246),"")</f>
        <v>28.4</v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>
        <v>38</v>
      </c>
      <c r="B248" s="61">
        <f>422</f>
        <v>422</v>
      </c>
      <c r="C248" s="53"/>
      <c r="D248" s="61"/>
      <c r="E248" s="54"/>
      <c r="F248" s="54"/>
      <c r="G248" s="54"/>
      <c r="H248" s="54"/>
      <c r="I248" s="56">
        <f t="shared" si="9"/>
        <v>27.8</v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>
        <v>43</v>
      </c>
      <c r="B249" s="61">
        <f>485+63</f>
        <v>548</v>
      </c>
      <c r="C249" s="53">
        <v>3</v>
      </c>
      <c r="D249" s="61">
        <f>63+63</f>
        <v>126</v>
      </c>
      <c r="E249" s="54"/>
      <c r="F249" s="54"/>
      <c r="G249" s="54"/>
      <c r="H249" s="54"/>
      <c r="I249" s="56">
        <f t="shared" si="9"/>
        <v>25.2</v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>
        <v>48</v>
      </c>
      <c r="B250" s="61">
        <f>537</f>
        <v>537</v>
      </c>
      <c r="C250" s="53"/>
      <c r="D250" s="61"/>
      <c r="E250" s="54"/>
      <c r="F250" s="54"/>
      <c r="G250" s="54"/>
      <c r="H250" s="54"/>
      <c r="I250" s="56">
        <f t="shared" si="9"/>
        <v>23</v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3">
        <v>53</v>
      </c>
      <c r="B251" s="61">
        <f>587+51</f>
        <v>638</v>
      </c>
      <c r="C251" s="53">
        <v>4</v>
      </c>
      <c r="D251" s="61">
        <f>43+51</f>
        <v>94</v>
      </c>
      <c r="E251" s="54"/>
      <c r="F251" s="54"/>
      <c r="G251" s="54"/>
      <c r="H251" s="54"/>
      <c r="I251" s="56">
        <f t="shared" si="9"/>
        <v>20.2</v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3">
        <v>58</v>
      </c>
      <c r="B252" s="61">
        <f>632</f>
        <v>632</v>
      </c>
      <c r="C252" s="53"/>
      <c r="D252" s="61"/>
      <c r="E252" s="54"/>
      <c r="F252" s="54"/>
      <c r="G252" s="54"/>
      <c r="H252" s="54"/>
      <c r="I252" s="56">
        <f t="shared" si="9"/>
        <v>17.600000000000001</v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3">
        <v>63</v>
      </c>
      <c r="B253" s="61">
        <f>670+38</f>
        <v>708</v>
      </c>
      <c r="C253" s="53">
        <v>5</v>
      </c>
      <c r="D253" s="61">
        <f>33+38</f>
        <v>71</v>
      </c>
      <c r="E253" s="54"/>
      <c r="F253" s="54"/>
      <c r="G253" s="54"/>
      <c r="H253" s="54"/>
      <c r="I253" s="56">
        <f t="shared" si="9"/>
        <v>15.2</v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3">
        <v>68</v>
      </c>
      <c r="B254" s="61">
        <f>700</f>
        <v>700</v>
      </c>
      <c r="C254" s="53"/>
      <c r="D254" s="61"/>
      <c r="E254" s="54"/>
      <c r="F254" s="54"/>
      <c r="G254" s="54"/>
      <c r="H254" s="54"/>
      <c r="I254" s="56">
        <f t="shared" si="9"/>
        <v>12.6</v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3">
        <v>73</v>
      </c>
      <c r="B255" s="61">
        <f>723+28</f>
        <v>751</v>
      </c>
      <c r="C255" s="53">
        <v>6</v>
      </c>
      <c r="D255" s="61">
        <f>24+28</f>
        <v>52</v>
      </c>
      <c r="E255" s="54"/>
      <c r="F255" s="54"/>
      <c r="G255" s="54"/>
      <c r="H255" s="54"/>
      <c r="I255" s="56">
        <f t="shared" si="9"/>
        <v>10.199999999999999</v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3">
        <v>78</v>
      </c>
      <c r="B256" s="61">
        <f>740</f>
        <v>740</v>
      </c>
      <c r="C256" s="53">
        <v>7</v>
      </c>
      <c r="D256" s="61">
        <f>740</f>
        <v>740</v>
      </c>
      <c r="E256" s="57"/>
      <c r="F256" s="57"/>
      <c r="G256" s="57"/>
      <c r="H256" s="57"/>
      <c r="I256" s="56">
        <f t="shared" si="9"/>
        <v>8.1999999999999993</v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58"/>
      <c r="B257" s="61"/>
      <c r="C257" s="58"/>
      <c r="D257" s="61"/>
      <c r="E257" s="54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4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4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4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4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4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4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5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2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88" t="s">
        <v>185</v>
      </c>
      <c r="C268" s="290" t="s">
        <v>186</v>
      </c>
      <c r="D268" s="290"/>
      <c r="E268" s="291" t="s">
        <v>187</v>
      </c>
      <c r="F268" s="292"/>
      <c r="G268" s="292"/>
      <c r="H268" s="293"/>
      <c r="I268" s="101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1"/>
      <c r="C270" s="53"/>
      <c r="D270" s="61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1"/>
      <c r="C271" s="53"/>
      <c r="D271" s="61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1"/>
      <c r="C272" s="53"/>
      <c r="D272" s="61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1"/>
      <c r="C273" s="53"/>
      <c r="D273" s="61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1"/>
      <c r="C274" s="53"/>
      <c r="D274" s="61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1"/>
      <c r="C275" s="53"/>
      <c r="D275" s="61"/>
      <c r="E275" s="54"/>
      <c r="F275" s="54"/>
      <c r="G275" s="54"/>
      <c r="H275" s="54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1"/>
      <c r="C276" s="53"/>
      <c r="D276" s="61"/>
      <c r="E276" s="54"/>
      <c r="F276" s="54"/>
      <c r="G276" s="54"/>
      <c r="H276" s="54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3"/>
      <c r="B277" s="61"/>
      <c r="C277" s="53"/>
      <c r="D277" s="61"/>
      <c r="E277" s="54"/>
      <c r="F277" s="54"/>
      <c r="G277" s="54"/>
      <c r="H277" s="54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3"/>
      <c r="B278" s="61"/>
      <c r="C278" s="53"/>
      <c r="D278" s="61"/>
      <c r="E278" s="54"/>
      <c r="F278" s="54"/>
      <c r="G278" s="54"/>
      <c r="H278" s="54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3"/>
      <c r="B279" s="61"/>
      <c r="C279" s="53"/>
      <c r="D279" s="61"/>
      <c r="E279" s="54"/>
      <c r="F279" s="54"/>
      <c r="G279" s="54"/>
      <c r="H279" s="54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3"/>
      <c r="B280" s="61"/>
      <c r="C280" s="53"/>
      <c r="D280" s="61"/>
      <c r="E280" s="54"/>
      <c r="F280" s="54"/>
      <c r="G280" s="54"/>
      <c r="H280" s="54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3"/>
      <c r="B281" s="61"/>
      <c r="C281" s="53"/>
      <c r="D281" s="61"/>
      <c r="E281" s="54"/>
      <c r="F281" s="54"/>
      <c r="G281" s="54"/>
      <c r="H281" s="54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3"/>
      <c r="B282" s="61"/>
      <c r="C282" s="53"/>
      <c r="D282" s="61"/>
      <c r="E282" s="57"/>
      <c r="F282" s="57"/>
      <c r="G282" s="57"/>
      <c r="H282" s="5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53"/>
      <c r="B283" s="61"/>
      <c r="C283" s="53"/>
      <c r="D283" s="61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="85" zoomScaleNormal="85" workbookViewId="0">
      <selection activeCell="G9" sqref="G9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3"/>
      <c r="K1" s="103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4" t="s">
        <v>191</v>
      </c>
      <c r="C2" s="305"/>
      <c r="D2" s="305"/>
      <c r="E2" s="305"/>
      <c r="F2" s="305"/>
      <c r="G2" s="306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3"/>
      <c r="C4" s="303"/>
      <c r="D4" s="303"/>
      <c r="E4" s="303"/>
      <c r="F4" s="303"/>
      <c r="G4" s="303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4" t="s">
        <v>296</v>
      </c>
      <c r="C5" s="104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3"/>
      <c r="C6" s="233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5"/>
      <c r="B7" s="29" t="s">
        <v>295</v>
      </c>
      <c r="C7" s="106" t="s">
        <v>214</v>
      </c>
      <c r="D7" s="231"/>
      <c r="E7" s="107"/>
      <c r="F7" s="29" t="s">
        <v>295</v>
      </c>
      <c r="G7" s="106" t="s">
        <v>215</v>
      </c>
      <c r="H7" s="232"/>
      <c r="I7" s="232"/>
      <c r="J7" s="232"/>
      <c r="K7" s="232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105"/>
      <c r="AL7" s="105"/>
    </row>
    <row r="8" spans="1:38" ht="17.25" customHeight="1" x14ac:dyDescent="0.3">
      <c r="A8" s="111">
        <v>1</v>
      </c>
      <c r="B8" s="62">
        <v>0</v>
      </c>
      <c r="C8" s="52" t="s">
        <v>177</v>
      </c>
      <c r="D8" s="25"/>
      <c r="E8" s="111">
        <v>4</v>
      </c>
      <c r="F8" s="62">
        <v>1</v>
      </c>
      <c r="G8" s="108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1">
        <v>2</v>
      </c>
      <c r="B9" s="62">
        <v>0</v>
      </c>
      <c r="C9" s="114" t="s">
        <v>216</v>
      </c>
      <c r="D9" s="25"/>
      <c r="E9" s="111">
        <v>5</v>
      </c>
      <c r="F9" s="62">
        <v>0</v>
      </c>
      <c r="G9" s="109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1">
        <v>3</v>
      </c>
      <c r="B10" s="62">
        <v>0</v>
      </c>
      <c r="C10" s="115" t="s">
        <v>217</v>
      </c>
      <c r="D10" s="25"/>
      <c r="E10" s="5"/>
      <c r="F10" s="112">
        <f>SUM(F7:F9)</f>
        <v>1</v>
      </c>
      <c r="G10" s="110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2">
        <v>0</v>
      </c>
      <c r="C11" s="110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2"/>
      <c r="B13" s="113"/>
      <c r="C13" s="104" t="s">
        <v>273</v>
      </c>
      <c r="D13" s="232"/>
      <c r="E13" s="105"/>
      <c r="F13" s="113"/>
      <c r="G13" s="104" t="s">
        <v>301</v>
      </c>
      <c r="H13" s="232"/>
      <c r="I13" s="232"/>
      <c r="J13" s="232"/>
      <c r="K13" s="232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</row>
    <row r="14" spans="1:38" s="4" customFormat="1" ht="21" customHeight="1" x14ac:dyDescent="0.3">
      <c r="A14" s="232"/>
      <c r="B14" s="113"/>
      <c r="C14" s="104" t="s">
        <v>309</v>
      </c>
      <c r="D14" s="232"/>
      <c r="E14" s="105"/>
      <c r="F14" s="113"/>
      <c r="G14" s="104" t="s">
        <v>294</v>
      </c>
      <c r="H14" s="232"/>
      <c r="I14" s="232"/>
      <c r="J14" s="232"/>
      <c r="K14" s="232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2">
        <v>0</v>
      </c>
      <c r="C16" s="116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2">
        <v>0</v>
      </c>
      <c r="C17" s="116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2">
        <v>0</v>
      </c>
      <c r="C18" s="116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2">
        <f>SUM(B16:B18)</f>
        <v>0</v>
      </c>
      <c r="C19" s="110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6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6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68" bestFit="1" customWidth="1"/>
    <col min="2" max="4" width="11.44140625" style="68"/>
    <col min="5" max="5" width="9.5546875" style="68" customWidth="1"/>
    <col min="6" max="7" width="11.44140625" style="68"/>
    <col min="8" max="8" width="10.6640625" style="68" customWidth="1"/>
    <col min="9" max="9" width="9.44140625" style="68" customWidth="1"/>
    <col min="10" max="11" width="10.5546875" style="68" bestFit="1" customWidth="1"/>
    <col min="12" max="12" width="14" style="68" bestFit="1" customWidth="1"/>
    <col min="13" max="13" width="14" style="68" customWidth="1"/>
    <col min="14" max="23" width="11.44140625" style="68"/>
    <col min="24" max="24" width="11.6640625" style="68" bestFit="1" customWidth="1"/>
    <col min="25" max="25" width="14.5546875" style="68" bestFit="1" customWidth="1"/>
    <col min="26" max="26" width="12.44140625" style="68" bestFit="1" customWidth="1"/>
    <col min="27" max="27" width="9.6640625" style="68" bestFit="1" customWidth="1"/>
    <col min="28" max="28" width="11" style="68" bestFit="1" customWidth="1"/>
    <col min="29" max="29" width="9.44140625" style="68" bestFit="1" customWidth="1"/>
    <col min="30" max="31" width="9.44140625" style="68" customWidth="1"/>
    <col min="32" max="32" width="11.44140625" style="68"/>
    <col min="33" max="34" width="14" style="68" bestFit="1" customWidth="1"/>
    <col min="35" max="35" width="10.5546875" style="68" bestFit="1" customWidth="1"/>
    <col min="36" max="36" width="9.44140625" style="68" bestFit="1" customWidth="1"/>
    <col min="37" max="38" width="10.5546875" style="68" bestFit="1" customWidth="1"/>
    <col min="39" max="41" width="10.5546875" style="68" customWidth="1"/>
    <col min="42" max="42" width="9" style="68" bestFit="1" customWidth="1"/>
    <col min="43" max="43" width="10.5546875" style="68" bestFit="1" customWidth="1"/>
    <col min="44" max="44" width="9.33203125" style="68" bestFit="1" customWidth="1"/>
    <col min="45" max="45" width="11.6640625" style="68" bestFit="1" customWidth="1"/>
    <col min="46" max="46" width="8.44140625" style="68" bestFit="1" customWidth="1"/>
    <col min="47" max="47" width="9.44140625" style="68" bestFit="1" customWidth="1"/>
    <col min="48" max="48" width="9.6640625" style="68" bestFit="1" customWidth="1"/>
    <col min="49" max="49" width="11" style="68" bestFit="1" customWidth="1"/>
    <col min="50" max="50" width="9.44140625" style="68" bestFit="1" customWidth="1"/>
    <col min="51" max="52" width="9.44140625" style="68" customWidth="1"/>
    <col min="53" max="53" width="10.5546875" style="68" bestFit="1" customWidth="1"/>
    <col min="54" max="54" width="14.33203125" style="68" customWidth="1"/>
    <col min="55" max="55" width="14" style="68" customWidth="1"/>
    <col min="56" max="56" width="10.5546875" style="68" bestFit="1" customWidth="1"/>
    <col min="57" max="57" width="9.44140625" style="68" bestFit="1" customWidth="1"/>
    <col min="58" max="59" width="10.5546875" style="68" bestFit="1" customWidth="1"/>
    <col min="60" max="62" width="10.5546875" style="68" customWidth="1"/>
    <col min="63" max="63" width="9" style="68" bestFit="1" customWidth="1"/>
    <col min="64" max="64" width="10.5546875" style="68" bestFit="1" customWidth="1"/>
    <col min="65" max="65" width="9.33203125" style="68" bestFit="1" customWidth="1"/>
    <col min="66" max="66" width="11.6640625" style="68" bestFit="1" customWidth="1"/>
    <col min="67" max="67" width="8.44140625" style="68" bestFit="1" customWidth="1"/>
    <col min="68" max="68" width="9.44140625" style="68" bestFit="1" customWidth="1"/>
    <col min="69" max="69" width="9.6640625" style="68" bestFit="1" customWidth="1"/>
    <col min="70" max="70" width="11" style="68" bestFit="1" customWidth="1"/>
    <col min="71" max="71" width="9.44140625" style="68" bestFit="1" customWidth="1"/>
    <col min="72" max="73" width="9.44140625" style="68" customWidth="1"/>
    <col min="74" max="74" width="10.5546875" style="68" bestFit="1" customWidth="1"/>
    <col min="75" max="75" width="14" style="68" bestFit="1" customWidth="1"/>
    <col min="76" max="76" width="13.88671875" style="68" customWidth="1"/>
    <col min="77" max="77" width="10.5546875" style="68" bestFit="1" customWidth="1"/>
    <col min="78" max="78" width="9.44140625" style="68" bestFit="1" customWidth="1"/>
    <col min="79" max="80" width="10.5546875" style="68" bestFit="1" customWidth="1"/>
    <col min="81" max="83" width="10.5546875" style="68" customWidth="1"/>
    <col min="84" max="84" width="11.44140625" style="68"/>
    <col min="85" max="85" width="10.5546875" style="68" bestFit="1" customWidth="1"/>
    <col min="86" max="86" width="9.33203125" style="68" bestFit="1" customWidth="1"/>
    <col min="87" max="87" width="11.6640625" style="68" bestFit="1" customWidth="1"/>
    <col min="88" max="88" width="8.44140625" style="68" bestFit="1" customWidth="1"/>
    <col min="89" max="89" width="9.44140625" style="68" bestFit="1" customWidth="1"/>
    <col min="90" max="90" width="9.6640625" style="68" bestFit="1" customWidth="1"/>
    <col min="91" max="91" width="11" style="68" bestFit="1" customWidth="1"/>
    <col min="92" max="92" width="9.44140625" style="68" bestFit="1" customWidth="1"/>
    <col min="93" max="94" width="9.44140625" style="68" customWidth="1"/>
    <col min="95" max="95" width="11.44140625" style="68"/>
    <col min="96" max="97" width="14" style="68" customWidth="1"/>
    <col min="98" max="98" width="10.5546875" style="68" bestFit="1" customWidth="1"/>
    <col min="99" max="99" width="9.44140625" style="68" bestFit="1" customWidth="1"/>
    <col min="100" max="101" width="10.5546875" style="68" bestFit="1" customWidth="1"/>
    <col min="102" max="104" width="10.5546875" style="68" customWidth="1"/>
    <col min="105" max="105" width="9" style="68" bestFit="1" customWidth="1"/>
    <col min="106" max="106" width="10.5546875" style="68" bestFit="1" customWidth="1"/>
    <col min="107" max="107" width="9.33203125" style="68" bestFit="1" customWidth="1"/>
    <col min="108" max="108" width="11.6640625" style="68" bestFit="1" customWidth="1"/>
    <col min="109" max="109" width="8.44140625" style="68" bestFit="1" customWidth="1"/>
    <col min="110" max="110" width="9.44140625" style="68" bestFit="1" customWidth="1"/>
    <col min="111" max="111" width="9.6640625" style="68" bestFit="1" customWidth="1"/>
    <col min="112" max="112" width="11" style="68" bestFit="1" customWidth="1"/>
    <col min="113" max="113" width="9.44140625" style="68" bestFit="1" customWidth="1"/>
    <col min="114" max="115" width="9.44140625" style="68" customWidth="1"/>
    <col min="116" max="116" width="10.5546875" style="68" bestFit="1" customWidth="1"/>
    <col min="117" max="117" width="14.33203125" style="68" customWidth="1"/>
    <col min="118" max="118" width="14" style="68" bestFit="1" customWidth="1"/>
    <col min="119" max="119" width="10.5546875" style="68" bestFit="1" customWidth="1"/>
    <col min="120" max="120" width="9.44140625" style="68" bestFit="1" customWidth="1"/>
    <col min="121" max="122" width="10.5546875" style="68" bestFit="1" customWidth="1"/>
    <col min="123" max="125" width="10.5546875" style="68" customWidth="1"/>
    <col min="126" max="126" width="9" style="68" bestFit="1" customWidth="1"/>
    <col min="127" max="127" width="10.5546875" style="68" bestFit="1" customWidth="1"/>
    <col min="128" max="128" width="9.33203125" style="68" bestFit="1" customWidth="1"/>
    <col min="129" max="129" width="11.6640625" style="68" bestFit="1" customWidth="1"/>
    <col min="130" max="130" width="8.44140625" style="68" bestFit="1" customWidth="1"/>
    <col min="131" max="131" width="9.44140625" style="68" bestFit="1" customWidth="1"/>
    <col min="132" max="132" width="9.6640625" style="68" bestFit="1" customWidth="1"/>
    <col min="133" max="133" width="11" style="68" bestFit="1" customWidth="1"/>
    <col min="134" max="134" width="9.44140625" style="68" bestFit="1" customWidth="1"/>
    <col min="135" max="136" width="9.44140625" style="68" customWidth="1"/>
    <col min="137" max="137" width="10.5546875" style="68" bestFit="1" customWidth="1"/>
    <col min="138" max="139" width="14" style="68" customWidth="1"/>
    <col min="140" max="140" width="10.5546875" style="68" bestFit="1" customWidth="1"/>
    <col min="141" max="141" width="9.44140625" style="68" bestFit="1" customWidth="1"/>
    <col min="142" max="143" width="10.5546875" style="68" bestFit="1" customWidth="1"/>
    <col min="144" max="146" width="10.5546875" style="68" customWidth="1"/>
    <col min="147" max="147" width="9" style="68" bestFit="1" customWidth="1"/>
    <col min="148" max="148" width="10.5546875" style="68" bestFit="1" customWidth="1"/>
    <col min="149" max="149" width="9.33203125" style="68" bestFit="1" customWidth="1"/>
    <col min="150" max="150" width="11.6640625" style="68" bestFit="1" customWidth="1"/>
    <col min="151" max="151" width="8.44140625" style="68" bestFit="1" customWidth="1"/>
    <col min="152" max="152" width="9.44140625" style="68" bestFit="1" customWidth="1"/>
    <col min="153" max="153" width="9.6640625" style="68" bestFit="1" customWidth="1"/>
    <col min="154" max="154" width="11" style="68" bestFit="1" customWidth="1"/>
    <col min="155" max="155" width="9.44140625" style="68" bestFit="1" customWidth="1"/>
    <col min="156" max="157" width="9.44140625" style="68" customWidth="1"/>
    <col min="158" max="158" width="11.44140625" style="68"/>
    <col min="159" max="160" width="14" style="68" bestFit="1" customWidth="1"/>
    <col min="161" max="161" width="10.5546875" style="68" bestFit="1" customWidth="1"/>
    <col min="162" max="162" width="9.44140625" style="68" bestFit="1" customWidth="1"/>
    <col min="163" max="164" width="10.5546875" style="68" bestFit="1" customWidth="1"/>
    <col min="165" max="167" width="10.5546875" style="68" customWidth="1"/>
    <col min="168" max="168" width="9" style="68" bestFit="1" customWidth="1"/>
    <col min="169" max="169" width="10.5546875" style="68" bestFit="1" customWidth="1"/>
    <col min="170" max="170" width="9.33203125" style="68" bestFit="1" customWidth="1"/>
    <col min="171" max="171" width="11.6640625" style="68" bestFit="1" customWidth="1"/>
    <col min="172" max="172" width="8.109375" style="68" bestFit="1" customWidth="1"/>
    <col min="173" max="173" width="9.44140625" style="68" bestFit="1" customWidth="1"/>
    <col min="174" max="174" width="9.6640625" style="68" bestFit="1" customWidth="1"/>
    <col min="175" max="175" width="11" style="68" bestFit="1" customWidth="1"/>
    <col min="176" max="176" width="9.44140625" style="68" bestFit="1" customWidth="1"/>
    <col min="177" max="178" width="9.44140625" style="68" customWidth="1"/>
    <col min="179" max="179" width="10.5546875" style="68" bestFit="1" customWidth="1"/>
    <col min="180" max="181" width="14" style="68" bestFit="1" customWidth="1"/>
    <col min="182" max="182" width="10.5546875" style="68" bestFit="1" customWidth="1"/>
    <col min="183" max="183" width="9.44140625" style="68" bestFit="1" customWidth="1"/>
    <col min="184" max="185" width="10.5546875" style="68" bestFit="1" customWidth="1"/>
    <col min="186" max="188" width="10.5546875" style="68" customWidth="1"/>
    <col min="189" max="189" width="9" style="68" bestFit="1" customWidth="1"/>
    <col min="190" max="190" width="10.5546875" style="68" bestFit="1" customWidth="1"/>
    <col min="191" max="191" width="9.33203125" style="68" bestFit="1" customWidth="1"/>
    <col min="192" max="192" width="11.44140625" style="68"/>
    <col min="193" max="193" width="8.44140625" style="68" bestFit="1" customWidth="1"/>
    <col min="194" max="194" width="9.44140625" style="68" bestFit="1" customWidth="1"/>
    <col min="195" max="195" width="9.6640625" style="68" bestFit="1" customWidth="1"/>
    <col min="196" max="196" width="11" style="68" bestFit="1" customWidth="1"/>
    <col min="197" max="197" width="9.44140625" style="68" bestFit="1" customWidth="1"/>
    <col min="198" max="199" width="9.44140625" style="68" customWidth="1"/>
    <col min="200" max="200" width="10.5546875" style="68" bestFit="1" customWidth="1"/>
    <col min="201" max="201" width="14" style="68" customWidth="1"/>
    <col min="202" max="202" width="14.33203125" style="68" customWidth="1"/>
    <col min="203" max="203" width="10.5546875" style="68" bestFit="1" customWidth="1"/>
    <col min="204" max="204" width="9.44140625" style="68" bestFit="1" customWidth="1"/>
    <col min="205" max="206" width="10.5546875" style="68" bestFit="1" customWidth="1"/>
    <col min="207" max="209" width="10.5546875" style="68" customWidth="1"/>
    <col min="210" max="210" width="9" style="68" bestFit="1" customWidth="1"/>
    <col min="211" max="211" width="10.5546875" style="68" bestFit="1" customWidth="1"/>
    <col min="212" max="212" width="9.33203125" style="68" bestFit="1" customWidth="1"/>
    <col min="213" max="213" width="11.6640625" style="68" bestFit="1" customWidth="1"/>
    <col min="214" max="214" width="8.44140625" style="68" bestFit="1" customWidth="1"/>
    <col min="215" max="215" width="9.44140625" style="68" bestFit="1" customWidth="1"/>
    <col min="216" max="216" width="9.6640625" style="68" bestFit="1" customWidth="1"/>
    <col min="217" max="217" width="11" style="68" bestFit="1" customWidth="1"/>
    <col min="218" max="218" width="9.44140625" style="68" bestFit="1" customWidth="1"/>
    <col min="219" max="16384" width="11.44140625" style="68"/>
  </cols>
  <sheetData>
    <row r="1" spans="1:218" s="5" customFormat="1" ht="26.4" thickBot="1" x14ac:dyDescent="0.55000000000000004">
      <c r="B1" s="310" t="s">
        <v>176</v>
      </c>
      <c r="C1" s="311"/>
      <c r="D1" s="311"/>
      <c r="E1" s="311"/>
      <c r="F1" s="311"/>
      <c r="G1" s="311"/>
      <c r="H1" s="312"/>
      <c r="I1" s="307" t="str">
        <f>IF('Données projet'!$B$9="","",'Données projet'!$B$9)</f>
        <v>Pin maritime</v>
      </c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  <c r="Y1" s="308"/>
      <c r="Z1" s="308"/>
      <c r="AA1" s="308"/>
      <c r="AB1" s="308"/>
      <c r="AC1" s="309"/>
      <c r="AD1" s="308" t="str">
        <f>IF('Données projet'!$B$10="","",'Données projet'!$B$10)</f>
        <v>Chêne pubescent</v>
      </c>
      <c r="AE1" s="308"/>
      <c r="AF1" s="308"/>
      <c r="AG1" s="308"/>
      <c r="AH1" s="308"/>
      <c r="AI1" s="308"/>
      <c r="AJ1" s="308"/>
      <c r="AK1" s="308"/>
      <c r="AL1" s="308"/>
      <c r="AM1" s="308"/>
      <c r="AN1" s="308"/>
      <c r="AO1" s="308"/>
      <c r="AP1" s="308"/>
      <c r="AQ1" s="308"/>
      <c r="AR1" s="308"/>
      <c r="AS1" s="308"/>
      <c r="AT1" s="308"/>
      <c r="AU1" s="308"/>
      <c r="AV1" s="308"/>
      <c r="AW1" s="308"/>
      <c r="AX1" s="309"/>
      <c r="AY1" s="307" t="str">
        <f>IF('Données projet'!$B$11="","",'Données projet'!$B$11)</f>
        <v>Alisier torminal</v>
      </c>
      <c r="AZ1" s="308"/>
      <c r="BA1" s="308"/>
      <c r="BB1" s="308"/>
      <c r="BC1" s="308"/>
      <c r="BD1" s="308"/>
      <c r="BE1" s="308"/>
      <c r="BF1" s="308"/>
      <c r="BG1" s="308"/>
      <c r="BH1" s="308"/>
      <c r="BI1" s="308"/>
      <c r="BJ1" s="308"/>
      <c r="BK1" s="308"/>
      <c r="BL1" s="308"/>
      <c r="BM1" s="308"/>
      <c r="BN1" s="308"/>
      <c r="BO1" s="308"/>
      <c r="BP1" s="308"/>
      <c r="BQ1" s="308"/>
      <c r="BR1" s="308"/>
      <c r="BS1" s="309"/>
      <c r="BT1" s="307" t="str">
        <f>IF('Données projet'!$B$12="","",'Données projet'!$B$12)</f>
        <v>Tilleul</v>
      </c>
      <c r="BU1" s="308"/>
      <c r="BV1" s="308"/>
      <c r="BW1" s="308"/>
      <c r="BX1" s="308"/>
      <c r="BY1" s="308"/>
      <c r="BZ1" s="308"/>
      <c r="CA1" s="308"/>
      <c r="CB1" s="308"/>
      <c r="CC1" s="308"/>
      <c r="CD1" s="308"/>
      <c r="CE1" s="308"/>
      <c r="CF1" s="308"/>
      <c r="CG1" s="308"/>
      <c r="CH1" s="308"/>
      <c r="CI1" s="308"/>
      <c r="CJ1" s="308"/>
      <c r="CK1" s="308"/>
      <c r="CL1" s="308"/>
      <c r="CM1" s="308"/>
      <c r="CN1" s="309"/>
      <c r="CO1" s="307" t="str">
        <f>IF('Données projet'!$B$13="","",'Données projet'!$B$13)</f>
        <v>Chêne rouge d'Amérique</v>
      </c>
      <c r="CP1" s="308"/>
      <c r="CQ1" s="308"/>
      <c r="CR1" s="308"/>
      <c r="CS1" s="308"/>
      <c r="CT1" s="308"/>
      <c r="CU1" s="308"/>
      <c r="CV1" s="308"/>
      <c r="CW1" s="308"/>
      <c r="CX1" s="308"/>
      <c r="CY1" s="308"/>
      <c r="CZ1" s="308"/>
      <c r="DA1" s="308"/>
      <c r="DB1" s="308"/>
      <c r="DC1" s="308"/>
      <c r="DD1" s="308"/>
      <c r="DE1" s="308"/>
      <c r="DF1" s="308"/>
      <c r="DG1" s="308"/>
      <c r="DH1" s="308"/>
      <c r="DI1" s="309"/>
      <c r="DJ1" s="307" t="str">
        <f>IF('Données projet'!$B$14="","",'Données projet'!$B$14)</f>
        <v>Chêne sessile</v>
      </c>
      <c r="DK1" s="308"/>
      <c r="DL1" s="308"/>
      <c r="DM1" s="308"/>
      <c r="DN1" s="308"/>
      <c r="DO1" s="308"/>
      <c r="DP1" s="308"/>
      <c r="DQ1" s="308"/>
      <c r="DR1" s="308"/>
      <c r="DS1" s="308"/>
      <c r="DT1" s="308"/>
      <c r="DU1" s="308"/>
      <c r="DV1" s="308"/>
      <c r="DW1" s="308"/>
      <c r="DX1" s="308"/>
      <c r="DY1" s="308"/>
      <c r="DZ1" s="308"/>
      <c r="EA1" s="308"/>
      <c r="EB1" s="308"/>
      <c r="EC1" s="308"/>
      <c r="ED1" s="309"/>
      <c r="EE1" s="307" t="str">
        <f>IF('Données projet'!$B$15="","",'Données projet'!$B$15)</f>
        <v>Pin laricio</v>
      </c>
      <c r="EF1" s="308"/>
      <c r="EG1" s="308"/>
      <c r="EH1" s="308"/>
      <c r="EI1" s="308"/>
      <c r="EJ1" s="308"/>
      <c r="EK1" s="308"/>
      <c r="EL1" s="308"/>
      <c r="EM1" s="308"/>
      <c r="EN1" s="308"/>
      <c r="EO1" s="308"/>
      <c r="EP1" s="308"/>
      <c r="EQ1" s="308"/>
      <c r="ER1" s="308"/>
      <c r="ES1" s="308"/>
      <c r="ET1" s="308"/>
      <c r="EU1" s="308"/>
      <c r="EV1" s="308"/>
      <c r="EW1" s="308"/>
      <c r="EX1" s="308"/>
      <c r="EY1" s="309"/>
      <c r="EZ1" s="307" t="str">
        <f>IF('Données projet'!$B$16="","",'Données projet'!$B$16)</f>
        <v>Pin de Salzmann</v>
      </c>
      <c r="FA1" s="308"/>
      <c r="FB1" s="308"/>
      <c r="FC1" s="308"/>
      <c r="FD1" s="308"/>
      <c r="FE1" s="308"/>
      <c r="FF1" s="308"/>
      <c r="FG1" s="308"/>
      <c r="FH1" s="308"/>
      <c r="FI1" s="308"/>
      <c r="FJ1" s="308"/>
      <c r="FK1" s="308"/>
      <c r="FL1" s="308"/>
      <c r="FM1" s="308"/>
      <c r="FN1" s="308"/>
      <c r="FO1" s="308"/>
      <c r="FP1" s="308"/>
      <c r="FQ1" s="308"/>
      <c r="FR1" s="308"/>
      <c r="FS1" s="308"/>
      <c r="FT1" s="309"/>
      <c r="FU1" s="307" t="str">
        <f>IF('Données projet'!$B$17="","",'Données projet'!$B$17)</f>
        <v>Séquoia toujours vert</v>
      </c>
      <c r="FV1" s="308"/>
      <c r="FW1" s="308"/>
      <c r="FX1" s="308"/>
      <c r="FY1" s="308"/>
      <c r="FZ1" s="308"/>
      <c r="GA1" s="308"/>
      <c r="GB1" s="308"/>
      <c r="GC1" s="308"/>
      <c r="GD1" s="308"/>
      <c r="GE1" s="308"/>
      <c r="GF1" s="308"/>
      <c r="GG1" s="308"/>
      <c r="GH1" s="308"/>
      <c r="GI1" s="308"/>
      <c r="GJ1" s="308"/>
      <c r="GK1" s="308"/>
      <c r="GL1" s="308"/>
      <c r="GM1" s="308"/>
      <c r="GN1" s="308"/>
      <c r="GO1" s="309"/>
      <c r="GP1" s="307" t="str">
        <f>IF('Données projet'!$B$18="","",'Données projet'!$B$18)</f>
        <v/>
      </c>
      <c r="GQ1" s="308"/>
      <c r="GR1" s="308"/>
      <c r="GS1" s="308"/>
      <c r="GT1" s="308"/>
      <c r="GU1" s="308"/>
      <c r="GV1" s="308"/>
      <c r="GW1" s="308"/>
      <c r="GX1" s="308"/>
      <c r="GY1" s="308"/>
      <c r="GZ1" s="308"/>
      <c r="HA1" s="308"/>
      <c r="HB1" s="308"/>
      <c r="HC1" s="308"/>
      <c r="HD1" s="308"/>
      <c r="HE1" s="308"/>
      <c r="HF1" s="308"/>
      <c r="HG1" s="308"/>
      <c r="HH1" s="308"/>
      <c r="HI1" s="308"/>
      <c r="HJ1" s="309"/>
    </row>
    <row r="2" spans="1:218" s="5" customFormat="1" ht="58.2" thickBot="1" x14ac:dyDescent="0.35">
      <c r="A2" s="72" t="s">
        <v>178</v>
      </c>
      <c r="B2" s="73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6" t="s">
        <v>299</v>
      </c>
      <c r="I2" s="69" t="s">
        <v>298</v>
      </c>
      <c r="J2" s="70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0" t="s">
        <v>298</v>
      </c>
      <c r="AE2" s="70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69" t="s">
        <v>298</v>
      </c>
      <c r="AZ2" s="70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69" t="s">
        <v>298</v>
      </c>
      <c r="BU2" s="70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69" t="s">
        <v>298</v>
      </c>
      <c r="CP2" s="70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69" t="s">
        <v>298</v>
      </c>
      <c r="DK2" s="70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69" t="s">
        <v>298</v>
      </c>
      <c r="EF2" s="70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69" t="s">
        <v>298</v>
      </c>
      <c r="FA2" s="70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69" t="s">
        <v>298</v>
      </c>
      <c r="FV2" s="70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69" t="s">
        <v>298</v>
      </c>
      <c r="GQ2" s="70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4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0">
        <f t="shared" ref="R3:R66" si="0">Q3+(I3+J3)*44/12</f>
        <v>293.33333333333331</v>
      </c>
      <c r="S3" s="60">
        <f ca="1">AVERAGE(OFFSET($R$3,0,0,'Données projet'!$E$9+1,1))-AVERAGE(OFFSET($H$3,0,0,'Données projet'!$E$9+1,1))</f>
        <v>235.63766249714581</v>
      </c>
      <c r="T3" s="60">
        <f>IF('Données projet'!E9&gt;30,$R$33-$H$33,LOOKUP('Données projet'!$E$9,$A$3:$A$203,R3:R203)-LOOKUP('Données projet'!$E$9,$A$3:$A$203,$H$3:$H$203))</f>
        <v>231.3297293785277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0">
        <f>AL3+(AD3+AE3)*44/12</f>
        <v>293.33333333333331</v>
      </c>
      <c r="AN3" s="60">
        <f ca="1">AVERAGE(OFFSET($AM$3,0,0,'Données projet'!$E$10+1,1))-AVERAGE(OFFSET($H$3,0,0,'Données projet'!$E$10+1,1))</f>
        <v>350.3652766444938</v>
      </c>
      <c r="AO3" s="60">
        <f>IF('Données projet'!E10&gt;30,$AM$33-$H$33,LOOKUP('Données projet'!$E$10,$A$3:$A$203,AM3:AM203)-LOOKUP('Données projet'!$E$10,$A$3:$A$203,$H$3:$H$203))</f>
        <v>197.04549436738586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6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0">
        <f>BG3+(AY3+AZ3)*44/12</f>
        <v>293.33333333333331</v>
      </c>
      <c r="BI3" s="60">
        <f ca="1">AVERAGE(OFFSET($BH$3,0,0,'Données projet'!$E$11+1,1))-AVERAGE(OFFSET($H$3,0,0,'Données projet'!$E$11+1,1))</f>
        <v>330.39429528665841</v>
      </c>
      <c r="BJ3" s="60">
        <f>IF('Données projet'!E11&gt;30,$BH$33-$H$33,LOOKUP('Données projet'!$E$11,$A$3:$A$203,BH3:BH203)-LOOKUP('Données projet'!$E$11,$A$3:$A$203,$H$3:$H$203))</f>
        <v>186.45728006007261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0">
        <f>CB3+(BT3+BU3)*44/12</f>
        <v>293.33333333333331</v>
      </c>
      <c r="CD3" s="60">
        <f ca="1">AVERAGE(OFFSET($CC$3,0,0,'Données projet'!$E$12+1,1))-AVERAGE(OFFSET($H$3,0,0,'Données projet'!$E$12+1,1))</f>
        <v>212.33913923444732</v>
      </c>
      <c r="CE3" s="60">
        <f>IF('Données projet'!E12&gt;30,$CC$33-$H$33,LOOKUP('Données projet'!$E$12,$A$3:$A$203,CC3:CC203)-LOOKUP('Données projet'!$E$12,$A$3:$A$203,$H$3:$H$203))</f>
        <v>183.51194426094372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0">
        <f>CW3+(CO3+CP3)*44/12</f>
        <v>293.33333333333331</v>
      </c>
      <c r="CY3" s="60">
        <f ca="1">AVERAGE(OFFSET($CX$3,0,0,'Données projet'!$E$13+1,1))-AVERAGE(OFFSET($H$3,0,0,'Données projet'!$E$13+1,1))</f>
        <v>228.0393346366489</v>
      </c>
      <c r="CZ3" s="60">
        <f>IF('Données projet'!E13&gt;30,$CX$33-$H$33,LOOKUP('Données projet'!$E$13,$A$3:$A$203,CX3:CX203)-LOOKUP('Données projet'!$E$13,$A$3:$A$203,$H$3:$H$203))</f>
        <v>238.591781509447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0">
        <f>DR3+(DJ3+DK3)*44/12</f>
        <v>293.33333333333331</v>
      </c>
      <c r="DT3" s="60">
        <f ca="1">AVERAGE(OFFSET($DS$3,0,0,'Données projet'!$E$14+1,1))-AVERAGE(OFFSET($H$3,0,0,'Données projet'!$E$14+1,1))</f>
        <v>303.73499739059076</v>
      </c>
      <c r="DU3" s="60">
        <f>IF('Données projet'!E14&gt;30,$DS$33-$H$33,LOOKUP('Données projet'!$E$14,$A$3:$A$203,DS3:DS203)-LOOKUP('Données projet'!$E$14,$A$3:$A$203,$H$3:$H$203))</f>
        <v>172.32171001882188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0">
        <f>EM3+(EE3+EF3)*44/12</f>
        <v>293.33333333333331</v>
      </c>
      <c r="EO3" s="60">
        <f ca="1">AVERAGE(OFFSET($EN$3,0,0,'Données projet'!$E$15+1,1))-AVERAGE(OFFSET($H$3,0,0,'Données projet'!$E$15+1,1))</f>
        <v>269.94948820700841</v>
      </c>
      <c r="EP3" s="60">
        <f>IF('Données projet'!E15&gt;30,$EN$33-$H$33,LOOKUP('Données projet'!$E$15,$A$3:$A$203,EN3:EN203)-LOOKUP('Données projet'!$E$15,$A$3:$A$203,$H$3:$H$203))</f>
        <v>183.45158355135192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projet'!$B$16,Paramètres!$A$1:$I$89,3,0)*VLOOKUP('Données projet'!$B$16,Paramètres!$A$1:$I$89,5,0)</f>
        <v>0</v>
      </c>
      <c r="FG3" s="13">
        <v>0</v>
      </c>
      <c r="FH3" s="15">
        <f>(FF3+FG3)*0.475*44/12</f>
        <v>0</v>
      </c>
      <c r="FI3" s="60">
        <f>FH3+(EZ3+FA3)*44/12</f>
        <v>293.33333333333331</v>
      </c>
      <c r="FJ3" s="60">
        <f ca="1">AVERAGE(OFFSET($FI$3,0,0,'Données projet'!$E$16+1,1))-AVERAGE(OFFSET($H$3,0,0,'Données projet'!$E$16+1,1))</f>
        <v>111.24788725253484</v>
      </c>
      <c r="FK3" s="60">
        <f>IF('Données projet'!E16&gt;30,$FI$33-$H$33,LOOKUP('Données projet'!$E$16,$A$3:$A$203,FI3:FI203)-LOOKUP('Données projet'!$E$16,$A$3:$A$203,$H$3:$H$203))</f>
        <v>82.434879813357327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>
        <f>FZ3*VLOOKUP('Données projet'!$B$17,Paramètres!$A$1:$I$89,3,0)*VLOOKUP('Données projet'!$B$17,Paramètres!$A$1:$I$89,5,0)</f>
        <v>0</v>
      </c>
      <c r="GB3" s="13">
        <v>0</v>
      </c>
      <c r="GC3" s="15">
        <f>(GA3+GB3)*0.475*44/12</f>
        <v>0</v>
      </c>
      <c r="GD3" s="60">
        <f>GC3+(FU3+FV3)*44/12</f>
        <v>293.33333333333331</v>
      </c>
      <c r="GE3" s="60">
        <f ca="1">AVERAGE(OFFSET($GD$3,0,0,'Données projet'!$E$17+1,1))-AVERAGE(OFFSET($H$3,0,0,'Données projet'!$E$17+1,1))</f>
        <v>323.56667371063662</v>
      </c>
      <c r="GF3" s="60">
        <f>IF('Données projet'!E17&gt;30,$GD$33-$H$33,LOOKUP('Données projet'!$E$17,$A$3:$A$203,GD3:GD203)-LOOKUP('Données projet'!$E$17,$A$3:$A$203,$H$3:$H$203))</f>
        <v>275.70373467723385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0" t="e">
        <f>GX3+(GP3+GQ3)*44/12</f>
        <v>#N/A</v>
      </c>
      <c r="GZ3" s="60" t="e">
        <f ca="1">AVERAGE(OFFSET($GY$3,0,0,'Données projet'!$E$18+1,1))-AVERAGE(OFFSET($H$3,0,0,'Données projet'!$E$18+1,1))</f>
        <v>#N/A</v>
      </c>
      <c r="HA3" s="60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4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2">
        <f>IFERROR(EXP(-1.0587+0.8836*LN(C4)+0.284),0)</f>
        <v>0.26998241883213048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7.1952941176470588</v>
      </c>
      <c r="N4" s="14">
        <f>IF('Données projet'!$A$36&gt;35,N3+M4-V3,IF(A4&lt;'Données projet'!$A$36,$K$205^A4,IF(A4='Données projet'!$A$36,'Données projet'!$B$36,N3+M4-V3)))</f>
        <v>1.3267648858502221</v>
      </c>
      <c r="O4" s="14">
        <f>N4*VLOOKUP('Données projet'!$B$9,Paramètres!$A$1:$I$89,3,0)*VLOOKUP('Données projet'!$B$9,Paramètres!$A$1:$I$89,5,0)</f>
        <v>0.79340540173843288</v>
      </c>
      <c r="P4" s="14">
        <f>EXP(-1.0587+0.8836*LN(O4)+0.284)</f>
        <v>0.37561764201183739</v>
      </c>
      <c r="Q4" s="22">
        <f t="shared" ref="Q4:Q34" si="2">(O4+P4)*0.475*44/12</f>
        <v>2.0360484678650539</v>
      </c>
      <c r="R4" s="60">
        <f t="shared" si="0"/>
        <v>295.36938180119836</v>
      </c>
      <c r="S4" s="60">
        <f ca="1">AVERAGE(OFFSET($R$3,0,0,'Données projet'!$E$9+1,1))-AVERAGE(OFFSET($H$3,0,0,'Données projet'!$E$9+1,1))</f>
        <v>235.63766249714581</v>
      </c>
      <c r="T4" s="60">
        <f>$T$3</f>
        <v>231.3297293785277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2.1</v>
      </c>
      <c r="AI4" s="14">
        <f>IF('Données projet'!$A$62&gt;35,AI3+AH4-AQ3,IF(A4&lt;'Données projet'!$A$62,$AF$205^A4,IF(A4='Données projet'!$A$62,'Données projet'!$B$62,AI3+AH4-AQ3)))</f>
        <v>1.2054868146447177</v>
      </c>
      <c r="AJ4" s="14">
        <f>AI4*VLOOKUP('Données projet'!$B$10,Paramètres!$A$1:$I$89,3,0)*VLOOKUP('Données projet'!$B$10,Paramètres!$A$1:$I$89,5,0)</f>
        <v>1.2223636300497438</v>
      </c>
      <c r="AK4" s="14">
        <f>EXP(-1.0587+0.8836*LN(AJ4)+0.284)</f>
        <v>0.55030360208821416</v>
      </c>
      <c r="AL4" s="22">
        <f t="shared" ref="AL4:AL67" si="4">(AJ4+AK4)*0.475*44/12</f>
        <v>3.0873954293069432</v>
      </c>
      <c r="AM4" s="60">
        <f t="shared" ref="AM4:AM67" si="5">AL4+(AD4+AE4)*44/12</f>
        <v>296.42072876264024</v>
      </c>
      <c r="AN4" s="60">
        <f ca="1">AVERAGE(OFFSET($AM$3,0,0,'Données projet'!$E$10+1,1))-AVERAGE(OFFSET($H$3,0,0,'Données projet'!$E$10+1,1))</f>
        <v>350.3652766444938</v>
      </c>
      <c r="AO4" s="60">
        <f>$AO$3</f>
        <v>197.04549436738586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6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2.1</v>
      </c>
      <c r="BD4" s="13">
        <f>IF('Données projet'!$A$88&gt;35,BD3+BC4-BL3,IF(A4&lt;'Données projet'!$A$88,$BA$205^A4,IF(A4='Données projet'!$A$88,'Données projet'!$B$88,BD3+BC4-BL3)))</f>
        <v>1.2054868146447177</v>
      </c>
      <c r="BE4" s="14">
        <f>BD4*VLOOKUP('Données projet'!$B$11,Paramètres!$A$1:$I$89,3,0)*VLOOKUP('Données projet'!$B$11,Paramètres!$A$1:$I$89,5,0)</f>
        <v>1.165946847124371</v>
      </c>
      <c r="BF4" s="14">
        <f>EXP(-1.0587+0.8836*LN(BE4)+0.284)</f>
        <v>0.52780002987456354</v>
      </c>
      <c r="BG4" s="22">
        <f t="shared" ref="BG4:BG67" si="7">(BE4+BF4)*0.475*44/12</f>
        <v>2.9499424774398109</v>
      </c>
      <c r="BH4" s="60">
        <f t="shared" ref="BH4:BH67" si="8">BG4+(AY4+AZ4)*44/12</f>
        <v>296.28327581077315</v>
      </c>
      <c r="BI4" s="60">
        <f ca="1">AVERAGE(OFFSET($BH$3,0,0,'Données projet'!$E$11+1,1))-AVERAGE(OFFSET($H$3,0,0,'Données projet'!$E$11+1,1))</f>
        <v>330.39429528665841</v>
      </c>
      <c r="BJ4" s="60">
        <f>$BJ$3</f>
        <v>186.45728006007261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3.3333333333333335</v>
      </c>
      <c r="BY4" s="13">
        <f>IF('Données projet'!$A$114&gt;35,BY3+BX4-CG3,IF(A4&lt;'Données projet'!$A$114,$BV$205^A4,IF(A4='Données projet'!$A$114,'Données projet'!$B$114,BY3+BX4-CG3)))</f>
        <v>1.2979700365523266</v>
      </c>
      <c r="BZ4" s="14">
        <f>BY4*VLOOKUP('Données projet'!$B$12,Paramètres!$A$1:$I$89,3,0)*VLOOKUP('Données projet'!$B$12,Paramètres!$A$1:$I$89,5,0)</f>
        <v>0.87067830051930062</v>
      </c>
      <c r="CA4" s="14">
        <f>EXP(-1.0587+0.8836*LN(BZ4)+0.284)</f>
        <v>0.40776537662742923</v>
      </c>
      <c r="CB4" s="22">
        <f t="shared" ref="CB4:CB67" si="10">(BZ4+CA4)*0.475*44/12</f>
        <v>2.226622737697221</v>
      </c>
      <c r="CC4" s="60">
        <f t="shared" ref="CC4:CC67" si="11">CB4+(BT4+BU4)*44/12</f>
        <v>295.55995607103051</v>
      </c>
      <c r="CD4" s="60">
        <f ca="1">AVERAGE(OFFSET($CC$3,0,0,'Données projet'!$E$12+1,1))-AVERAGE(OFFSET($H$3,0,0,'Données projet'!$E$12+1,1))</f>
        <v>212.33913923444732</v>
      </c>
      <c r="CE4" s="60">
        <f>$CE$3</f>
        <v>183.51194426094372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5.2</v>
      </c>
      <c r="CT4" s="13">
        <f>IF('Données projet'!$A$140&gt;35,CT3+CS4-DB3,IF(A4&lt;'Données projet'!$A$140,$CQ$205^A4,IF(A4='Données projet'!$A$140,'Données projet'!$B$140,CT3+CS4-DB3)))</f>
        <v>1.2613966317002558</v>
      </c>
      <c r="CU4" s="18">
        <f>CT4*VLOOKUP('Données projet'!$B$13,Paramètres!$A$1:$I$89,3,0)*VLOOKUP('Données projet'!$B$13,Paramètres!$A$1:$I$89,5,0)</f>
        <v>1.1019560974533436</v>
      </c>
      <c r="CV4" s="14">
        <f>EXP(-1.0587+0.8836*LN(CU4)+0.284)</f>
        <v>0.5021210560685857</v>
      </c>
      <c r="CW4" s="22">
        <f t="shared" ref="CW4:CW67" si="13">(CU4+CV4)*0.475*44/12</f>
        <v>2.7937677090506927</v>
      </c>
      <c r="CX4" s="60">
        <f t="shared" ref="CX4:CX67" si="14">CW4+(CO4+CP4)*44/12</f>
        <v>296.12710104238403</v>
      </c>
      <c r="CY4" s="60">
        <f ca="1">AVERAGE(OFFSET($CX$3,0,0,'Données projet'!$E$13+1,1))-AVERAGE(OFFSET($H$3,0,0,'Données projet'!$E$13+1,1))</f>
        <v>228.0393346366489</v>
      </c>
      <c r="CZ4" s="60">
        <f>$CZ$3</f>
        <v>238.591781509447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2.1</v>
      </c>
      <c r="DO4" s="13">
        <f>IF('Données projet'!$A$166&gt;35,DO3+DN4-DW3,IF(A4&lt;'Données projet'!$A$166,$DL$205^A4,IF(A4='Données projet'!$A$166,'Données projet'!$B$166,DO3+DN4-DW3)))</f>
        <v>1.2054868146447177</v>
      </c>
      <c r="DP4" s="18">
        <f>DO4*VLOOKUP('Données projet'!$B$14,Paramètres!$A$1:$I$89,3,0)*VLOOKUP('Données projet'!$B$14,Paramètres!$A$1:$I$89,5,0)</f>
        <v>1.0907244698905405</v>
      </c>
      <c r="DQ4" s="14">
        <f>EXP(-1.0587+0.8836*LN(DP4)+0.284)</f>
        <v>0.49759623852608204</v>
      </c>
      <c r="DR4" s="22">
        <f t="shared" ref="DR4:DR67" si="16">(DP4+DQ4)*0.475*44/12</f>
        <v>2.7663252338256172</v>
      </c>
      <c r="DS4" s="60">
        <f t="shared" ref="DS4:DS67" si="17">DR4+(DJ4+DK4)*44/12</f>
        <v>296.09965856715894</v>
      </c>
      <c r="DT4" s="60">
        <f ca="1">AVERAGE(OFFSET($DS$3,0,0,'Données projet'!$E$14+1,1))-AVERAGE(OFFSET($H$3,0,0,'Données projet'!$E$14+1,1))</f>
        <v>303.73499739059076</v>
      </c>
      <c r="DU4" s="60">
        <f>$DU$3</f>
        <v>172.32171001882188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5.8890909090909096</v>
      </c>
      <c r="EJ4" s="13">
        <f>IF('Données projet'!$A$192&gt;35,EJ3+EI4-ER3,IF(A4&lt;'Données projet'!$A$192,$EG$205^A4,IF(A4='Données projet'!$A$192,'Données projet'!$B$192,EJ3+EI4-ER3)))</f>
        <v>1.2474449991725556</v>
      </c>
      <c r="EK4" s="18">
        <f>EJ4*VLOOKUP('Données projet'!$B$15,Paramètres!$A$1:$I$89,3,0)*VLOOKUP('Données projet'!$B$15,Paramètres!$A$1:$I$89,5,0)</f>
        <v>0.74597210950518822</v>
      </c>
      <c r="EL4" s="14">
        <f>EXP(-1.0587+0.8836*LN(EK4)+0.284)</f>
        <v>0.35570481632934337</v>
      </c>
      <c r="EM4" s="22">
        <f t="shared" ref="EM4:EM67" si="19">(EK4+EL4)*0.475*44/12</f>
        <v>1.9187539791618089</v>
      </c>
      <c r="EN4" s="60">
        <f t="shared" ref="EN4:EN67" si="20">EM4+(EE4+EF4)*44/12</f>
        <v>295.25208731249512</v>
      </c>
      <c r="EO4" s="60">
        <f ca="1">AVERAGE(OFFSET($EN$3,0,0,'Données projet'!$E$15+1,1))-AVERAGE(OFFSET($H$3,0,0,'Données projet'!$E$15+1,1))</f>
        <v>269.94948820700841</v>
      </c>
      <c r="EP4" s="60">
        <f>$EP$3</f>
        <v>183.45158355135192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3.78125</v>
      </c>
      <c r="FE4" s="13">
        <f>IF('Données projet'!$A$218&gt;35,FE3+FD4-FM3,IF(A4&lt;'Données projet'!$A$218,$FB$205^A4,IF(A4='Données projet'!$A$218,'Données projet'!$B$218,FE3+FD4-FM3)))</f>
        <v>1.1616814187717481</v>
      </c>
      <c r="FF4" s="18">
        <f>FE4*VLOOKUP('Données projet'!$B$16,Paramètres!$A$1:$I$89,3,0)*VLOOKUP('Données projet'!$B$16,Paramètres!$A$1:$I$89,5,0)</f>
        <v>0.69468548842550537</v>
      </c>
      <c r="FG4" s="14">
        <f>EXP(-1.0587+0.8836*LN(FF4)+0.284)</f>
        <v>0.33400744097760005</v>
      </c>
      <c r="FH4" s="22">
        <f t="shared" ref="FH4:FH67" si="22">(FF4+FG4)*0.475*44/12</f>
        <v>1.7916401853770756</v>
      </c>
      <c r="FI4" s="60">
        <f t="shared" ref="FI4:FI67" si="23">FH4+(EZ4+FA4)*44/12</f>
        <v>295.12497351871036</v>
      </c>
      <c r="FJ4" s="60">
        <f ca="1">AVERAGE(OFFSET($FI$3,0,0,'Données projet'!$E$16+1,1))-AVERAGE(OFFSET($H$3,0,0,'Données projet'!$E$16+1,1))</f>
        <v>111.24788725253484</v>
      </c>
      <c r="FK4" s="60">
        <f>$FK$3</f>
        <v>82.434879813357327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projet'!$B$16,Paramètres!$A$1:$I$89,3,0)*0.475*44/12</f>
        <v>0</v>
      </c>
      <c r="FR4" s="23">
        <f>EXP(-LN(2)/25)*FR3+(1-EXP(-LN(2)/25))/(LN(2)/25)*Calculateur!FM4*Calculateur!FO4*VLOOKUP('Données projet'!$B$16,Paramètres!$A$1:$I$89,3,0)*0.475*44/12</f>
        <v>0</v>
      </c>
      <c r="FS4" s="23">
        <f>EXP(-LN(2)/2)*FS3+(1-EXP(-LN(2)/2))/(LN(2)/2)*FM4*FP4*VLOOKUP('Données projet'!$B$16,Paramètres!$A$1:$I$89,3,0)*0.475*44/12</f>
        <v>0</v>
      </c>
      <c r="FT4" s="24">
        <f t="shared" ref="FT4:FT67" si="24">SUM(FQ4:FS4)</f>
        <v>0</v>
      </c>
      <c r="FU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4.3888888888888893</v>
      </c>
      <c r="FZ4" s="13">
        <f>IF('Données projet'!$A$244&gt;35,FZ3+FY4-GH3,IF(A4&lt;'Données projet'!$A$244,$FW$205^A4,IF(A4='Données projet'!$A$244,'Données projet'!$B$244,FZ3+FY4-GH3)))</f>
        <v>1.274746203751338</v>
      </c>
      <c r="GA4" s="18">
        <f>FZ4*VLOOKUP('Données projet'!$B$17,Paramètres!$A$1:$I$89,3,0)*VLOOKUP('Données projet'!$B$17,Paramètres!$A$1:$I$89,5,0)</f>
        <v>0.56343782205809145</v>
      </c>
      <c r="GB4" s="14">
        <f>EXP(-1.0587+0.8836*LN(GA4)+0.284)</f>
        <v>0.27758729669847171</v>
      </c>
      <c r="GC4" s="22">
        <f t="shared" ref="GC4:GC67" si="25">(GA4+GB4)*0.475*44/12</f>
        <v>1.4647854151676807</v>
      </c>
      <c r="GD4" s="60">
        <f t="shared" ref="GD4:GD67" si="26">GC4+(FU4+FV4)*44/12</f>
        <v>294.798118748501</v>
      </c>
      <c r="GE4" s="60">
        <f ca="1">AVERAGE(OFFSET($GD$3,0,0,'Données projet'!$E$17+1,1))-AVERAGE(OFFSET($H$3,0,0,'Données projet'!$E$17+1,1))</f>
        <v>323.56667371063662</v>
      </c>
      <c r="GF4" s="60">
        <f>$GF$3</f>
        <v>275.70373467723385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>
        <f>EXP(-LN(2)/35)*GL3+(1-EXP(-LN(2)/35))/(LN(2)/35)*GH4*GI4*VLOOKUP('Données projet'!$B$17,Paramètres!$A$1:$I$89,3,0)*0.475*44/12</f>
        <v>0</v>
      </c>
      <c r="GM4" s="23">
        <f>EXP(-LN(2)/25)*GM3+(1-EXP(-LN(2)/25))/(LN(2)/25)*Calculateur!GH4*Calculateur!GJ4*VLOOKUP('Données projet'!$B$17,Paramètres!$A$1:$I$89,3,0)*0.475*44/12</f>
        <v>0</v>
      </c>
      <c r="GN4" s="23">
        <f>EXP(-LN(2)/2)*GN3+(1-EXP(-LN(2)/2))/(LN(2)/2)*GH4*GK4*VLOOKUP('Données projet'!$B$17,Paramètres!$A$1:$I$89,3,0)*0.475*44/12</f>
        <v>0</v>
      </c>
      <c r="GO4" s="23">
        <f t="shared" ref="GO4:GO67" si="27">SUM(GL4:GN4)</f>
        <v>0</v>
      </c>
      <c r="GP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0" t="e">
        <f t="shared" ref="GY4:GY67" si="29">GX4+(GP4+GQ4)*44/12</f>
        <v>#N/A</v>
      </c>
      <c r="GZ4" s="60" t="e">
        <f ca="1">AVERAGE(OFFSET($GY$3,0,0,'Données projet'!$E$18+1,1))-AVERAGE(OFFSET($H$3,0,0,'Données projet'!$E$18+1,1))</f>
        <v>#N/A</v>
      </c>
      <c r="HA4" s="60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4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2">
        <f t="shared" ref="D5:D68" si="32">IFERROR(EXP(-1.0587+0.8836*LN(C5)+0.284),0)</f>
        <v>0.49811037558348636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7.1952941176470588</v>
      </c>
      <c r="N5" s="14">
        <f>IF('Données projet'!$A$36&gt;35,N4+M5-V4,IF(A5&lt;'Données projet'!$A$36,$K$205^A5,IF(A5='Données projet'!$A$36,'Données projet'!$B$36,N4+M5-V4)))</f>
        <v>1.7603050623251528</v>
      </c>
      <c r="O5" s="14">
        <f>N5*VLOOKUP('Données projet'!$B$9,Paramètres!$A$1:$I$89,3,0)*VLOOKUP('Données projet'!$B$9,Paramètres!$A$1:$I$89,5,0)</f>
        <v>1.0526624272704415</v>
      </c>
      <c r="P5" s="14">
        <f t="shared" ref="P5:P68" si="33">EXP(-1.0587+0.8836*LN(O5)+0.284)</f>
        <v>0.48222168139326793</v>
      </c>
      <c r="Q5" s="22">
        <f t="shared" si="2"/>
        <v>2.6732564892559605</v>
      </c>
      <c r="R5" s="60">
        <f t="shared" si="0"/>
        <v>296.00658982258926</v>
      </c>
      <c r="S5" s="60">
        <f ca="1">AVERAGE(OFFSET($R$3,0,0,'Données projet'!$E$9+1,1))-AVERAGE(OFFSET($H$3,0,0,'Données projet'!$E$9+1,1))</f>
        <v>235.63766249714581</v>
      </c>
      <c r="T5" s="60">
        <f t="shared" ref="T5:T68" si="34">$T$3</f>
        <v>231.3297293785277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2.1</v>
      </c>
      <c r="AI5" s="14">
        <f>IF('Données projet'!$A$62&gt;35,AI4+AH5-AQ4,IF(A5&lt;'Données projet'!$A$62,$AF$205^A5,IF(A5='Données projet'!$A$62,'Données projet'!$B$62,AI4+AH5-AQ4)))</f>
        <v>1.4531984602822681</v>
      </c>
      <c r="AJ5" s="14">
        <f>AI5*VLOOKUP('Données projet'!$B$10,Paramètres!$A$1:$I$89,3,0)*VLOOKUP('Données projet'!$B$10,Paramètres!$A$1:$I$89,5,0)</f>
        <v>1.47354323872622</v>
      </c>
      <c r="AK5" s="14">
        <f t="shared" ref="AK5:AK68" si="35">EXP(-1.0587+0.8836*LN(AJ5)+0.284)</f>
        <v>0.64910881835703094</v>
      </c>
      <c r="AL5" s="22">
        <f t="shared" si="4"/>
        <v>3.6969523327533285</v>
      </c>
      <c r="AM5" s="60">
        <f t="shared" si="5"/>
        <v>297.03028566608663</v>
      </c>
      <c r="AN5" s="60">
        <f ca="1">AVERAGE(OFFSET($AM$3,0,0,'Données projet'!$E$10+1,1))-AVERAGE(OFFSET($H$3,0,0,'Données projet'!$E$10+1,1))</f>
        <v>350.3652766444938</v>
      </c>
      <c r="AO5" s="60">
        <f t="shared" ref="AO5:AO68" si="36">$AO$3</f>
        <v>197.04549436738586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6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2.1</v>
      </c>
      <c r="BD5" s="13">
        <f>IF('Données projet'!$A$88&gt;35,BD4+BC5-BL4,IF(A5&lt;'Données projet'!$A$88,$BA$205^A5,IF(A5='Données projet'!$A$88,'Données projet'!$B$88,BD4+BC5-BL4)))</f>
        <v>1.4531984602822681</v>
      </c>
      <c r="BE5" s="14">
        <f>BD5*VLOOKUP('Données projet'!$B$11,Paramètres!$A$1:$I$89,3,0)*VLOOKUP('Données projet'!$B$11,Paramètres!$A$1:$I$89,5,0)</f>
        <v>1.4055335507850097</v>
      </c>
      <c r="BF5" s="14">
        <f t="shared" ref="BF5:BF68" si="37">EXP(-1.0587+0.8836*LN(BE5)+0.284)</f>
        <v>0.62256480317525631</v>
      </c>
      <c r="BG5" s="22">
        <f t="shared" si="7"/>
        <v>3.5322712998141292</v>
      </c>
      <c r="BH5" s="60">
        <f t="shared" si="8"/>
        <v>296.86560463314743</v>
      </c>
      <c r="BI5" s="60">
        <f ca="1">AVERAGE(OFFSET($BH$3,0,0,'Données projet'!$E$11+1,1))-AVERAGE(OFFSET($H$3,0,0,'Données projet'!$E$11+1,1))</f>
        <v>330.39429528665841</v>
      </c>
      <c r="BJ5" s="60">
        <f t="shared" ref="BJ5:BJ68" si="38">$BJ$3</f>
        <v>186.45728006007261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3.3333333333333335</v>
      </c>
      <c r="BY5" s="13">
        <f>IF('Données projet'!$A$114&gt;35,BY4+BX5-CG4,IF(A5&lt;'Données projet'!$A$114,$BV$205^A5,IF(A5='Données projet'!$A$114,'Données projet'!$B$114,BY4+BX5-CG4)))</f>
        <v>1.6847262157876479</v>
      </c>
      <c r="BZ5" s="14">
        <f>BY5*VLOOKUP('Données projet'!$B$12,Paramètres!$A$1:$I$89,3,0)*VLOOKUP('Données projet'!$B$12,Paramètres!$A$1:$I$89,5,0)</f>
        <v>1.1301143455503542</v>
      </c>
      <c r="CA5" s="14">
        <f t="shared" ref="CA5:CA68" si="39">EXP(-1.0587+0.8836*LN(BZ5)+0.284)</f>
        <v>0.5134415452108555</v>
      </c>
      <c r="CB5" s="22">
        <f t="shared" si="10"/>
        <v>2.8625265097424397</v>
      </c>
      <c r="CC5" s="60">
        <f t="shared" si="11"/>
        <v>296.19585984307577</v>
      </c>
      <c r="CD5" s="60">
        <f ca="1">AVERAGE(OFFSET($CC$3,0,0,'Données projet'!$E$12+1,1))-AVERAGE(OFFSET($H$3,0,0,'Données projet'!$E$12+1,1))</f>
        <v>212.33913923444732</v>
      </c>
      <c r="CE5" s="60">
        <f t="shared" ref="CE5:CE68" si="40">$CE$3</f>
        <v>183.51194426094372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5.2</v>
      </c>
      <c r="CT5" s="13">
        <f>IF('Données projet'!$A$140&gt;35,CT4+CS5-DB4,IF(A5&lt;'Données projet'!$A$140,$CQ$205^A5,IF(A5='Données projet'!$A$140,'Données projet'!$B$140,CT4+CS5-DB4)))</f>
        <v>1.5911214624647509</v>
      </c>
      <c r="CU5" s="18">
        <f>CT5*VLOOKUP('Données projet'!$B$13,Paramètres!$A$1:$I$89,3,0)*VLOOKUP('Données projet'!$B$13,Paramètres!$A$1:$I$89,5,0)</f>
        <v>1.3900037096092066</v>
      </c>
      <c r="CV5" s="14">
        <f t="shared" ref="CV5:CV68" si="41">EXP(-1.0587+0.8836*LN(CU5)+0.284)</f>
        <v>0.61648280327257376</v>
      </c>
      <c r="CW5" s="22">
        <f t="shared" si="13"/>
        <v>3.494630676602434</v>
      </c>
      <c r="CX5" s="60">
        <f t="shared" si="14"/>
        <v>296.82796400993573</v>
      </c>
      <c r="CY5" s="60">
        <f ca="1">AVERAGE(OFFSET($CX$3,0,0,'Données projet'!$E$13+1,1))-AVERAGE(OFFSET($H$3,0,0,'Données projet'!$E$13+1,1))</f>
        <v>228.0393346366489</v>
      </c>
      <c r="CZ5" s="60">
        <f t="shared" ref="CZ5:CZ68" si="42">$CZ$3</f>
        <v>238.591781509447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2.1</v>
      </c>
      <c r="DO5" s="13">
        <f>IF('Données projet'!$A$166&gt;35,DO4+DN5-DW4,IF(A5&lt;'Données projet'!$A$166,$DL$205^A5,IF(A5='Données projet'!$A$166,'Données projet'!$B$166,DO4+DN5-DW4)))</f>
        <v>1.4531984602822681</v>
      </c>
      <c r="DP5" s="18">
        <f>DO5*VLOOKUP('Données projet'!$B$14,Paramètres!$A$1:$I$89,3,0)*VLOOKUP('Données projet'!$B$14,Paramètres!$A$1:$I$89,5,0)</f>
        <v>1.3148539668633961</v>
      </c>
      <c r="DQ5" s="14">
        <f t="shared" ref="DQ5:DQ68" si="43">EXP(-1.0587+0.8836*LN(DP5)+0.284)</f>
        <v>0.58693801963664449</v>
      </c>
      <c r="DR5" s="22">
        <f t="shared" si="16"/>
        <v>3.3122877098209038</v>
      </c>
      <c r="DS5" s="60">
        <f t="shared" si="17"/>
        <v>296.64562104315422</v>
      </c>
      <c r="DT5" s="60">
        <f ca="1">AVERAGE(OFFSET($DS$3,0,0,'Données projet'!$E$14+1,1))-AVERAGE(OFFSET($H$3,0,0,'Données projet'!$E$14+1,1))</f>
        <v>303.73499739059076</v>
      </c>
      <c r="DU5" s="60">
        <f t="shared" ref="DU5:DU68" si="44">$DU$3</f>
        <v>172.32171001882188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5.8890909090909096</v>
      </c>
      <c r="EJ5" s="13">
        <f>IF('Données projet'!$A$192&gt;35,EJ4+EI5-ER4,IF(A5&lt;'Données projet'!$A$192,$EG$205^A5,IF(A5='Données projet'!$A$192,'Données projet'!$B$192,EJ4+EI5-ER4)))</f>
        <v>1.5561190259606172</v>
      </c>
      <c r="EK5" s="18">
        <f>EJ5*VLOOKUP('Données projet'!$B$15,Paramètres!$A$1:$I$89,3,0)*VLOOKUP('Données projet'!$B$15,Paramètres!$A$1:$I$89,5,0)</f>
        <v>0.93055917752444917</v>
      </c>
      <c r="EL5" s="14">
        <f t="shared" ref="EL5:EL68" si="45">EXP(-1.0587+0.8836*LN(EK5)+0.284)</f>
        <v>0.43244836584356472</v>
      </c>
      <c r="EM5" s="22">
        <f t="shared" si="19"/>
        <v>2.3739048046992908</v>
      </c>
      <c r="EN5" s="60">
        <f t="shared" si="20"/>
        <v>295.70723813803261</v>
      </c>
      <c r="EO5" s="60">
        <f ca="1">AVERAGE(OFFSET($EN$3,0,0,'Données projet'!$E$15+1,1))-AVERAGE(OFFSET($H$3,0,0,'Données projet'!$E$15+1,1))</f>
        <v>269.94948820700841</v>
      </c>
      <c r="EP5" s="60">
        <f t="shared" ref="EP5:EP68" si="46">$EP$3</f>
        <v>183.45158355135192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3.78125</v>
      </c>
      <c r="FE5" s="13">
        <f>IF('Données projet'!$A$218&gt;35,FE4+FD5-FM4,IF(A5&lt;'Données projet'!$A$218,$FB$205^A5,IF(A5='Données projet'!$A$218,'Données projet'!$B$218,FE4+FD5-FM4)))</f>
        <v>1.3495037187195416</v>
      </c>
      <c r="FF5" s="18">
        <f>FE5*VLOOKUP('Données projet'!$B$16,Paramètres!$A$1:$I$89,3,0)*VLOOKUP('Données projet'!$B$16,Paramètres!$A$1:$I$89,5,0)</f>
        <v>0.80700322379428591</v>
      </c>
      <c r="FG5" s="14">
        <f t="shared" ref="FG5:FG68" si="47">EXP(-1.0587+0.8836*LN(FF5)+0.284)</f>
        <v>0.38130021760086502</v>
      </c>
      <c r="FH5" s="22">
        <f t="shared" si="22"/>
        <v>2.0696284937632212</v>
      </c>
      <c r="FI5" s="60">
        <f t="shared" si="23"/>
        <v>295.40296182709653</v>
      </c>
      <c r="FJ5" s="60">
        <f ca="1">AVERAGE(OFFSET($FI$3,0,0,'Données projet'!$E$16+1,1))-AVERAGE(OFFSET($H$3,0,0,'Données projet'!$E$16+1,1))</f>
        <v>111.24788725253484</v>
      </c>
      <c r="FK5" s="60">
        <f t="shared" ref="FK5:FK68" si="48">$FK$3</f>
        <v>82.434879813357327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projet'!$B$16,Paramètres!$A$1:$I$89,3,0)*0.475*44/12</f>
        <v>0</v>
      </c>
      <c r="FR5" s="23">
        <f>EXP(-LN(2)/25)*FR4+(1-EXP(-LN(2)/25))/(LN(2)/25)*Calculateur!FM5*Calculateur!FO5*VLOOKUP('Données projet'!$B$16,Paramètres!$A$1:$I$89,3,0)*0.475*44/12</f>
        <v>0</v>
      </c>
      <c r="FS5" s="23">
        <f>EXP(-LN(2)/2)*FS4+(1-EXP(-LN(2)/2))/(LN(2)/2)*FM5*FP5*VLOOKUP('Données projet'!$B$16,Paramètres!$A$1:$I$89,3,0)*0.475*44/12</f>
        <v>0</v>
      </c>
      <c r="FT5" s="24">
        <f t="shared" si="24"/>
        <v>0</v>
      </c>
      <c r="FU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4.3888888888888893</v>
      </c>
      <c r="FZ5" s="13">
        <f>IF('Données projet'!$A$244&gt;35,FZ4+FY5-GH4,IF(A5&lt;'Données projet'!$A$244,$FW$205^A5,IF(A5='Données projet'!$A$244,'Données projet'!$B$244,FZ4+FY5-GH4)))</f>
        <v>1.6249778839784477</v>
      </c>
      <c r="GA5" s="18">
        <f>FZ5*VLOOKUP('Données projet'!$B$17,Paramètres!$A$1:$I$89,3,0)*VLOOKUP('Données projet'!$B$17,Paramètres!$A$1:$I$89,5,0)</f>
        <v>0.71824022471847393</v>
      </c>
      <c r="GB5" s="14">
        <f t="shared" ref="GB5:GB68" si="49">EXP(-1.0587+0.8836*LN(GA5)+0.284)</f>
        <v>0.34399489135415873</v>
      </c>
      <c r="GC5" s="22">
        <f t="shared" si="25"/>
        <v>1.850059493826502</v>
      </c>
      <c r="GD5" s="60">
        <f t="shared" si="26"/>
        <v>295.18339282715982</v>
      </c>
      <c r="GE5" s="60">
        <f ca="1">AVERAGE(OFFSET($GD$3,0,0,'Données projet'!$E$17+1,1))-AVERAGE(OFFSET($H$3,0,0,'Données projet'!$E$17+1,1))</f>
        <v>323.56667371063662</v>
      </c>
      <c r="GF5" s="60">
        <f t="shared" ref="GF5:GF68" si="50">$GF$3</f>
        <v>275.70373467723385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>
        <f>EXP(-LN(2)/35)*GL4+(1-EXP(-LN(2)/35))/(LN(2)/35)*GH5*GI5*VLOOKUP('Données projet'!$B$17,Paramètres!$A$1:$I$89,3,0)*0.475*44/12</f>
        <v>0</v>
      </c>
      <c r="GM5" s="23">
        <f>EXP(-LN(2)/25)*GM4+(1-EXP(-LN(2)/25))/(LN(2)/25)*Calculateur!GH5*Calculateur!GJ5*VLOOKUP('Données projet'!$B$17,Paramètres!$A$1:$I$89,3,0)*0.475*44/12</f>
        <v>0</v>
      </c>
      <c r="GN5" s="23">
        <f>EXP(-LN(2)/2)*GN4+(1-EXP(-LN(2)/2))/(LN(2)/2)*GH5*GK5*VLOOKUP('Données projet'!$B$17,Paramètres!$A$1:$I$89,3,0)*0.475*44/12</f>
        <v>0</v>
      </c>
      <c r="GO5" s="23">
        <f t="shared" si="27"/>
        <v>0</v>
      </c>
      <c r="GP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0" t="e">
        <f t="shared" si="29"/>
        <v>#N/A</v>
      </c>
      <c r="GZ5" s="60" t="e">
        <f ca="1">AVERAGE(OFFSET($GY$3,0,0,'Données projet'!$E$18+1,1))-AVERAGE(OFFSET($H$3,0,0,'Données projet'!$E$18+1,1))</f>
        <v>#N/A</v>
      </c>
      <c r="HA5" s="60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4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2">
        <f t="shared" si="32"/>
        <v>0.71272144204532062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7.1952941176470588</v>
      </c>
      <c r="N6" s="14">
        <f>IF('Données projet'!$A$36&gt;35,N5+M6-V5,IF(A6&lt;'Données projet'!$A$36,$K$205^A6,IF(A6='Données projet'!$A$36,'Données projet'!$B$36,N5+M6-V5)))</f>
        <v>2.3355109450773996</v>
      </c>
      <c r="O6" s="14">
        <f>N6*VLOOKUP('Données projet'!$B$9,Paramètres!$A$1:$I$89,3,0)*VLOOKUP('Données projet'!$B$9,Paramètres!$A$1:$I$89,5,0)</f>
        <v>1.3966355451562853</v>
      </c>
      <c r="P6" s="14">
        <f t="shared" si="33"/>
        <v>0.61908101217040834</v>
      </c>
      <c r="Q6" s="22">
        <f t="shared" si="2"/>
        <v>3.5107063373439913</v>
      </c>
      <c r="R6" s="60">
        <f t="shared" si="0"/>
        <v>296.84403967067732</v>
      </c>
      <c r="S6" s="60">
        <f ca="1">AVERAGE(OFFSET($R$3,0,0,'Données projet'!$E$9+1,1))-AVERAGE(OFFSET($H$3,0,0,'Données projet'!$E$9+1,1))</f>
        <v>235.63766249714581</v>
      </c>
      <c r="T6" s="60">
        <f t="shared" si="34"/>
        <v>231.3297293785277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2.1</v>
      </c>
      <c r="AI6" s="14">
        <f>IF('Données projet'!$A$62&gt;35,AI5+AH6-AQ5,IF(A6&lt;'Données projet'!$A$62,$AF$205^A6,IF(A6='Données projet'!$A$62,'Données projet'!$B$62,AI5+AH6-AQ5)))</f>
        <v>1.7518115829322798</v>
      </c>
      <c r="AJ6" s="14">
        <f>AI6*VLOOKUP('Données projet'!$B$10,Paramètres!$A$1:$I$89,3,0)*VLOOKUP('Données projet'!$B$10,Paramètres!$A$1:$I$89,5,0)</f>
        <v>1.7763369450933317</v>
      </c>
      <c r="AK6" s="14">
        <f t="shared" si="35"/>
        <v>0.76565418883323866</v>
      </c>
      <c r="AL6" s="22">
        <f t="shared" si="4"/>
        <v>4.4273012249221102</v>
      </c>
      <c r="AM6" s="60">
        <f t="shared" si="5"/>
        <v>297.76063455825545</v>
      </c>
      <c r="AN6" s="60">
        <f ca="1">AVERAGE(OFFSET($AM$3,0,0,'Données projet'!$E$10+1,1))-AVERAGE(OFFSET($H$3,0,0,'Données projet'!$E$10+1,1))</f>
        <v>350.3652766444938</v>
      </c>
      <c r="AO6" s="60">
        <f t="shared" si="36"/>
        <v>197.04549436738586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6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2.1</v>
      </c>
      <c r="BD6" s="13">
        <f>IF('Données projet'!$A$88&gt;35,BD5+BC6-BL5,IF(A6&lt;'Données projet'!$A$88,$BA$205^A6,IF(A6='Données projet'!$A$88,'Données projet'!$B$88,BD5+BC6-BL5)))</f>
        <v>1.7518115829322798</v>
      </c>
      <c r="BE6" s="14">
        <f>BD6*VLOOKUP('Données projet'!$B$11,Paramètres!$A$1:$I$89,3,0)*VLOOKUP('Données projet'!$B$11,Paramètres!$A$1:$I$89,5,0)</f>
        <v>1.694352163012101</v>
      </c>
      <c r="BF6" s="14">
        <f t="shared" si="37"/>
        <v>0.73434428233124405</v>
      </c>
      <c r="BG6" s="22">
        <f t="shared" si="7"/>
        <v>4.2299796423063247</v>
      </c>
      <c r="BH6" s="60">
        <f t="shared" si="8"/>
        <v>297.56331297563963</v>
      </c>
      <c r="BI6" s="60">
        <f ca="1">AVERAGE(OFFSET($BH$3,0,0,'Données projet'!$E$11+1,1))-AVERAGE(OFFSET($H$3,0,0,'Données projet'!$E$11+1,1))</f>
        <v>330.39429528665841</v>
      </c>
      <c r="BJ6" s="60">
        <f t="shared" si="38"/>
        <v>186.45728006007261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3.3333333333333335</v>
      </c>
      <c r="BY6" s="13">
        <f>IF('Données projet'!$A$114&gt;35,BY5+BX6-CG5,IF(A6&lt;'Données projet'!$A$114,$BV$205^A6,IF(A6='Données projet'!$A$114,'Données projet'!$B$114,BY5+BX6-CG5)))</f>
        <v>2.1867241478865562</v>
      </c>
      <c r="BZ6" s="14">
        <f>BY6*VLOOKUP('Données projet'!$B$12,Paramètres!$A$1:$I$89,3,0)*VLOOKUP('Données projet'!$B$12,Paramètres!$A$1:$I$89,5,0)</f>
        <v>1.4668545584023018</v>
      </c>
      <c r="CA6" s="14">
        <f t="shared" si="39"/>
        <v>0.64650467023192038</v>
      </c>
      <c r="CB6" s="22">
        <f t="shared" si="10"/>
        <v>3.6807673232046039</v>
      </c>
      <c r="CC6" s="60">
        <f t="shared" si="11"/>
        <v>297.01410065653789</v>
      </c>
      <c r="CD6" s="60">
        <f ca="1">AVERAGE(OFFSET($CC$3,0,0,'Données projet'!$E$12+1,1))-AVERAGE(OFFSET($H$3,0,0,'Données projet'!$E$12+1,1))</f>
        <v>212.33913923444732</v>
      </c>
      <c r="CE6" s="60">
        <f t="shared" si="40"/>
        <v>183.51194426094372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5.2</v>
      </c>
      <c r="CT6" s="13">
        <f>IF('Données projet'!$A$140&gt;35,CT5+CS6-DB5,IF(A6&lt;'Données projet'!$A$140,$CQ$205^A6,IF(A6='Données projet'!$A$140,'Données projet'!$B$140,CT5+CS6-DB5)))</f>
        <v>2.0070352533790219</v>
      </c>
      <c r="CU6" s="18">
        <f>CT6*VLOOKUP('Données projet'!$B$13,Paramètres!$A$1:$I$89,3,0)*VLOOKUP('Données projet'!$B$13,Paramètres!$A$1:$I$89,5,0)</f>
        <v>1.7533459973519137</v>
      </c>
      <c r="CV6" s="14">
        <f t="shared" si="41"/>
        <v>0.75689127579405635</v>
      </c>
      <c r="CW6" s="22">
        <f t="shared" si="13"/>
        <v>4.3719965840625639</v>
      </c>
      <c r="CX6" s="60">
        <f t="shared" si="14"/>
        <v>297.70532991739589</v>
      </c>
      <c r="CY6" s="60">
        <f ca="1">AVERAGE(OFFSET($CX$3,0,0,'Données projet'!$E$13+1,1))-AVERAGE(OFFSET($H$3,0,0,'Données projet'!$E$13+1,1))</f>
        <v>228.0393346366489</v>
      </c>
      <c r="CZ6" s="60">
        <f t="shared" si="42"/>
        <v>238.591781509447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2.1</v>
      </c>
      <c r="DO6" s="13">
        <f>IF('Données projet'!$A$166&gt;35,DO5+DN6-DW5,IF(A6&lt;'Données projet'!$A$166,$DL$205^A6,IF(A6='Données projet'!$A$166,'Données projet'!$B$166,DO5+DN6-DW5)))</f>
        <v>1.7518115829322798</v>
      </c>
      <c r="DP6" s="18">
        <f>DO6*VLOOKUP('Données projet'!$B$14,Paramètres!$A$1:$I$89,3,0)*VLOOKUP('Données projet'!$B$14,Paramètres!$A$1:$I$89,5,0)</f>
        <v>1.5850391202371266</v>
      </c>
      <c r="DQ6" s="14">
        <f t="shared" si="43"/>
        <v>0.69232082604846479</v>
      </c>
      <c r="DR6" s="22">
        <f t="shared" si="16"/>
        <v>3.966401906447405</v>
      </c>
      <c r="DS6" s="60">
        <f t="shared" si="17"/>
        <v>297.29973523978072</v>
      </c>
      <c r="DT6" s="60">
        <f ca="1">AVERAGE(OFFSET($DS$3,0,0,'Données projet'!$E$14+1,1))-AVERAGE(OFFSET($H$3,0,0,'Données projet'!$E$14+1,1))</f>
        <v>303.73499739059076</v>
      </c>
      <c r="DU6" s="60">
        <f t="shared" si="44"/>
        <v>172.32171001882188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5.8890909090909096</v>
      </c>
      <c r="EJ6" s="13">
        <f>IF('Données projet'!$A$192&gt;35,EJ5+EI6-ER5,IF(A6&lt;'Données projet'!$A$192,$EG$205^A6,IF(A6='Données projet'!$A$192,'Données projet'!$B$192,EJ5+EI6-ER5)))</f>
        <v>1.9411728970518403</v>
      </c>
      <c r="EK6" s="18">
        <f>EJ6*VLOOKUP('Données projet'!$B$15,Paramètres!$A$1:$I$89,3,0)*VLOOKUP('Données projet'!$B$15,Paramètres!$A$1:$I$89,5,0)</f>
        <v>1.1608213924370006</v>
      </c>
      <c r="EL6" s="14">
        <f t="shared" si="45"/>
        <v>0.52574938695127893</v>
      </c>
      <c r="EM6" s="22">
        <f t="shared" si="19"/>
        <v>2.9374441074345867</v>
      </c>
      <c r="EN6" s="60">
        <f t="shared" si="20"/>
        <v>296.27077744076792</v>
      </c>
      <c r="EO6" s="60">
        <f ca="1">AVERAGE(OFFSET($EN$3,0,0,'Données projet'!$E$15+1,1))-AVERAGE(OFFSET($H$3,0,0,'Données projet'!$E$15+1,1))</f>
        <v>269.94948820700841</v>
      </c>
      <c r="EP6" s="60">
        <f t="shared" si="46"/>
        <v>183.45158355135192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3.78125</v>
      </c>
      <c r="FE6" s="13">
        <f>IF('Données projet'!$A$218&gt;35,FE5+FD6-FM5,IF(A6&lt;'Données projet'!$A$218,$FB$205^A6,IF(A6='Données projet'!$A$218,'Données projet'!$B$218,FE5+FD6-FM5)))</f>
        <v>1.5676933945998672</v>
      </c>
      <c r="FF6" s="18">
        <f>FE6*VLOOKUP('Données projet'!$B$16,Paramètres!$A$1:$I$89,3,0)*VLOOKUP('Données projet'!$B$16,Paramètres!$A$1:$I$89,5,0)</f>
        <v>0.93748064997072067</v>
      </c>
      <c r="FG6" s="14">
        <f t="shared" si="47"/>
        <v>0.4352892723495268</v>
      </c>
      <c r="FH6" s="22">
        <f t="shared" si="22"/>
        <v>2.3909076147077641</v>
      </c>
      <c r="FI6" s="60">
        <f t="shared" si="23"/>
        <v>295.72424094804109</v>
      </c>
      <c r="FJ6" s="60">
        <f ca="1">AVERAGE(OFFSET($FI$3,0,0,'Données projet'!$E$16+1,1))-AVERAGE(OFFSET($H$3,0,0,'Données projet'!$E$16+1,1))</f>
        <v>111.24788725253484</v>
      </c>
      <c r="FK6" s="60">
        <f t="shared" si="48"/>
        <v>82.434879813357327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projet'!$B$16,Paramètres!$A$1:$I$89,3,0)*0.475*44/12</f>
        <v>0</v>
      </c>
      <c r="FR6" s="23">
        <f>EXP(-LN(2)/25)*FR5+(1-EXP(-LN(2)/25))/(LN(2)/25)*Calculateur!FM6*Calculateur!FO6*VLOOKUP('Données projet'!$B$16,Paramètres!$A$1:$I$89,3,0)*0.475*44/12</f>
        <v>0</v>
      </c>
      <c r="FS6" s="23">
        <f>EXP(-LN(2)/2)*FS5+(1-EXP(-LN(2)/2))/(LN(2)/2)*FM6*FP6*VLOOKUP('Données projet'!$B$16,Paramètres!$A$1:$I$89,3,0)*0.475*44/12</f>
        <v>0</v>
      </c>
      <c r="FT6" s="24">
        <f t="shared" si="24"/>
        <v>0</v>
      </c>
      <c r="FU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4.3888888888888893</v>
      </c>
      <c r="FZ6" s="13">
        <f>IF('Données projet'!$A$244&gt;35,FZ5+FY6-GH5,IF(A6&lt;'Données projet'!$A$244,$FW$205^A6,IF(A6='Données projet'!$A$244,'Données projet'!$B$244,FZ5+FY6-GH5)))</f>
        <v>2.0714343887814084</v>
      </c>
      <c r="GA6" s="18">
        <f>FZ6*VLOOKUP('Données projet'!$B$17,Paramètres!$A$1:$I$89,3,0)*VLOOKUP('Données projet'!$B$17,Paramètres!$A$1:$I$89,5,0)</f>
        <v>0.91557399984138255</v>
      </c>
      <c r="GB6" s="14">
        <f t="shared" si="49"/>
        <v>0.42628926714286114</v>
      </c>
      <c r="GC6" s="22">
        <f t="shared" si="25"/>
        <v>2.3370785233308911</v>
      </c>
      <c r="GD6" s="60">
        <f t="shared" si="26"/>
        <v>295.6704118566642</v>
      </c>
      <c r="GE6" s="60">
        <f ca="1">AVERAGE(OFFSET($GD$3,0,0,'Données projet'!$E$17+1,1))-AVERAGE(OFFSET($H$3,0,0,'Données projet'!$E$17+1,1))</f>
        <v>323.56667371063662</v>
      </c>
      <c r="GF6" s="60">
        <f t="shared" si="50"/>
        <v>275.70373467723385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>
        <f>EXP(-LN(2)/35)*GL5+(1-EXP(-LN(2)/35))/(LN(2)/35)*GH6*GI6*VLOOKUP('Données projet'!$B$17,Paramètres!$A$1:$I$89,3,0)*0.475*44/12</f>
        <v>0</v>
      </c>
      <c r="GM6" s="23">
        <f>EXP(-LN(2)/25)*GM5+(1-EXP(-LN(2)/25))/(LN(2)/25)*Calculateur!GH6*Calculateur!GJ6*VLOOKUP('Données projet'!$B$17,Paramètres!$A$1:$I$89,3,0)*0.475*44/12</f>
        <v>0</v>
      </c>
      <c r="GN6" s="23">
        <f>EXP(-LN(2)/2)*GN5+(1-EXP(-LN(2)/2))/(LN(2)/2)*GH6*GK6*VLOOKUP('Données projet'!$B$17,Paramètres!$A$1:$I$89,3,0)*0.475*44/12</f>
        <v>0</v>
      </c>
      <c r="GO6" s="23">
        <f t="shared" si="27"/>
        <v>0</v>
      </c>
      <c r="GP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0" t="e">
        <f t="shared" si="29"/>
        <v>#N/A</v>
      </c>
      <c r="GZ6" s="60" t="e">
        <f ca="1">AVERAGE(OFFSET($GY$3,0,0,'Données projet'!$E$18+1,1))-AVERAGE(OFFSET($H$3,0,0,'Données projet'!$E$18+1,1))</f>
        <v>#N/A</v>
      </c>
      <c r="HA6" s="60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4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2">
        <f t="shared" si="32"/>
        <v>0.91900038282935004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7.1952941176470588</v>
      </c>
      <c r="N7" s="14">
        <f>IF('Données projet'!$A$36&gt;35,N6+M7-V6,IF(A7&lt;'Données projet'!$A$36,$K$205^A7,IF(A7='Données projet'!$A$36,'Données projet'!$B$36,N6+M7-V6)))</f>
        <v>3.09867391244756</v>
      </c>
      <c r="O7" s="14">
        <f>N7*VLOOKUP('Données projet'!$B$9,Paramètres!$A$1:$I$89,3,0)*VLOOKUP('Données projet'!$B$9,Paramètres!$A$1:$I$89,5,0)</f>
        <v>1.8530069996436409</v>
      </c>
      <c r="P7" s="14">
        <f t="shared" si="33"/>
        <v>0.79478238830446668</v>
      </c>
      <c r="Q7" s="22">
        <f t="shared" si="2"/>
        <v>4.6115665173429541</v>
      </c>
      <c r="R7" s="60">
        <f t="shared" si="0"/>
        <v>297.94489985067628</v>
      </c>
      <c r="S7" s="60">
        <f ca="1">AVERAGE(OFFSET($R$3,0,0,'Données projet'!$E$9+1,1))-AVERAGE(OFFSET($H$3,0,0,'Données projet'!$E$9+1,1))</f>
        <v>235.63766249714581</v>
      </c>
      <c r="T7" s="60">
        <f t="shared" si="34"/>
        <v>231.3297293785277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2.1</v>
      </c>
      <c r="AI7" s="14">
        <f>IF('Données projet'!$A$62&gt;35,AI6+AH7-AQ6,IF(A7&lt;'Données projet'!$A$62,$AF$205^A7,IF(A7='Données projet'!$A$62,'Données projet'!$B$62,AI6+AH7-AQ6)))</f>
        <v>2.1117857649667546</v>
      </c>
      <c r="AJ7" s="14">
        <f>AI7*VLOOKUP('Données projet'!$B$10,Paramètres!$A$1:$I$89,3,0)*VLOOKUP('Données projet'!$B$10,Paramètres!$A$1:$I$89,5,0)</f>
        <v>2.1413507656762891</v>
      </c>
      <c r="AK7" s="14">
        <f t="shared" si="35"/>
        <v>0.9031249003236328</v>
      </c>
      <c r="AL7" s="22">
        <f t="shared" si="4"/>
        <v>5.3024617849498643</v>
      </c>
      <c r="AM7" s="60">
        <f t="shared" si="5"/>
        <v>298.63579511828317</v>
      </c>
      <c r="AN7" s="60">
        <f ca="1">AVERAGE(OFFSET($AM$3,0,0,'Données projet'!$E$10+1,1))-AVERAGE(OFFSET($H$3,0,0,'Données projet'!$E$10+1,1))</f>
        <v>350.3652766444938</v>
      </c>
      <c r="AO7" s="60">
        <f t="shared" si="36"/>
        <v>197.04549436738586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6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2.1</v>
      </c>
      <c r="BD7" s="13">
        <f>IF('Données projet'!$A$88&gt;35,BD6+BC7-BL6,IF(A7&lt;'Données projet'!$A$88,$BA$205^A7,IF(A7='Données projet'!$A$88,'Données projet'!$B$88,BD6+BC7-BL6)))</f>
        <v>2.1117857649667546</v>
      </c>
      <c r="BE7" s="14">
        <f>BD7*VLOOKUP('Données projet'!$B$11,Paramètres!$A$1:$I$89,3,0)*VLOOKUP('Données projet'!$B$11,Paramètres!$A$1:$I$89,5,0)</f>
        <v>2.042519191875845</v>
      </c>
      <c r="BF7" s="14">
        <f t="shared" si="37"/>
        <v>0.86619340226463792</v>
      </c>
      <c r="BG7" s="22">
        <f t="shared" si="7"/>
        <v>5.0660077681280073</v>
      </c>
      <c r="BH7" s="60">
        <f t="shared" si="8"/>
        <v>298.39934110146135</v>
      </c>
      <c r="BI7" s="60">
        <f ca="1">AVERAGE(OFFSET($BH$3,0,0,'Données projet'!$E$11+1,1))-AVERAGE(OFFSET($H$3,0,0,'Données projet'!$E$11+1,1))</f>
        <v>330.39429528665841</v>
      </c>
      <c r="BJ7" s="60">
        <f t="shared" si="38"/>
        <v>186.45728006007261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3.3333333333333335</v>
      </c>
      <c r="BY7" s="13">
        <f>IF('Données projet'!$A$114&gt;35,BY6+BX7-CG6,IF(A7&lt;'Données projet'!$A$114,$BV$205^A7,IF(A7='Données projet'!$A$114,'Données projet'!$B$114,BY6+BX7-CG6)))</f>
        <v>2.8383024221621684</v>
      </c>
      <c r="BZ7" s="14">
        <f>BY7*VLOOKUP('Données projet'!$B$12,Paramètres!$A$1:$I$89,3,0)*VLOOKUP('Données projet'!$B$12,Paramètres!$A$1:$I$89,5,0)</f>
        <v>1.9039332647863827</v>
      </c>
      <c r="CA7" s="14">
        <f t="shared" si="39"/>
        <v>0.81405233474053373</v>
      </c>
      <c r="CB7" s="22">
        <f t="shared" si="10"/>
        <v>4.7338249191760466</v>
      </c>
      <c r="CC7" s="60">
        <f t="shared" si="11"/>
        <v>298.06715825250939</v>
      </c>
      <c r="CD7" s="60">
        <f ca="1">AVERAGE(OFFSET($CC$3,0,0,'Données projet'!$E$12+1,1))-AVERAGE(OFFSET($H$3,0,0,'Données projet'!$E$12+1,1))</f>
        <v>212.33913923444732</v>
      </c>
      <c r="CE7" s="60">
        <f t="shared" si="40"/>
        <v>183.51194426094372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5.2</v>
      </c>
      <c r="CT7" s="13">
        <f>IF('Données projet'!$A$140&gt;35,CT6+CS7-DB6,IF(A7&lt;'Données projet'!$A$140,$CQ$205^A7,IF(A7='Données projet'!$A$140,'Données projet'!$B$140,CT6+CS7-DB6)))</f>
        <v>2.5316675083159677</v>
      </c>
      <c r="CU7" s="18">
        <f>CT7*VLOOKUP('Données projet'!$B$13,Paramètres!$A$1:$I$89,3,0)*VLOOKUP('Données projet'!$B$13,Paramètres!$A$1:$I$89,5,0)</f>
        <v>2.2116647352648298</v>
      </c>
      <c r="CV7" s="14">
        <f t="shared" si="41"/>
        <v>0.92927880604620439</v>
      </c>
      <c r="CW7" s="22">
        <f t="shared" si="13"/>
        <v>5.4704766677833838</v>
      </c>
      <c r="CX7" s="60">
        <f t="shared" si="14"/>
        <v>298.80381000111669</v>
      </c>
      <c r="CY7" s="60">
        <f ca="1">AVERAGE(OFFSET($CX$3,0,0,'Données projet'!$E$13+1,1))-AVERAGE(OFFSET($H$3,0,0,'Données projet'!$E$13+1,1))</f>
        <v>228.0393346366489</v>
      </c>
      <c r="CZ7" s="60">
        <f t="shared" si="42"/>
        <v>238.591781509447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2.1</v>
      </c>
      <c r="DO7" s="13">
        <f>IF('Données projet'!$A$166&gt;35,DO6+DN7-DW6,IF(A7&lt;'Données projet'!$A$166,$DL$205^A7,IF(A7='Données projet'!$A$166,'Données projet'!$B$166,DO6+DN7-DW6)))</f>
        <v>2.1117857649667546</v>
      </c>
      <c r="DP7" s="18">
        <f>DO7*VLOOKUP('Données projet'!$B$14,Paramètres!$A$1:$I$89,3,0)*VLOOKUP('Données projet'!$B$14,Paramètres!$A$1:$I$89,5,0)</f>
        <v>1.9107437601419195</v>
      </c>
      <c r="DQ7" s="14">
        <f t="shared" si="43"/>
        <v>0.81662477151702284</v>
      </c>
      <c r="DR7" s="22">
        <f t="shared" si="16"/>
        <v>4.7501668593059909</v>
      </c>
      <c r="DS7" s="60">
        <f t="shared" si="17"/>
        <v>298.08350019263929</v>
      </c>
      <c r="DT7" s="60">
        <f ca="1">AVERAGE(OFFSET($DS$3,0,0,'Données projet'!$E$14+1,1))-AVERAGE(OFFSET($H$3,0,0,'Données projet'!$E$14+1,1))</f>
        <v>303.73499739059076</v>
      </c>
      <c r="DU7" s="60">
        <f t="shared" si="44"/>
        <v>172.32171001882188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5.8890909090909096</v>
      </c>
      <c r="EJ7" s="13">
        <f>IF('Données projet'!$A$192&gt;35,EJ6+EI7-ER6,IF(A7&lt;'Données projet'!$A$192,$EG$205^A7,IF(A7='Données projet'!$A$192,'Données projet'!$B$192,EJ6+EI7-ER6)))</f>
        <v>2.4215064229566203</v>
      </c>
      <c r="EK7" s="18">
        <f>EJ7*VLOOKUP('Données projet'!$B$15,Paramètres!$A$1:$I$89,3,0)*VLOOKUP('Données projet'!$B$15,Paramètres!$A$1:$I$89,5,0)</f>
        <v>1.4480608409280591</v>
      </c>
      <c r="EL7" s="14">
        <f t="shared" si="45"/>
        <v>0.63918016510585218</v>
      </c>
      <c r="EM7" s="22">
        <f t="shared" si="19"/>
        <v>3.6352780855090621</v>
      </c>
      <c r="EN7" s="60">
        <f t="shared" si="20"/>
        <v>296.96861141884239</v>
      </c>
      <c r="EO7" s="60">
        <f ca="1">AVERAGE(OFFSET($EN$3,0,0,'Données projet'!$E$15+1,1))-AVERAGE(OFFSET($H$3,0,0,'Données projet'!$E$15+1,1))</f>
        <v>269.94948820700841</v>
      </c>
      <c r="EP7" s="60">
        <f t="shared" si="46"/>
        <v>183.45158355135192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3.78125</v>
      </c>
      <c r="FE7" s="13">
        <f>IF('Données projet'!$A$218&gt;35,FE6+FD7-FM6,IF(A7&lt;'Données projet'!$A$218,$FB$205^A7,IF(A7='Données projet'!$A$218,'Données projet'!$B$218,FE6+FD7-FM6)))</f>
        <v>1.8211602868378716</v>
      </c>
      <c r="FF7" s="18">
        <f>FE7*VLOOKUP('Données projet'!$B$16,Paramètres!$A$1:$I$89,3,0)*VLOOKUP('Données projet'!$B$16,Paramètres!$A$1:$I$89,5,0)</f>
        <v>1.0890538515290473</v>
      </c>
      <c r="FG7" s="14">
        <f t="shared" si="47"/>
        <v>0.49692274453648416</v>
      </c>
      <c r="FH7" s="22">
        <f t="shared" si="22"/>
        <v>2.7622425714808005</v>
      </c>
      <c r="FI7" s="60">
        <f t="shared" si="23"/>
        <v>296.0955759048141</v>
      </c>
      <c r="FJ7" s="60">
        <f ca="1">AVERAGE(OFFSET($FI$3,0,0,'Données projet'!$E$16+1,1))-AVERAGE(OFFSET($H$3,0,0,'Données projet'!$E$16+1,1))</f>
        <v>111.24788725253484</v>
      </c>
      <c r="FK7" s="60">
        <f t="shared" si="48"/>
        <v>82.434879813357327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projet'!$B$16,Paramètres!$A$1:$I$89,3,0)*0.475*44/12</f>
        <v>0</v>
      </c>
      <c r="FR7" s="23">
        <f>EXP(-LN(2)/25)*FR6+(1-EXP(-LN(2)/25))/(LN(2)/25)*Calculateur!FM7*Calculateur!FO7*VLOOKUP('Données projet'!$B$16,Paramètres!$A$1:$I$89,3,0)*0.475*44/12</f>
        <v>0</v>
      </c>
      <c r="FS7" s="23">
        <f>EXP(-LN(2)/2)*FS6+(1-EXP(-LN(2)/2))/(LN(2)/2)*FM7*FP7*VLOOKUP('Données projet'!$B$16,Paramètres!$A$1:$I$89,3,0)*0.475*44/12</f>
        <v>0</v>
      </c>
      <c r="FT7" s="24">
        <f t="shared" si="24"/>
        <v>0</v>
      </c>
      <c r="FU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4.3888888888888893</v>
      </c>
      <c r="FZ7" s="13">
        <f>IF('Données projet'!$A$244&gt;35,FZ6+FY7-GH6,IF(A7&lt;'Données projet'!$A$244,$FW$205^A7,IF(A7='Données projet'!$A$244,'Données projet'!$B$244,FZ6+FY7-GH6)))</f>
        <v>2.6405531234190733</v>
      </c>
      <c r="GA7" s="18">
        <f>FZ7*VLOOKUP('Données projet'!$B$17,Paramètres!$A$1:$I$89,3,0)*VLOOKUP('Données projet'!$B$17,Paramètres!$A$1:$I$89,5,0)</f>
        <v>1.1671244805512304</v>
      </c>
      <c r="GB7" s="14">
        <f t="shared" si="49"/>
        <v>0.52827104078736387</v>
      </c>
      <c r="GC7" s="22">
        <f t="shared" si="25"/>
        <v>2.9528138663313848</v>
      </c>
      <c r="GD7" s="60">
        <f t="shared" si="26"/>
        <v>296.2861471996647</v>
      </c>
      <c r="GE7" s="60">
        <f ca="1">AVERAGE(OFFSET($GD$3,0,0,'Données projet'!$E$17+1,1))-AVERAGE(OFFSET($H$3,0,0,'Données projet'!$E$17+1,1))</f>
        <v>323.56667371063662</v>
      </c>
      <c r="GF7" s="60">
        <f t="shared" si="50"/>
        <v>275.70373467723385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>
        <f>EXP(-LN(2)/35)*GL6+(1-EXP(-LN(2)/35))/(LN(2)/35)*GH7*GI7*VLOOKUP('Données projet'!$B$17,Paramètres!$A$1:$I$89,3,0)*0.475*44/12</f>
        <v>0</v>
      </c>
      <c r="GM7" s="23">
        <f>EXP(-LN(2)/25)*GM6+(1-EXP(-LN(2)/25))/(LN(2)/25)*Calculateur!GH7*Calculateur!GJ7*VLOOKUP('Données projet'!$B$17,Paramètres!$A$1:$I$89,3,0)*0.475*44/12</f>
        <v>0</v>
      </c>
      <c r="GN7" s="23">
        <f>EXP(-LN(2)/2)*GN6+(1-EXP(-LN(2)/2))/(LN(2)/2)*GH7*GK7*VLOOKUP('Données projet'!$B$17,Paramètres!$A$1:$I$89,3,0)*0.475*44/12</f>
        <v>0</v>
      </c>
      <c r="GO7" s="23">
        <f t="shared" si="27"/>
        <v>0</v>
      </c>
      <c r="GP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0" t="e">
        <f t="shared" si="29"/>
        <v>#N/A</v>
      </c>
      <c r="GZ7" s="60" t="e">
        <f ca="1">AVERAGE(OFFSET($GY$3,0,0,'Données projet'!$E$18+1,1))-AVERAGE(OFFSET($H$3,0,0,'Données projet'!$E$18+1,1))</f>
        <v>#N/A</v>
      </c>
      <c r="HA7" s="60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4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2">
        <f t="shared" si="32"/>
        <v>1.1192971032254277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7.1952941176470588</v>
      </c>
      <c r="N8" s="14">
        <f>IF('Données projet'!$A$36&gt;35,N7+M8-V7,IF(A8&lt;'Données projet'!$A$36,$K$205^A8,IF(A8='Données projet'!$A$36,'Données projet'!$B$36,N7+M8-V7)))</f>
        <v>4.1112117397355483</v>
      </c>
      <c r="O8" s="14">
        <f>N8*VLOOKUP('Données projet'!$B$9,Paramètres!$A$1:$I$89,3,0)*VLOOKUP('Données projet'!$B$9,Paramètres!$A$1:$I$89,5,0)</f>
        <v>2.4585046203618579</v>
      </c>
      <c r="P8" s="14">
        <f t="shared" si="33"/>
        <v>1.0203495703161323</v>
      </c>
      <c r="Q8" s="22">
        <f t="shared" si="2"/>
        <v>6.0590043820974993</v>
      </c>
      <c r="R8" s="60">
        <f t="shared" si="0"/>
        <v>299.39233771543081</v>
      </c>
      <c r="S8" s="60">
        <f ca="1">AVERAGE(OFFSET($R$3,0,0,'Données projet'!$E$9+1,1))-AVERAGE(OFFSET($H$3,0,0,'Données projet'!$E$9+1,1))</f>
        <v>235.63766249714581</v>
      </c>
      <c r="T8" s="60">
        <f t="shared" si="34"/>
        <v>231.3297293785277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2.1</v>
      </c>
      <c r="AI8" s="14">
        <f>IF('Données projet'!$A$62&gt;35,AI7+AH8-AQ7,IF(A8&lt;'Données projet'!$A$62,$AF$205^A8,IF(A8='Données projet'!$A$62,'Données projet'!$B$62,AI7+AH8-AQ7)))</f>
        <v>2.5457298950218314</v>
      </c>
      <c r="AJ8" s="14">
        <f>AI8*VLOOKUP('Données projet'!$B$10,Paramètres!$A$1:$I$89,3,0)*VLOOKUP('Données projet'!$B$10,Paramètres!$A$1:$I$89,5,0)</f>
        <v>2.5813701135521372</v>
      </c>
      <c r="AK8" s="14">
        <f t="shared" si="35"/>
        <v>1.0652780295337991</v>
      </c>
      <c r="AL8" s="22">
        <f t="shared" si="4"/>
        <v>6.3512455158746723</v>
      </c>
      <c r="AM8" s="60">
        <f t="shared" si="5"/>
        <v>299.68457884920798</v>
      </c>
      <c r="AN8" s="60">
        <f ca="1">AVERAGE(OFFSET($AM$3,0,0,'Données projet'!$E$10+1,1))-AVERAGE(OFFSET($H$3,0,0,'Données projet'!$E$10+1,1))</f>
        <v>350.3652766444938</v>
      </c>
      <c r="AO8" s="60">
        <f t="shared" si="36"/>
        <v>197.04549436738586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6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2.1</v>
      </c>
      <c r="BD8" s="13">
        <f>IF('Données projet'!$A$88&gt;35,BD7+BC8-BL7,IF(A8&lt;'Données projet'!$A$88,$BA$205^A8,IF(A8='Données projet'!$A$88,'Données projet'!$B$88,BD7+BC8-BL7)))</f>
        <v>2.5457298950218314</v>
      </c>
      <c r="BE8" s="14">
        <f>BD8*VLOOKUP('Données projet'!$B$11,Paramètres!$A$1:$I$89,3,0)*VLOOKUP('Données projet'!$B$11,Paramètres!$A$1:$I$89,5,0)</f>
        <v>2.4622299544651152</v>
      </c>
      <c r="BF8" s="14">
        <f t="shared" si="37"/>
        <v>1.021715601495419</v>
      </c>
      <c r="BG8" s="22">
        <f t="shared" si="7"/>
        <v>6.0678718432979295</v>
      </c>
      <c r="BH8" s="60">
        <f t="shared" si="8"/>
        <v>299.40120517663127</v>
      </c>
      <c r="BI8" s="60">
        <f ca="1">AVERAGE(OFFSET($BH$3,0,0,'Données projet'!$E$11+1,1))-AVERAGE(OFFSET($H$3,0,0,'Données projet'!$E$11+1,1))</f>
        <v>330.39429528665841</v>
      </c>
      <c r="BJ8" s="60">
        <f t="shared" si="38"/>
        <v>186.45728006007261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3.3333333333333335</v>
      </c>
      <c r="BY8" s="13">
        <f>IF('Données projet'!$A$114&gt;35,BY7+BX8-CG7,IF(A8&lt;'Données projet'!$A$114,$BV$205^A8,IF(A8='Données projet'!$A$114,'Données projet'!$B$114,BY7+BX8-CG7)))</f>
        <v>3.6840314986403868</v>
      </c>
      <c r="BZ8" s="14">
        <f>BY8*VLOOKUP('Données projet'!$B$12,Paramètres!$A$1:$I$89,3,0)*VLOOKUP('Données projet'!$B$12,Paramètres!$A$1:$I$89,5,0)</f>
        <v>2.4712483292879717</v>
      </c>
      <c r="CA8" s="14">
        <f t="shared" si="39"/>
        <v>1.0250215260762008</v>
      </c>
      <c r="CB8" s="22">
        <f t="shared" si="10"/>
        <v>6.0893366647592657</v>
      </c>
      <c r="CC8" s="60">
        <f t="shared" si="11"/>
        <v>299.4226699980926</v>
      </c>
      <c r="CD8" s="60">
        <f ca="1">AVERAGE(OFFSET($CC$3,0,0,'Données projet'!$E$12+1,1))-AVERAGE(OFFSET($H$3,0,0,'Données projet'!$E$12+1,1))</f>
        <v>212.33913923444732</v>
      </c>
      <c r="CE8" s="60">
        <f t="shared" si="40"/>
        <v>183.51194426094372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5.2</v>
      </c>
      <c r="CT8" s="13">
        <f>IF('Données projet'!$A$140&gt;35,CT7+CS8-DB7,IF(A8&lt;'Données projet'!$A$140,$CQ$205^A8,IF(A8='Données projet'!$A$140,'Données projet'!$B$140,CT7+CS8-DB7)))</f>
        <v>3.1934368675747411</v>
      </c>
      <c r="CU8" s="18">
        <f>CT8*VLOOKUP('Données projet'!$B$13,Paramètres!$A$1:$I$89,3,0)*VLOOKUP('Données projet'!$B$13,Paramètres!$A$1:$I$89,5,0)</f>
        <v>2.7897864475132943</v>
      </c>
      <c r="CV8" s="14">
        <f t="shared" si="41"/>
        <v>1.1409288585876447</v>
      </c>
      <c r="CW8" s="22">
        <f t="shared" si="13"/>
        <v>6.8459958247924684</v>
      </c>
      <c r="CX8" s="60">
        <f t="shared" si="14"/>
        <v>300.17932915812577</v>
      </c>
      <c r="CY8" s="60">
        <f ca="1">AVERAGE(OFFSET($CX$3,0,0,'Données projet'!$E$13+1,1))-AVERAGE(OFFSET($H$3,0,0,'Données projet'!$E$13+1,1))</f>
        <v>228.0393346366489</v>
      </c>
      <c r="CZ8" s="60">
        <f t="shared" si="42"/>
        <v>238.591781509447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2.1</v>
      </c>
      <c r="DO8" s="13">
        <f>IF('Données projet'!$A$166&gt;35,DO7+DN8-DW7,IF(A8&lt;'Données projet'!$A$166,$DL$205^A8,IF(A8='Données projet'!$A$166,'Données projet'!$B$166,DO7+DN8-DW7)))</f>
        <v>2.5457298950218314</v>
      </c>
      <c r="DP8" s="18">
        <f>DO8*VLOOKUP('Données projet'!$B$14,Paramètres!$A$1:$I$89,3,0)*VLOOKUP('Données projet'!$B$14,Paramètres!$A$1:$I$89,5,0)</f>
        <v>2.3033764090157529</v>
      </c>
      <c r="DQ8" s="14">
        <f t="shared" si="43"/>
        <v>0.96324708482559218</v>
      </c>
      <c r="DR8" s="22">
        <f t="shared" si="16"/>
        <v>5.6893692517736758</v>
      </c>
      <c r="DS8" s="60">
        <f t="shared" si="17"/>
        <v>299.02270258510697</v>
      </c>
      <c r="DT8" s="60">
        <f ca="1">AVERAGE(OFFSET($DS$3,0,0,'Données projet'!$E$14+1,1))-AVERAGE(OFFSET($H$3,0,0,'Données projet'!$E$14+1,1))</f>
        <v>303.73499739059076</v>
      </c>
      <c r="DU8" s="60">
        <f t="shared" si="44"/>
        <v>172.32171001882188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5.8890909090909096</v>
      </c>
      <c r="EJ8" s="13">
        <f>IF('Données projet'!$A$192&gt;35,EJ7+EI8-ER7,IF(A8&lt;'Données projet'!$A$192,$EG$205^A8,IF(A8='Données projet'!$A$192,'Données projet'!$B$192,EJ7+EI8-ER7)))</f>
        <v>3.0206960777814591</v>
      </c>
      <c r="EK8" s="18">
        <f>EJ8*VLOOKUP('Données projet'!$B$15,Paramètres!$A$1:$I$89,3,0)*VLOOKUP('Données projet'!$B$15,Paramètres!$A$1:$I$89,5,0)</f>
        <v>1.8063762545133126</v>
      </c>
      <c r="EL8" s="14">
        <f t="shared" si="45"/>
        <v>0.77708370871120902</v>
      </c>
      <c r="EM8" s="22">
        <f t="shared" si="19"/>
        <v>4.4995261026160422</v>
      </c>
      <c r="EN8" s="60">
        <f t="shared" si="20"/>
        <v>297.83285943594933</v>
      </c>
      <c r="EO8" s="60">
        <f ca="1">AVERAGE(OFFSET($EN$3,0,0,'Données projet'!$E$15+1,1))-AVERAGE(OFFSET($H$3,0,0,'Données projet'!$E$15+1,1))</f>
        <v>269.94948820700841</v>
      </c>
      <c r="EP8" s="60">
        <f t="shared" si="46"/>
        <v>183.45158355135192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3.78125</v>
      </c>
      <c r="FE8" s="13">
        <f>IF('Données projet'!$A$218&gt;35,FE7+FD8-FM7,IF(A8&lt;'Données projet'!$A$218,$FB$205^A8,IF(A8='Données projet'!$A$218,'Données projet'!$B$218,FE7+FD8-FM7)))</f>
        <v>2.1156080658245826</v>
      </c>
      <c r="FF8" s="18">
        <f>FE8*VLOOKUP('Données projet'!$B$16,Paramètres!$A$1:$I$89,3,0)*VLOOKUP('Données projet'!$B$16,Paramètres!$A$1:$I$89,5,0)</f>
        <v>1.2651336233631005</v>
      </c>
      <c r="FG8" s="14">
        <f t="shared" si="47"/>
        <v>0.56728302240214945</v>
      </c>
      <c r="FH8" s="22">
        <f t="shared" si="22"/>
        <v>3.1914589913744771</v>
      </c>
      <c r="FI8" s="60">
        <f t="shared" si="23"/>
        <v>296.52479232470779</v>
      </c>
      <c r="FJ8" s="60">
        <f ca="1">AVERAGE(OFFSET($FI$3,0,0,'Données projet'!$E$16+1,1))-AVERAGE(OFFSET($H$3,0,0,'Données projet'!$E$16+1,1))</f>
        <v>111.24788725253484</v>
      </c>
      <c r="FK8" s="60">
        <f t="shared" si="48"/>
        <v>82.434879813357327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projet'!$B$16,Paramètres!$A$1:$I$89,3,0)*0.475*44/12</f>
        <v>0</v>
      </c>
      <c r="FR8" s="23">
        <f>EXP(-LN(2)/25)*FR7+(1-EXP(-LN(2)/25))/(LN(2)/25)*Calculateur!FM8*Calculateur!FO8*VLOOKUP('Données projet'!$B$16,Paramètres!$A$1:$I$89,3,0)*0.475*44/12</f>
        <v>0</v>
      </c>
      <c r="FS8" s="23">
        <f>EXP(-LN(2)/2)*FS7+(1-EXP(-LN(2)/2))/(LN(2)/2)*FM8*FP8*VLOOKUP('Données projet'!$B$16,Paramètres!$A$1:$I$89,3,0)*0.475*44/12</f>
        <v>0</v>
      </c>
      <c r="FT8" s="24">
        <f t="shared" si="24"/>
        <v>0</v>
      </c>
      <c r="FU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4.3888888888888893</v>
      </c>
      <c r="FZ8" s="13">
        <f>IF('Données projet'!$A$244&gt;35,FZ7+FY8-GH7,IF(A8&lt;'Données projet'!$A$244,$FW$205^A8,IF(A8='Données projet'!$A$244,'Données projet'!$B$244,FZ7+FY8-GH7)))</f>
        <v>3.3660350698822019</v>
      </c>
      <c r="GA8" s="18">
        <f>FZ8*VLOOKUP('Données projet'!$B$17,Paramètres!$A$1:$I$89,3,0)*VLOOKUP('Données projet'!$B$17,Paramètres!$A$1:$I$89,5,0)</f>
        <v>1.4877875008879333</v>
      </c>
      <c r="GB8" s="14">
        <f t="shared" si="49"/>
        <v>0.65465005582943903</v>
      </c>
      <c r="GC8" s="22">
        <f t="shared" si="25"/>
        <v>3.7314120779494235</v>
      </c>
      <c r="GD8" s="60">
        <f t="shared" si="26"/>
        <v>297.06474541128273</v>
      </c>
      <c r="GE8" s="60">
        <f ca="1">AVERAGE(OFFSET($GD$3,0,0,'Données projet'!$E$17+1,1))-AVERAGE(OFFSET($H$3,0,0,'Données projet'!$E$17+1,1))</f>
        <v>323.56667371063662</v>
      </c>
      <c r="GF8" s="60">
        <f t="shared" si="50"/>
        <v>275.70373467723385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>
        <f>EXP(-LN(2)/35)*GL7+(1-EXP(-LN(2)/35))/(LN(2)/35)*GH8*GI8*VLOOKUP('Données projet'!$B$17,Paramètres!$A$1:$I$89,3,0)*0.475*44/12</f>
        <v>0</v>
      </c>
      <c r="GM8" s="23">
        <f>EXP(-LN(2)/25)*GM7+(1-EXP(-LN(2)/25))/(LN(2)/25)*Calculateur!GH8*Calculateur!GJ8*VLOOKUP('Données projet'!$B$17,Paramètres!$A$1:$I$89,3,0)*0.475*44/12</f>
        <v>0</v>
      </c>
      <c r="GN8" s="23">
        <f>EXP(-LN(2)/2)*GN7+(1-EXP(-LN(2)/2))/(LN(2)/2)*GH8*GK8*VLOOKUP('Données projet'!$B$17,Paramètres!$A$1:$I$89,3,0)*0.475*44/12</f>
        <v>0</v>
      </c>
      <c r="GO8" s="23">
        <f t="shared" si="27"/>
        <v>0</v>
      </c>
      <c r="GP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0" t="e">
        <f t="shared" si="29"/>
        <v>#N/A</v>
      </c>
      <c r="GZ8" s="60" t="e">
        <f ca="1">AVERAGE(OFFSET($GY$3,0,0,'Données projet'!$E$18+1,1))-AVERAGE(OFFSET($H$3,0,0,'Données projet'!$E$18+1,1))</f>
        <v>#N/A</v>
      </c>
      <c r="HA8" s="60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4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2">
        <f t="shared" si="32"/>
        <v>1.3149520873221716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7.1952941176470588</v>
      </c>
      <c r="N9" s="14">
        <f>IF('Données projet'!$A$36&gt;35,N8+M9-V8,IF(A9&lt;'Données projet'!$A$36,$K$205^A9,IF(A9='Données projet'!$A$36,'Données projet'!$B$36,N8+M9-V8)))</f>
        <v>5.4546113745763272</v>
      </c>
      <c r="O9" s="14">
        <f>N9*VLOOKUP('Données projet'!$B$9,Paramètres!$A$1:$I$89,3,0)*VLOOKUP('Données projet'!$B$9,Paramètres!$A$1:$I$89,5,0)</f>
        <v>3.2618576019966441</v>
      </c>
      <c r="P9" s="14">
        <f t="shared" si="33"/>
        <v>1.3099349720938758</v>
      </c>
      <c r="Q9" s="22">
        <f t="shared" si="2"/>
        <v>7.962538733207654</v>
      </c>
      <c r="R9" s="60">
        <f t="shared" si="0"/>
        <v>301.29587206654099</v>
      </c>
      <c r="S9" s="60">
        <f ca="1">AVERAGE(OFFSET($R$3,0,0,'Données projet'!$E$9+1,1))-AVERAGE(OFFSET($H$3,0,0,'Données projet'!$E$9+1,1))</f>
        <v>235.63766249714581</v>
      </c>
      <c r="T9" s="60">
        <f t="shared" si="34"/>
        <v>231.3297293785277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2.1</v>
      </c>
      <c r="AI9" s="14">
        <f>IF('Données projet'!$A$62&gt;35,AI8+AH9-AQ8,IF(A9&lt;'Données projet'!$A$62,$AF$205^A9,IF(A9='Données projet'!$A$62,'Données projet'!$B$62,AI8+AH9-AQ8)))</f>
        <v>3.0688438220956993</v>
      </c>
      <c r="AJ9" s="14">
        <f>AI9*VLOOKUP('Données projet'!$B$10,Paramètres!$A$1:$I$89,3,0)*VLOOKUP('Données projet'!$B$10,Paramètres!$A$1:$I$89,5,0)</f>
        <v>3.111807635605039</v>
      </c>
      <c r="AK9" s="14">
        <f t="shared" si="35"/>
        <v>1.2565452240335246</v>
      </c>
      <c r="AL9" s="22">
        <f t="shared" si="4"/>
        <v>7.6082145638704972</v>
      </c>
      <c r="AM9" s="60">
        <f t="shared" si="5"/>
        <v>300.9415478972038</v>
      </c>
      <c r="AN9" s="60">
        <f ca="1">AVERAGE(OFFSET($AM$3,0,0,'Données projet'!$E$10+1,1))-AVERAGE(OFFSET($H$3,0,0,'Données projet'!$E$10+1,1))</f>
        <v>350.3652766444938</v>
      </c>
      <c r="AO9" s="60">
        <f t="shared" si="36"/>
        <v>197.04549436738586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6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2.1</v>
      </c>
      <c r="BD9" s="13">
        <f>IF('Données projet'!$A$88&gt;35,BD8+BC9-BL8,IF(A9&lt;'Données projet'!$A$88,$BA$205^A9,IF(A9='Données projet'!$A$88,'Données projet'!$B$88,BD8+BC9-BL8)))</f>
        <v>3.0688438220956993</v>
      </c>
      <c r="BE9" s="14">
        <f>BD9*VLOOKUP('Données projet'!$B$11,Paramètres!$A$1:$I$89,3,0)*VLOOKUP('Données projet'!$B$11,Paramètres!$A$1:$I$89,5,0)</f>
        <v>2.9681857447309605</v>
      </c>
      <c r="BF9" s="14">
        <f t="shared" si="37"/>
        <v>1.2051613041728233</v>
      </c>
      <c r="BG9" s="22">
        <f t="shared" si="7"/>
        <v>7.2685794435074236</v>
      </c>
      <c r="BH9" s="60">
        <f t="shared" si="8"/>
        <v>300.60191277684072</v>
      </c>
      <c r="BI9" s="60">
        <f ca="1">AVERAGE(OFFSET($BH$3,0,0,'Données projet'!$E$11+1,1))-AVERAGE(OFFSET($H$3,0,0,'Données projet'!$E$11+1,1))</f>
        <v>330.39429528665841</v>
      </c>
      <c r="BJ9" s="60">
        <f t="shared" si="38"/>
        <v>186.45728006007261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3.3333333333333335</v>
      </c>
      <c r="BY9" s="13">
        <f>IF('Données projet'!$A$114&gt;35,BY8+BX9-CG8,IF(A9&lt;'Données projet'!$A$114,$BV$205^A9,IF(A9='Données projet'!$A$114,'Données projet'!$B$114,BY8+BX9-CG8)))</f>
        <v>4.7817624989501848</v>
      </c>
      <c r="BZ9" s="14">
        <f>BY9*VLOOKUP('Données projet'!$B$12,Paramètres!$A$1:$I$89,3,0)*VLOOKUP('Données projet'!$B$12,Paramètres!$A$1:$I$89,5,0)</f>
        <v>3.2076062842957844</v>
      </c>
      <c r="CA9" s="14">
        <f t="shared" si="39"/>
        <v>1.2906653345014574</v>
      </c>
      <c r="CB9" s="22">
        <f t="shared" si="10"/>
        <v>7.8344897360718626</v>
      </c>
      <c r="CC9" s="60">
        <f t="shared" si="11"/>
        <v>301.16782306940519</v>
      </c>
      <c r="CD9" s="60">
        <f ca="1">AVERAGE(OFFSET($CC$3,0,0,'Données projet'!$E$12+1,1))-AVERAGE(OFFSET($H$3,0,0,'Données projet'!$E$12+1,1))</f>
        <v>212.33913923444732</v>
      </c>
      <c r="CE9" s="60">
        <f t="shared" si="40"/>
        <v>183.51194426094372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5.2</v>
      </c>
      <c r="CT9" s="13">
        <f>IF('Données projet'!$A$140&gt;35,CT8+CS9-DB8,IF(A9&lt;'Données projet'!$A$140,$CQ$205^A9,IF(A9='Données projet'!$A$140,'Données projet'!$B$140,CT8+CS9-DB8)))</f>
        <v>4.0281905083061949</v>
      </c>
      <c r="CU9" s="18">
        <f>CT9*VLOOKUP('Données projet'!$B$13,Paramètres!$A$1:$I$89,3,0)*VLOOKUP('Données projet'!$B$13,Paramètres!$A$1:$I$89,5,0)</f>
        <v>3.5190272280562924</v>
      </c>
      <c r="CV9" s="14">
        <f t="shared" si="41"/>
        <v>1.4007837603619935</v>
      </c>
      <c r="CW9" s="22">
        <f t="shared" si="13"/>
        <v>8.5686708048285141</v>
      </c>
      <c r="CX9" s="60">
        <f t="shared" si="14"/>
        <v>301.90200413816183</v>
      </c>
      <c r="CY9" s="60">
        <f ca="1">AVERAGE(OFFSET($CX$3,0,0,'Données projet'!$E$13+1,1))-AVERAGE(OFFSET($H$3,0,0,'Données projet'!$E$13+1,1))</f>
        <v>228.0393346366489</v>
      </c>
      <c r="CZ9" s="60">
        <f t="shared" si="42"/>
        <v>238.591781509447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2.1</v>
      </c>
      <c r="DO9" s="13">
        <f>IF('Données projet'!$A$166&gt;35,DO8+DN9-DW8,IF(A9&lt;'Données projet'!$A$166,$DL$205^A9,IF(A9='Données projet'!$A$166,'Données projet'!$B$166,DO8+DN9-DW8)))</f>
        <v>3.0688438220956993</v>
      </c>
      <c r="DP9" s="18">
        <f>DO9*VLOOKUP('Données projet'!$B$14,Paramètres!$A$1:$I$89,3,0)*VLOOKUP('Données projet'!$B$14,Paramètres!$A$1:$I$89,5,0)</f>
        <v>2.7766898902321886</v>
      </c>
      <c r="DQ9" s="14">
        <f t="shared" si="43"/>
        <v>1.1361949561012803</v>
      </c>
      <c r="DR9" s="22">
        <f t="shared" si="16"/>
        <v>6.8149411073641248</v>
      </c>
      <c r="DS9" s="60">
        <f t="shared" si="17"/>
        <v>300.14827444069743</v>
      </c>
      <c r="DT9" s="60">
        <f ca="1">AVERAGE(OFFSET($DS$3,0,0,'Données projet'!$E$14+1,1))-AVERAGE(OFFSET($H$3,0,0,'Données projet'!$E$14+1,1))</f>
        <v>303.73499739059076</v>
      </c>
      <c r="DU9" s="60">
        <f t="shared" si="44"/>
        <v>172.32171001882188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5.8890909090909096</v>
      </c>
      <c r="EJ9" s="13">
        <f>IF('Données projet'!$A$192&gt;35,EJ8+EI9-ER8,IF(A9&lt;'Données projet'!$A$192,$EG$205^A9,IF(A9='Données projet'!$A$192,'Données projet'!$B$192,EJ8+EI9-ER8)))</f>
        <v>3.7681522162486343</v>
      </c>
      <c r="EK9" s="18">
        <f>EJ9*VLOOKUP('Données projet'!$B$15,Paramètres!$A$1:$I$89,3,0)*VLOOKUP('Données projet'!$B$15,Paramètres!$A$1:$I$89,5,0)</f>
        <v>2.2533550253166834</v>
      </c>
      <c r="EL9" s="14">
        <f t="shared" si="45"/>
        <v>0.94474003310844989</v>
      </c>
      <c r="EM9" s="22">
        <f t="shared" si="19"/>
        <v>5.5700155600904404</v>
      </c>
      <c r="EN9" s="60">
        <f t="shared" si="20"/>
        <v>298.90334889342375</v>
      </c>
      <c r="EO9" s="60">
        <f ca="1">AVERAGE(OFFSET($EN$3,0,0,'Données projet'!$E$15+1,1))-AVERAGE(OFFSET($H$3,0,0,'Données projet'!$E$15+1,1))</f>
        <v>269.94948820700841</v>
      </c>
      <c r="EP9" s="60">
        <f t="shared" si="46"/>
        <v>183.45158355135192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3.78125</v>
      </c>
      <c r="FE9" s="13">
        <f>IF('Données projet'!$A$218&gt;35,FE8+FD9-FM8,IF(A9&lt;'Données projet'!$A$218,$FB$205^A9,IF(A9='Données projet'!$A$218,'Données projet'!$B$218,FE8+FD9-FM8)))</f>
        <v>2.4576625794720548</v>
      </c>
      <c r="FF9" s="18">
        <f>FE9*VLOOKUP('Données projet'!$B$16,Paramètres!$A$1:$I$89,3,0)*VLOOKUP('Données projet'!$B$16,Paramètres!$A$1:$I$89,5,0)</f>
        <v>1.4696822225242889</v>
      </c>
      <c r="FG9" s="14">
        <f t="shared" si="47"/>
        <v>0.64760575168659895</v>
      </c>
      <c r="FH9" s="22">
        <f t="shared" si="22"/>
        <v>3.6876098884172968</v>
      </c>
      <c r="FI9" s="60">
        <f t="shared" si="23"/>
        <v>297.0209432217506</v>
      </c>
      <c r="FJ9" s="60">
        <f ca="1">AVERAGE(OFFSET($FI$3,0,0,'Données projet'!$E$16+1,1))-AVERAGE(OFFSET($H$3,0,0,'Données projet'!$E$16+1,1))</f>
        <v>111.24788725253484</v>
      </c>
      <c r="FK9" s="60">
        <f t="shared" si="48"/>
        <v>82.434879813357327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projet'!$B$16,Paramètres!$A$1:$I$89,3,0)*0.475*44/12</f>
        <v>0</v>
      </c>
      <c r="FR9" s="23">
        <f>EXP(-LN(2)/25)*FR8+(1-EXP(-LN(2)/25))/(LN(2)/25)*Calculateur!FM9*Calculateur!FO9*VLOOKUP('Données projet'!$B$16,Paramètres!$A$1:$I$89,3,0)*0.475*44/12</f>
        <v>0</v>
      </c>
      <c r="FS9" s="23">
        <f>EXP(-LN(2)/2)*FS8+(1-EXP(-LN(2)/2))/(LN(2)/2)*FM9*FP9*VLOOKUP('Données projet'!$B$16,Paramètres!$A$1:$I$89,3,0)*0.475*44/12</f>
        <v>0</v>
      </c>
      <c r="FT9" s="24">
        <f t="shared" si="24"/>
        <v>0</v>
      </c>
      <c r="FU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4.3888888888888893</v>
      </c>
      <c r="FZ9" s="13">
        <f>IF('Données projet'!$A$244&gt;35,FZ8+FY9-GH8,IF(A9&lt;'Données projet'!$A$244,$FW$205^A9,IF(A9='Données projet'!$A$244,'Données projet'!$B$244,FZ8+FY9-GH8)))</f>
        <v>4.2908404270262066</v>
      </c>
      <c r="GA9" s="18">
        <f>FZ9*VLOOKUP('Données projet'!$B$17,Paramètres!$A$1:$I$89,3,0)*VLOOKUP('Données projet'!$B$17,Paramètres!$A$1:$I$89,5,0)</f>
        <v>1.8965514687455836</v>
      </c>
      <c r="GB9" s="14">
        <f t="shared" si="49"/>
        <v>0.8112628982249882</v>
      </c>
      <c r="GC9" s="22">
        <f t="shared" si="25"/>
        <v>4.7161100224737451</v>
      </c>
      <c r="GD9" s="60">
        <f t="shared" si="26"/>
        <v>298.04944335580706</v>
      </c>
      <c r="GE9" s="60">
        <f ca="1">AVERAGE(OFFSET($GD$3,0,0,'Données projet'!$E$17+1,1))-AVERAGE(OFFSET($H$3,0,0,'Données projet'!$E$17+1,1))</f>
        <v>323.56667371063662</v>
      </c>
      <c r="GF9" s="60">
        <f t="shared" si="50"/>
        <v>275.70373467723385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>
        <f>EXP(-LN(2)/35)*GL8+(1-EXP(-LN(2)/35))/(LN(2)/35)*GH9*GI9*VLOOKUP('Données projet'!$B$17,Paramètres!$A$1:$I$89,3,0)*0.475*44/12</f>
        <v>0</v>
      </c>
      <c r="GM9" s="23">
        <f>EXP(-LN(2)/25)*GM8+(1-EXP(-LN(2)/25))/(LN(2)/25)*Calculateur!GH9*Calculateur!GJ9*VLOOKUP('Données projet'!$B$17,Paramètres!$A$1:$I$89,3,0)*0.475*44/12</f>
        <v>0</v>
      </c>
      <c r="GN9" s="23">
        <f>EXP(-LN(2)/2)*GN8+(1-EXP(-LN(2)/2))/(LN(2)/2)*GH9*GK9*VLOOKUP('Données projet'!$B$17,Paramètres!$A$1:$I$89,3,0)*0.475*44/12</f>
        <v>0</v>
      </c>
      <c r="GO9" s="23">
        <f t="shared" si="27"/>
        <v>0</v>
      </c>
      <c r="GP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0" t="e">
        <f t="shared" si="29"/>
        <v>#N/A</v>
      </c>
      <c r="GZ9" s="60" t="e">
        <f ca="1">AVERAGE(OFFSET($GY$3,0,0,'Données projet'!$E$18+1,1))-AVERAGE(OFFSET($H$3,0,0,'Données projet'!$E$18+1,1))</f>
        <v>#N/A</v>
      </c>
      <c r="HA9" s="60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4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2">
        <f t="shared" si="32"/>
        <v>1.5068294933809407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7.1952941176470588</v>
      </c>
      <c r="N10" s="14">
        <f>IF('Données projet'!$A$36&gt;35,N9+M10-V9,IF(A10&lt;'Données projet'!$A$36,$K$205^A10,IF(A10='Données projet'!$A$36,'Données projet'!$B$36,N9+M10-V9)))</f>
        <v>7.2369868377470841</v>
      </c>
      <c r="O10" s="14">
        <f>N10*VLOOKUP('Données projet'!$B$9,Paramètres!$A$1:$I$89,3,0)*VLOOKUP('Données projet'!$B$9,Paramètres!$A$1:$I$89,5,0)</f>
        <v>4.3277181289727569</v>
      </c>
      <c r="P10" s="14">
        <f t="shared" si="33"/>
        <v>1.6817076039762937</v>
      </c>
      <c r="Q10" s="22">
        <f t="shared" si="2"/>
        <v>10.466416484886262</v>
      </c>
      <c r="R10" s="60">
        <f t="shared" si="0"/>
        <v>303.7997498182196</v>
      </c>
      <c r="S10" s="60">
        <f ca="1">AVERAGE(OFFSET($R$3,0,0,'Données projet'!$E$9+1,1))-AVERAGE(OFFSET($H$3,0,0,'Données projet'!$E$9+1,1))</f>
        <v>235.63766249714581</v>
      </c>
      <c r="T10" s="60">
        <f t="shared" si="34"/>
        <v>231.3297293785277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2.1</v>
      </c>
      <c r="AI10" s="14">
        <f>IF('Données projet'!$A$62&gt;35,AI9+AH10-AQ9,IF(A10&lt;'Données projet'!$A$62,$AF$205^A10,IF(A10='Données projet'!$A$62,'Données projet'!$B$62,AI9+AH10-AQ9)))</f>
        <v>3.6994507637402658</v>
      </c>
      <c r="AJ10" s="14">
        <f>AI10*VLOOKUP('Données projet'!$B$10,Paramètres!$A$1:$I$89,3,0)*VLOOKUP('Données projet'!$B$10,Paramètres!$A$1:$I$89,5,0)</f>
        <v>3.7512430744326299</v>
      </c>
      <c r="AK10" s="14">
        <f t="shared" si="35"/>
        <v>1.4821538192545303</v>
      </c>
      <c r="AL10" s="22">
        <f t="shared" si="4"/>
        <v>9.1148329231718037</v>
      </c>
      <c r="AM10" s="60">
        <f t="shared" si="5"/>
        <v>302.44816625650515</v>
      </c>
      <c r="AN10" s="60">
        <f ca="1">AVERAGE(OFFSET($AM$3,0,0,'Données projet'!$E$10+1,1))-AVERAGE(OFFSET($H$3,0,0,'Données projet'!$E$10+1,1))</f>
        <v>350.3652766444938</v>
      </c>
      <c r="AO10" s="60">
        <f t="shared" si="36"/>
        <v>197.04549436738586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6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2.1</v>
      </c>
      <c r="BD10" s="13">
        <f>IF('Données projet'!$A$88&gt;35,BD9+BC10-BL9,IF(A10&lt;'Données projet'!$A$88,$BA$205^A10,IF(A10='Données projet'!$A$88,'Données projet'!$B$88,BD9+BC10-BL9)))</f>
        <v>3.6994507637402658</v>
      </c>
      <c r="BE10" s="14">
        <f>BD10*VLOOKUP('Données projet'!$B$11,Paramètres!$A$1:$I$89,3,0)*VLOOKUP('Données projet'!$B$11,Paramètres!$A$1:$I$89,5,0)</f>
        <v>3.5781087786895851</v>
      </c>
      <c r="BF10" s="14">
        <f t="shared" si="37"/>
        <v>1.4215440842341414</v>
      </c>
      <c r="BG10" s="22">
        <f t="shared" si="7"/>
        <v>8.707728736258824</v>
      </c>
      <c r="BH10" s="60">
        <f t="shared" si="8"/>
        <v>302.04106206959216</v>
      </c>
      <c r="BI10" s="60">
        <f ca="1">AVERAGE(OFFSET($BH$3,0,0,'Données projet'!$E$11+1,1))-AVERAGE(OFFSET($H$3,0,0,'Données projet'!$E$11+1,1))</f>
        <v>330.39429528665841</v>
      </c>
      <c r="BJ10" s="60">
        <f t="shared" si="38"/>
        <v>186.45728006007261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3.3333333333333335</v>
      </c>
      <c r="BY10" s="13">
        <f>IF('Données projet'!$A$114&gt;35,BY9+BX10-CG9,IF(A10&lt;'Données projet'!$A$114,$BV$205^A10,IF(A10='Données projet'!$A$114,'Données projet'!$B$114,BY9+BX10-CG9)))</f>
        <v>6.2065844455469161</v>
      </c>
      <c r="BZ10" s="14">
        <f>BY10*VLOOKUP('Données projet'!$B$12,Paramètres!$A$1:$I$89,3,0)*VLOOKUP('Données projet'!$B$12,Paramètres!$A$1:$I$89,5,0)</f>
        <v>4.1633768460728717</v>
      </c>
      <c r="CA10" s="14">
        <f t="shared" si="39"/>
        <v>1.6251531926949223</v>
      </c>
      <c r="CB10" s="22">
        <f t="shared" si="10"/>
        <v>10.081689817520575</v>
      </c>
      <c r="CC10" s="60">
        <f t="shared" si="11"/>
        <v>303.41502315085387</v>
      </c>
      <c r="CD10" s="60">
        <f ca="1">AVERAGE(OFFSET($CC$3,0,0,'Données projet'!$E$12+1,1))-AVERAGE(OFFSET($H$3,0,0,'Données projet'!$E$12+1,1))</f>
        <v>212.33913923444732</v>
      </c>
      <c r="CE10" s="60">
        <f t="shared" si="40"/>
        <v>183.51194426094372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5.2</v>
      </c>
      <c r="CT10" s="13">
        <f>IF('Données projet'!$A$140&gt;35,CT9+CS10-DB9,IF(A10&lt;'Données projet'!$A$140,$CQ$205^A10,IF(A10='Données projet'!$A$140,'Données projet'!$B$140,CT9+CS10-DB9)))</f>
        <v>5.0811459390243749</v>
      </c>
      <c r="CU10" s="18">
        <f>CT10*VLOOKUP('Données projet'!$B$13,Paramètres!$A$1:$I$89,3,0)*VLOOKUP('Données projet'!$B$13,Paramètres!$A$1:$I$89,5,0)</f>
        <v>4.4388890923316948</v>
      </c>
      <c r="CV10" s="14">
        <f t="shared" si="41"/>
        <v>1.7198225187527358</v>
      </c>
      <c r="CW10" s="22">
        <f t="shared" si="13"/>
        <v>10.726422722638716</v>
      </c>
      <c r="CX10" s="60">
        <f t="shared" si="14"/>
        <v>304.059756055972</v>
      </c>
      <c r="CY10" s="60">
        <f ca="1">AVERAGE(OFFSET($CX$3,0,0,'Données projet'!$E$13+1,1))-AVERAGE(OFFSET($H$3,0,0,'Données projet'!$E$13+1,1))</f>
        <v>228.0393346366489</v>
      </c>
      <c r="CZ10" s="60">
        <f t="shared" si="42"/>
        <v>238.591781509447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2.1</v>
      </c>
      <c r="DO10" s="13">
        <f>IF('Données projet'!$A$166&gt;35,DO9+DN10-DW9,IF(A10&lt;'Données projet'!$A$166,$DL$205^A10,IF(A10='Données projet'!$A$166,'Données projet'!$B$166,DO9+DN10-DW9)))</f>
        <v>3.6994507637402658</v>
      </c>
      <c r="DP10" s="18">
        <f>DO10*VLOOKUP('Données projet'!$B$14,Paramètres!$A$1:$I$89,3,0)*VLOOKUP('Données projet'!$B$14,Paramètres!$A$1:$I$89,5,0)</f>
        <v>3.3472630510321921</v>
      </c>
      <c r="DQ10" s="14">
        <f t="shared" si="43"/>
        <v>1.34019505338418</v>
      </c>
      <c r="DR10" s="22">
        <f t="shared" si="16"/>
        <v>8.1639895318585136</v>
      </c>
      <c r="DS10" s="60">
        <f t="shared" si="17"/>
        <v>301.49732286519185</v>
      </c>
      <c r="DT10" s="60">
        <f ca="1">AVERAGE(OFFSET($DS$3,0,0,'Données projet'!$E$14+1,1))-AVERAGE(OFFSET($H$3,0,0,'Données projet'!$E$14+1,1))</f>
        <v>303.73499739059076</v>
      </c>
      <c r="DU10" s="60">
        <f t="shared" si="44"/>
        <v>172.32171001882188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5.8890909090909096</v>
      </c>
      <c r="EJ10" s="13">
        <f>IF('Données projet'!$A$192&gt;35,EJ9+EI10-ER9,IF(A10&lt;'Données projet'!$A$192,$EG$205^A10,IF(A10='Données projet'!$A$192,'Données projet'!$B$192,EJ9+EI10-ER9)))</f>
        <v>4.7005626382803412</v>
      </c>
      <c r="EK10" s="18">
        <f>EJ10*VLOOKUP('Données projet'!$B$15,Paramètres!$A$1:$I$89,3,0)*VLOOKUP('Données projet'!$B$15,Paramètres!$A$1:$I$89,5,0)</f>
        <v>2.8109364576916445</v>
      </c>
      <c r="EL10" s="14">
        <f t="shared" si="45"/>
        <v>1.1485683204426194</v>
      </c>
      <c r="EM10" s="22">
        <f t="shared" si="19"/>
        <v>6.8961374885838422</v>
      </c>
      <c r="EN10" s="60">
        <f t="shared" si="20"/>
        <v>300.22947082191718</v>
      </c>
      <c r="EO10" s="60">
        <f ca="1">AVERAGE(OFFSET($EN$3,0,0,'Données projet'!$E$15+1,1))-AVERAGE(OFFSET($H$3,0,0,'Données projet'!$E$15+1,1))</f>
        <v>269.94948820700841</v>
      </c>
      <c r="EP10" s="60">
        <f t="shared" si="46"/>
        <v>183.45158355135192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3.78125</v>
      </c>
      <c r="FE10" s="13">
        <f>IF('Données projet'!$A$218&gt;35,FE9+FD10-FM9,IF(A10&lt;'Données projet'!$A$218,$FB$205^A10,IF(A10='Données projet'!$A$218,'Données projet'!$B$218,FE9+FD10-FM9)))</f>
        <v>2.855020952183331</v>
      </c>
      <c r="FF10" s="18">
        <f>FE10*VLOOKUP('Données projet'!$B$16,Paramètres!$A$1:$I$89,3,0)*VLOOKUP('Données projet'!$B$16,Paramètres!$A$1:$I$89,5,0)</f>
        <v>1.7073025294056321</v>
      </c>
      <c r="FG10" s="14">
        <f t="shared" si="47"/>
        <v>0.7393015356631899</v>
      </c>
      <c r="FH10" s="22">
        <f t="shared" si="22"/>
        <v>4.2611687466615322</v>
      </c>
      <c r="FI10" s="60">
        <f t="shared" si="23"/>
        <v>297.59450207999487</v>
      </c>
      <c r="FJ10" s="60">
        <f ca="1">AVERAGE(OFFSET($FI$3,0,0,'Données projet'!$E$16+1,1))-AVERAGE(OFFSET($H$3,0,0,'Données projet'!$E$16+1,1))</f>
        <v>111.24788725253484</v>
      </c>
      <c r="FK10" s="60">
        <f t="shared" si="48"/>
        <v>82.434879813357327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projet'!$B$16,Paramètres!$A$1:$I$89,3,0)*0.475*44/12</f>
        <v>0</v>
      </c>
      <c r="FR10" s="23">
        <f>EXP(-LN(2)/25)*FR9+(1-EXP(-LN(2)/25))/(LN(2)/25)*Calculateur!FM10*Calculateur!FO10*VLOOKUP('Données projet'!$B$16,Paramètres!$A$1:$I$89,3,0)*0.475*44/12</f>
        <v>0</v>
      </c>
      <c r="FS10" s="23">
        <f>EXP(-LN(2)/2)*FS9+(1-EXP(-LN(2)/2))/(LN(2)/2)*FM10*FP10*VLOOKUP('Données projet'!$B$16,Paramètres!$A$1:$I$89,3,0)*0.475*44/12</f>
        <v>0</v>
      </c>
      <c r="FT10" s="24">
        <f t="shared" si="24"/>
        <v>0</v>
      </c>
      <c r="FU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4.3888888888888893</v>
      </c>
      <c r="FZ10" s="13">
        <f>IF('Données projet'!$A$244&gt;35,FZ9+FY10-GH9,IF(A10&lt;'Données projet'!$A$244,$FW$205^A10,IF(A10='Données projet'!$A$244,'Données projet'!$B$244,FZ9+FY10-GH9)))</f>
        <v>5.469732545254427</v>
      </c>
      <c r="GA10" s="18">
        <f>FZ10*VLOOKUP('Données projet'!$B$17,Paramètres!$A$1:$I$89,3,0)*VLOOKUP('Données projet'!$B$17,Paramètres!$A$1:$I$89,5,0)</f>
        <v>2.4176217850024573</v>
      </c>
      <c r="GB10" s="14">
        <f t="shared" si="49"/>
        <v>1.005342448497216</v>
      </c>
      <c r="GC10" s="22">
        <f t="shared" si="25"/>
        <v>5.9616627066785979</v>
      </c>
      <c r="GD10" s="60">
        <f t="shared" si="26"/>
        <v>299.29499604001194</v>
      </c>
      <c r="GE10" s="60">
        <f ca="1">AVERAGE(OFFSET($GD$3,0,0,'Données projet'!$E$17+1,1))-AVERAGE(OFFSET($H$3,0,0,'Données projet'!$E$17+1,1))</f>
        <v>323.56667371063662</v>
      </c>
      <c r="GF10" s="60">
        <f t="shared" si="50"/>
        <v>275.70373467723385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>
        <f>EXP(-LN(2)/35)*GL9+(1-EXP(-LN(2)/35))/(LN(2)/35)*GH10*GI10*VLOOKUP('Données projet'!$B$17,Paramètres!$A$1:$I$89,3,0)*0.475*44/12</f>
        <v>0</v>
      </c>
      <c r="GM10" s="23">
        <f>EXP(-LN(2)/25)*GM9+(1-EXP(-LN(2)/25))/(LN(2)/25)*Calculateur!GH10*Calculateur!GJ10*VLOOKUP('Données projet'!$B$17,Paramètres!$A$1:$I$89,3,0)*0.475*44/12</f>
        <v>0</v>
      </c>
      <c r="GN10" s="23">
        <f>EXP(-LN(2)/2)*GN9+(1-EXP(-LN(2)/2))/(LN(2)/2)*GH10*GK10*VLOOKUP('Données projet'!$B$17,Paramètres!$A$1:$I$89,3,0)*0.475*44/12</f>
        <v>0</v>
      </c>
      <c r="GO10" s="23">
        <f t="shared" si="27"/>
        <v>0</v>
      </c>
      <c r="GP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0" t="e">
        <f t="shared" si="29"/>
        <v>#N/A</v>
      </c>
      <c r="GZ10" s="60" t="e">
        <f ca="1">AVERAGE(OFFSET($GY$3,0,0,'Données projet'!$E$18+1,1))-AVERAGE(OFFSET($H$3,0,0,'Données projet'!$E$18+1,1))</f>
        <v>#N/A</v>
      </c>
      <c r="HA10" s="60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4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2">
        <f t="shared" si="32"/>
        <v>1.6955312417477209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7.1952941176470588</v>
      </c>
      <c r="N11" s="14">
        <f>IF('Données projet'!$A$36&gt;35,N10+M11-V10,IF(A11&lt;'Données projet'!$A$36,$K$205^A11,IF(A11='Données projet'!$A$36,'Données projet'!$B$36,N10+M11-V10)))</f>
        <v>9.6017800156830688</v>
      </c>
      <c r="O11" s="14">
        <f>N11*VLOOKUP('Données projet'!$B$9,Paramètres!$A$1:$I$89,3,0)*VLOOKUP('Données projet'!$B$9,Paramètres!$A$1:$I$89,5,0)</f>
        <v>5.7418644493784763</v>
      </c>
      <c r="P11" s="14">
        <f t="shared" si="33"/>
        <v>2.1589930229521412</v>
      </c>
      <c r="Q11" s="22">
        <f t="shared" si="2"/>
        <v>13.760660097642491</v>
      </c>
      <c r="R11" s="60">
        <f t="shared" si="0"/>
        <v>307.09399343097579</v>
      </c>
      <c r="S11" s="60">
        <f ca="1">AVERAGE(OFFSET($R$3,0,0,'Données projet'!$E$9+1,1))-AVERAGE(OFFSET($H$3,0,0,'Données projet'!$E$9+1,1))</f>
        <v>235.63766249714581</v>
      </c>
      <c r="T11" s="60">
        <f t="shared" si="34"/>
        <v>231.3297293785277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2.1</v>
      </c>
      <c r="AI11" s="14">
        <f>IF('Données projet'!$A$62&gt;35,AI10+AH11-AQ10,IF(A11&lt;'Données projet'!$A$62,$AF$205^A11,IF(A11='Données projet'!$A$62,'Données projet'!$B$62,AI10+AH11-AQ10)))</f>
        <v>4.4596391171162209</v>
      </c>
      <c r="AJ11" s="14">
        <f>AI11*VLOOKUP('Données projet'!$B$10,Paramètres!$A$1:$I$89,3,0)*VLOOKUP('Données projet'!$B$10,Paramètres!$A$1:$I$89,5,0)</f>
        <v>4.5220740647558486</v>
      </c>
      <c r="AK11" s="14">
        <f t="shared" si="35"/>
        <v>1.7482697016499746</v>
      </c>
      <c r="AL11" s="22">
        <f t="shared" si="4"/>
        <v>10.92084872649014</v>
      </c>
      <c r="AM11" s="60">
        <f t="shared" si="5"/>
        <v>304.25418205982345</v>
      </c>
      <c r="AN11" s="60">
        <f ca="1">AVERAGE(OFFSET($AM$3,0,0,'Données projet'!$E$10+1,1))-AVERAGE(OFFSET($H$3,0,0,'Données projet'!$E$10+1,1))</f>
        <v>350.3652766444938</v>
      </c>
      <c r="AO11" s="60">
        <f t="shared" si="36"/>
        <v>197.04549436738586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6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2.1</v>
      </c>
      <c r="BD11" s="13">
        <f>IF('Données projet'!$A$88&gt;35,BD10+BC11-BL10,IF(A11&lt;'Données projet'!$A$88,$BA$205^A11,IF(A11='Données projet'!$A$88,'Données projet'!$B$88,BD10+BC11-BL10)))</f>
        <v>4.4596391171162209</v>
      </c>
      <c r="BE11" s="14">
        <f>BD11*VLOOKUP('Données projet'!$B$11,Paramètres!$A$1:$I$89,3,0)*VLOOKUP('Données projet'!$B$11,Paramètres!$A$1:$I$89,5,0)</f>
        <v>4.3133629540748091</v>
      </c>
      <c r="BF11" s="14">
        <f t="shared" si="37"/>
        <v>1.6767776864592203</v>
      </c>
      <c r="BG11" s="22">
        <f t="shared" si="7"/>
        <v>10.432828282263435</v>
      </c>
      <c r="BH11" s="60">
        <f t="shared" si="8"/>
        <v>303.76616161559673</v>
      </c>
      <c r="BI11" s="60">
        <f ca="1">AVERAGE(OFFSET($BH$3,0,0,'Données projet'!$E$11+1,1))-AVERAGE(OFFSET($H$3,0,0,'Données projet'!$E$11+1,1))</f>
        <v>330.39429528665841</v>
      </c>
      <c r="BJ11" s="60">
        <f t="shared" si="38"/>
        <v>186.45728006007261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3.3333333333333335</v>
      </c>
      <c r="BY11" s="13">
        <f>IF('Données projet'!$A$114&gt;35,BY10+BX11-CG10,IF(A11&lt;'Données projet'!$A$114,$BV$205^A11,IF(A11='Données projet'!$A$114,'Données projet'!$B$114,BY10+BX11-CG10)))</f>
        <v>8.0559606396516319</v>
      </c>
      <c r="BZ11" s="14">
        <f>BY11*VLOOKUP('Données projet'!$B$12,Paramètres!$A$1:$I$89,3,0)*VLOOKUP('Données projet'!$B$12,Paramètres!$A$1:$I$89,5,0)</f>
        <v>5.4039383970783144</v>
      </c>
      <c r="CA11" s="14">
        <f t="shared" si="39"/>
        <v>2.0463266728603036</v>
      </c>
      <c r="CB11" s="22">
        <f t="shared" si="10"/>
        <v>12.975878330143091</v>
      </c>
      <c r="CC11" s="60">
        <f t="shared" si="11"/>
        <v>306.30921166347639</v>
      </c>
      <c r="CD11" s="60">
        <f ca="1">AVERAGE(OFFSET($CC$3,0,0,'Données projet'!$E$12+1,1))-AVERAGE(OFFSET($H$3,0,0,'Données projet'!$E$12+1,1))</f>
        <v>212.33913923444732</v>
      </c>
      <c r="CE11" s="60">
        <f t="shared" si="40"/>
        <v>183.51194426094372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5.2</v>
      </c>
      <c r="CT11" s="13">
        <f>IF('Données projet'!$A$140&gt;35,CT10+CS11-DB10,IF(A11&lt;'Données projet'!$A$140,$CQ$205^A11,IF(A11='Données projet'!$A$140,'Données projet'!$B$140,CT10+CS11-DB10)))</f>
        <v>6.40934037266278</v>
      </c>
      <c r="CU11" s="18">
        <f>CT11*VLOOKUP('Données projet'!$B$13,Paramètres!$A$1:$I$89,3,0)*VLOOKUP('Données projet'!$B$13,Paramètres!$A$1:$I$89,5,0)</f>
        <v>5.5991997495582053</v>
      </c>
      <c r="CV11" s="14">
        <f t="shared" si="41"/>
        <v>2.1115246904666036</v>
      </c>
      <c r="CW11" s="22">
        <f t="shared" si="13"/>
        <v>13.429511733043208</v>
      </c>
      <c r="CX11" s="60">
        <f t="shared" si="14"/>
        <v>306.76284506637654</v>
      </c>
      <c r="CY11" s="60">
        <f ca="1">AVERAGE(OFFSET($CX$3,0,0,'Données projet'!$E$13+1,1))-AVERAGE(OFFSET($H$3,0,0,'Données projet'!$E$13+1,1))</f>
        <v>228.0393346366489</v>
      </c>
      <c r="CZ11" s="60">
        <f t="shared" si="42"/>
        <v>238.591781509447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2.1</v>
      </c>
      <c r="DO11" s="13">
        <f>IF('Données projet'!$A$166&gt;35,DO10+DN11-DW10,IF(A11&lt;'Données projet'!$A$166,$DL$205^A11,IF(A11='Données projet'!$A$166,'Données projet'!$B$166,DO10+DN11-DW10)))</f>
        <v>4.4596391171162209</v>
      </c>
      <c r="DP11" s="18">
        <f>DO11*VLOOKUP('Données projet'!$B$14,Paramètres!$A$1:$I$89,3,0)*VLOOKUP('Données projet'!$B$14,Paramètres!$A$1:$I$89,5,0)</f>
        <v>4.0350814731667564</v>
      </c>
      <c r="DQ11" s="14">
        <f t="shared" si="43"/>
        <v>1.5808227025391921</v>
      </c>
      <c r="DR11" s="22">
        <f t="shared" si="16"/>
        <v>9.7810331060211926</v>
      </c>
      <c r="DS11" s="60">
        <f t="shared" si="17"/>
        <v>303.11436643935451</v>
      </c>
      <c r="DT11" s="60">
        <f ca="1">AVERAGE(OFFSET($DS$3,0,0,'Données projet'!$E$14+1,1))-AVERAGE(OFFSET($H$3,0,0,'Données projet'!$E$14+1,1))</f>
        <v>303.73499739059076</v>
      </c>
      <c r="DU11" s="60">
        <f t="shared" si="44"/>
        <v>172.32171001882188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5.8890909090909096</v>
      </c>
      <c r="EJ11" s="13">
        <f>IF('Données projet'!$A$192&gt;35,EJ10+EI11-ER10,IF(A11&lt;'Données projet'!$A$192,$EG$205^A11,IF(A11='Données projet'!$A$192,'Données projet'!$B$192,EJ10+EI11-ER10)))</f>
        <v>5.8636933564201668</v>
      </c>
      <c r="EK11" s="18">
        <f>EJ11*VLOOKUP('Données projet'!$B$15,Paramètres!$A$1:$I$89,3,0)*VLOOKUP('Données projet'!$B$15,Paramètres!$A$1:$I$89,5,0)</f>
        <v>3.5064886271392601</v>
      </c>
      <c r="EL11" s="14">
        <f t="shared" si="45"/>
        <v>1.3963726956545126</v>
      </c>
      <c r="EM11" s="22">
        <f t="shared" si="19"/>
        <v>8.5391501371991527</v>
      </c>
      <c r="EN11" s="60">
        <f t="shared" si="20"/>
        <v>301.87248347053247</v>
      </c>
      <c r="EO11" s="60">
        <f ca="1">AVERAGE(OFFSET($EN$3,0,0,'Données projet'!$E$15+1,1))-AVERAGE(OFFSET($H$3,0,0,'Données projet'!$E$15+1,1))</f>
        <v>269.94948820700841</v>
      </c>
      <c r="EP11" s="60">
        <f t="shared" si="46"/>
        <v>183.45158355135192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3.78125</v>
      </c>
      <c r="FE11" s="13">
        <f>IF('Données projet'!$A$218&gt;35,FE10+FD11-FM10,IF(A11&lt;'Données projet'!$A$218,$FB$205^A11,IF(A11='Données projet'!$A$218,'Données projet'!$B$218,FE10+FD11-FM10)))</f>
        <v>3.3166247903553985</v>
      </c>
      <c r="FF11" s="18">
        <f>FE11*VLOOKUP('Données projet'!$B$16,Paramètres!$A$1:$I$89,3,0)*VLOOKUP('Données projet'!$B$16,Paramètres!$A$1:$I$89,5,0)</f>
        <v>1.9833416246325284</v>
      </c>
      <c r="FG11" s="14">
        <f t="shared" si="47"/>
        <v>0.84398070772301459</v>
      </c>
      <c r="FH11" s="22">
        <f t="shared" si="22"/>
        <v>4.9242530621859038</v>
      </c>
      <c r="FI11" s="60">
        <f t="shared" si="23"/>
        <v>298.25758639551924</v>
      </c>
      <c r="FJ11" s="60">
        <f ca="1">AVERAGE(OFFSET($FI$3,0,0,'Données projet'!$E$16+1,1))-AVERAGE(OFFSET($H$3,0,0,'Données projet'!$E$16+1,1))</f>
        <v>111.24788725253484</v>
      </c>
      <c r="FK11" s="60">
        <f t="shared" si="48"/>
        <v>82.434879813357327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projet'!$B$16,Paramètres!$A$1:$I$89,3,0)*0.475*44/12</f>
        <v>0</v>
      </c>
      <c r="FR11" s="23">
        <f>EXP(-LN(2)/25)*FR10+(1-EXP(-LN(2)/25))/(LN(2)/25)*Calculateur!FM11*Calculateur!FO11*VLOOKUP('Données projet'!$B$16,Paramètres!$A$1:$I$89,3,0)*0.475*44/12</f>
        <v>0</v>
      </c>
      <c r="FS11" s="23">
        <f>EXP(-LN(2)/2)*FS10+(1-EXP(-LN(2)/2))/(LN(2)/2)*FM11*FP11*VLOOKUP('Données projet'!$B$16,Paramètres!$A$1:$I$89,3,0)*0.475*44/12</f>
        <v>0</v>
      </c>
      <c r="FT11" s="24">
        <f t="shared" si="24"/>
        <v>0</v>
      </c>
      <c r="FU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4.3888888888888893</v>
      </c>
      <c r="FZ11" s="13">
        <f>IF('Données projet'!$A$244&gt;35,FZ10+FY11-GH10,IF(A11&lt;'Données projet'!$A$244,$FW$205^A11,IF(A11='Données projet'!$A$244,'Données projet'!$B$244,FZ10+FY11-GH10)))</f>
        <v>6.9725207975982242</v>
      </c>
      <c r="GA11" s="18">
        <f>FZ11*VLOOKUP('Données projet'!$B$17,Paramètres!$A$1:$I$89,3,0)*VLOOKUP('Données projet'!$B$17,Paramètres!$A$1:$I$89,5,0)</f>
        <v>3.0818541925384157</v>
      </c>
      <c r="GB11" s="14">
        <f t="shared" si="49"/>
        <v>1.2458519192259123</v>
      </c>
      <c r="GC11" s="22">
        <f t="shared" si="25"/>
        <v>7.5374214779895388</v>
      </c>
      <c r="GD11" s="60">
        <f t="shared" si="26"/>
        <v>300.87075481132285</v>
      </c>
      <c r="GE11" s="60">
        <f ca="1">AVERAGE(OFFSET($GD$3,0,0,'Données projet'!$E$17+1,1))-AVERAGE(OFFSET($H$3,0,0,'Données projet'!$E$17+1,1))</f>
        <v>323.56667371063662</v>
      </c>
      <c r="GF11" s="60">
        <f t="shared" si="50"/>
        <v>275.70373467723385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>
        <f>EXP(-LN(2)/35)*GL10+(1-EXP(-LN(2)/35))/(LN(2)/35)*GH11*GI11*VLOOKUP('Données projet'!$B$17,Paramètres!$A$1:$I$89,3,0)*0.475*44/12</f>
        <v>0</v>
      </c>
      <c r="GM11" s="23">
        <f>EXP(-LN(2)/25)*GM10+(1-EXP(-LN(2)/25))/(LN(2)/25)*Calculateur!GH11*Calculateur!GJ11*VLOOKUP('Données projet'!$B$17,Paramètres!$A$1:$I$89,3,0)*0.475*44/12</f>
        <v>0</v>
      </c>
      <c r="GN11" s="23">
        <f>EXP(-LN(2)/2)*GN10+(1-EXP(-LN(2)/2))/(LN(2)/2)*GH11*GK11*VLOOKUP('Données projet'!$B$17,Paramètres!$A$1:$I$89,3,0)*0.475*44/12</f>
        <v>0</v>
      </c>
      <c r="GO11" s="23">
        <f t="shared" si="27"/>
        <v>0</v>
      </c>
      <c r="GP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0" t="e">
        <f t="shared" si="29"/>
        <v>#N/A</v>
      </c>
      <c r="GZ11" s="60" t="e">
        <f ca="1">AVERAGE(OFFSET($GY$3,0,0,'Données projet'!$E$18+1,1))-AVERAGE(OFFSET($H$3,0,0,'Données projet'!$E$18+1,1))</f>
        <v>#N/A</v>
      </c>
      <c r="HA11" s="60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4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2">
        <f t="shared" si="32"/>
        <v>1.8814997515338503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7.1952941176470588</v>
      </c>
      <c r="N12" s="14">
        <f>IF('Données projet'!$A$36&gt;35,N11+M12-V11,IF(A12&lt;'Données projet'!$A$36,$K$205^A12,IF(A12='Données projet'!$A$36,'Données projet'!$B$36,N11+M12-V11)))</f>
        <v>12.739304566466691</v>
      </c>
      <c r="O12" s="14">
        <f>N12*VLOOKUP('Données projet'!$B$9,Paramètres!$A$1:$I$89,3,0)*VLOOKUP('Données projet'!$B$9,Paramètres!$A$1:$I$89,5,0)</f>
        <v>7.6181041307470823</v>
      </c>
      <c r="P12" s="14">
        <f t="shared" si="33"/>
        <v>2.7717368121157255</v>
      </c>
      <c r="Q12" s="22">
        <f t="shared" si="2"/>
        <v>18.095639642152722</v>
      </c>
      <c r="R12" s="60">
        <f t="shared" si="0"/>
        <v>311.42897297548603</v>
      </c>
      <c r="S12" s="60">
        <f ca="1">AVERAGE(OFFSET($R$3,0,0,'Données projet'!$E$9+1,1))-AVERAGE(OFFSET($H$3,0,0,'Données projet'!$E$9+1,1))</f>
        <v>235.63766249714581</v>
      </c>
      <c r="T12" s="60">
        <f t="shared" si="34"/>
        <v>231.3297293785277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2.1</v>
      </c>
      <c r="AI12" s="14">
        <f>IF('Données projet'!$A$62&gt;35,AI11+AH12-AQ11,IF(A12&lt;'Données projet'!$A$62,$AF$205^A12,IF(A12='Données projet'!$A$62,'Données projet'!$B$62,AI11+AH12-AQ11)))</f>
        <v>5.3760361537574148</v>
      </c>
      <c r="AJ12" s="14">
        <f>AI12*VLOOKUP('Données projet'!$B$10,Paramètres!$A$1:$I$89,3,0)*VLOOKUP('Données projet'!$B$10,Paramètres!$A$1:$I$89,5,0)</f>
        <v>5.4513006599100189</v>
      </c>
      <c r="AK12" s="14">
        <f t="shared" si="35"/>
        <v>2.062165822468125</v>
      </c>
      <c r="AL12" s="22">
        <f t="shared" si="4"/>
        <v>13.085954123475267</v>
      </c>
      <c r="AM12" s="60">
        <f t="shared" si="5"/>
        <v>306.4192874568086</v>
      </c>
      <c r="AN12" s="60">
        <f ca="1">AVERAGE(OFFSET($AM$3,0,0,'Données projet'!$E$10+1,1))-AVERAGE(OFFSET($H$3,0,0,'Données projet'!$E$10+1,1))</f>
        <v>350.3652766444938</v>
      </c>
      <c r="AO12" s="60">
        <f t="shared" si="36"/>
        <v>197.04549436738586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6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2.1</v>
      </c>
      <c r="BD12" s="13">
        <f>IF('Données projet'!$A$88&gt;35,BD11+BC12-BL11,IF(A12&lt;'Données projet'!$A$88,$BA$205^A12,IF(A12='Données projet'!$A$88,'Données projet'!$B$88,BD11+BC12-BL11)))</f>
        <v>5.3760361537574148</v>
      </c>
      <c r="BE12" s="14">
        <f>BD12*VLOOKUP('Données projet'!$B$11,Paramètres!$A$1:$I$89,3,0)*VLOOKUP('Données projet'!$B$11,Paramètres!$A$1:$I$89,5,0)</f>
        <v>5.1997021679141717</v>
      </c>
      <c r="BF12" s="14">
        <f t="shared" si="37"/>
        <v>1.977837649208241</v>
      </c>
      <c r="BG12" s="22">
        <f t="shared" si="7"/>
        <v>12.500881848154869</v>
      </c>
      <c r="BH12" s="60">
        <f t="shared" si="8"/>
        <v>305.83421518148816</v>
      </c>
      <c r="BI12" s="60">
        <f ca="1">AVERAGE(OFFSET($BH$3,0,0,'Données projet'!$E$11+1,1))-AVERAGE(OFFSET($H$3,0,0,'Données projet'!$E$11+1,1))</f>
        <v>330.39429528665841</v>
      </c>
      <c r="BJ12" s="60">
        <f t="shared" si="38"/>
        <v>186.45728006007261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3.3333333333333335</v>
      </c>
      <c r="BY12" s="13">
        <f>IF('Données projet'!$A$114&gt;35,BY11+BX12-CG11,IF(A12&lt;'Données projet'!$A$114,$BV$205^A12,IF(A12='Données projet'!$A$114,'Données projet'!$B$114,BY11+BX12-CG11)))</f>
        <v>10.456395525912733</v>
      </c>
      <c r="BZ12" s="14">
        <f>BY12*VLOOKUP('Données projet'!$B$12,Paramètres!$A$1:$I$89,3,0)*VLOOKUP('Données projet'!$B$12,Paramètres!$A$1:$I$89,5,0)</f>
        <v>7.0141501187822621</v>
      </c>
      <c r="CA12" s="14">
        <f t="shared" si="39"/>
        <v>2.5766511556462244</v>
      </c>
      <c r="CB12" s="22">
        <f t="shared" si="10"/>
        <v>16.70397888629628</v>
      </c>
      <c r="CC12" s="60">
        <f t="shared" si="11"/>
        <v>310.0373122196296</v>
      </c>
      <c r="CD12" s="60">
        <f ca="1">AVERAGE(OFFSET($CC$3,0,0,'Données projet'!$E$12+1,1))-AVERAGE(OFFSET($H$3,0,0,'Données projet'!$E$12+1,1))</f>
        <v>212.33913923444732</v>
      </c>
      <c r="CE12" s="60">
        <f t="shared" si="40"/>
        <v>183.51194426094372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5.2</v>
      </c>
      <c r="CT12" s="13">
        <f>IF('Données projet'!$A$140&gt;35,CT11+CS12-DB11,IF(A12&lt;'Données projet'!$A$140,$CQ$205^A12,IF(A12='Données projet'!$A$140,'Données projet'!$B$140,CT11+CS12-DB11)))</f>
        <v>8.084720357497293</v>
      </c>
      <c r="CU12" s="18">
        <f>CT12*VLOOKUP('Données projet'!$B$13,Paramètres!$A$1:$I$89,3,0)*VLOOKUP('Données projet'!$B$13,Paramètres!$A$1:$I$89,5,0)</f>
        <v>7.0628117043096363</v>
      </c>
      <c r="CV12" s="14">
        <f t="shared" si="41"/>
        <v>2.5924398999517377</v>
      </c>
      <c r="CW12" s="22">
        <f t="shared" si="13"/>
        <v>16.81622987742189</v>
      </c>
      <c r="CX12" s="60">
        <f t="shared" si="14"/>
        <v>310.14956321075522</v>
      </c>
      <c r="CY12" s="60">
        <f ca="1">AVERAGE(OFFSET($CX$3,0,0,'Données projet'!$E$13+1,1))-AVERAGE(OFFSET($H$3,0,0,'Données projet'!$E$13+1,1))</f>
        <v>228.0393346366489</v>
      </c>
      <c r="CZ12" s="60">
        <f t="shared" si="42"/>
        <v>238.591781509447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2.1</v>
      </c>
      <c r="DO12" s="13">
        <f>IF('Données projet'!$A$166&gt;35,DO11+DN12-DW11,IF(A12&lt;'Données projet'!$A$166,$DL$205^A12,IF(A12='Données projet'!$A$166,'Données projet'!$B$166,DO11+DN12-DW11)))</f>
        <v>5.3760361537574148</v>
      </c>
      <c r="DP12" s="18">
        <f>DO12*VLOOKUP('Données projet'!$B$14,Paramètres!$A$1:$I$89,3,0)*VLOOKUP('Données projet'!$B$14,Paramètres!$A$1:$I$89,5,0)</f>
        <v>4.8642375119197085</v>
      </c>
      <c r="DQ12" s="14">
        <f t="shared" si="43"/>
        <v>1.8646542609995393</v>
      </c>
      <c r="DR12" s="22">
        <f t="shared" si="16"/>
        <v>11.719486504501022</v>
      </c>
      <c r="DS12" s="60">
        <f t="shared" si="17"/>
        <v>305.05281983783436</v>
      </c>
      <c r="DT12" s="60">
        <f ca="1">AVERAGE(OFFSET($DS$3,0,0,'Données projet'!$E$14+1,1))-AVERAGE(OFFSET($H$3,0,0,'Données projet'!$E$14+1,1))</f>
        <v>303.73499739059076</v>
      </c>
      <c r="DU12" s="60">
        <f t="shared" si="44"/>
        <v>172.32171001882188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5.8890909090909096</v>
      </c>
      <c r="EJ12" s="13">
        <f>IF('Données projet'!$A$192&gt;35,EJ11+EI12-ER11,IF(A12&lt;'Données projet'!$A$192,$EG$205^A12,IF(A12='Données projet'!$A$192,'Données projet'!$B$192,EJ11+EI12-ER11)))</f>
        <v>7.3146349541476745</v>
      </c>
      <c r="EK12" s="18">
        <f>EJ12*VLOOKUP('Données projet'!$B$15,Paramètres!$A$1:$I$89,3,0)*VLOOKUP('Données projet'!$B$15,Paramètres!$A$1:$I$89,5,0)</f>
        <v>4.3741517025803098</v>
      </c>
      <c r="EL12" s="14">
        <f t="shared" si="45"/>
        <v>1.6976410288053578</v>
      </c>
      <c r="EM12" s="22">
        <f t="shared" si="19"/>
        <v>10.575039007163371</v>
      </c>
      <c r="EN12" s="60">
        <f t="shared" si="20"/>
        <v>303.90837234049667</v>
      </c>
      <c r="EO12" s="60">
        <f ca="1">AVERAGE(OFFSET($EN$3,0,0,'Données projet'!$E$15+1,1))-AVERAGE(OFFSET($H$3,0,0,'Données projet'!$E$15+1,1))</f>
        <v>269.94948820700841</v>
      </c>
      <c r="EP12" s="60">
        <f t="shared" si="46"/>
        <v>183.45158355135192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3.78125</v>
      </c>
      <c r="FE12" s="13">
        <f>IF('Données projet'!$A$218&gt;35,FE11+FD12-FM11,IF(A12&lt;'Données projet'!$A$218,$FB$205^A12,IF(A12='Données projet'!$A$218,'Données projet'!$B$218,FE11+FD12-FM11)))</f>
        <v>3.8528613919936112</v>
      </c>
      <c r="FF12" s="18">
        <f>FE12*VLOOKUP('Données projet'!$B$16,Paramètres!$A$1:$I$89,3,0)*VLOOKUP('Données projet'!$B$16,Paramètres!$A$1:$I$89,5,0)</f>
        <v>2.3040111124121796</v>
      </c>
      <c r="FG12" s="14">
        <f t="shared" si="47"/>
        <v>0.96348161155876633</v>
      </c>
      <c r="FH12" s="22">
        <f t="shared" si="22"/>
        <v>5.6908831609160648</v>
      </c>
      <c r="FI12" s="60">
        <f t="shared" si="23"/>
        <v>299.0242164942494</v>
      </c>
      <c r="FJ12" s="60">
        <f ca="1">AVERAGE(OFFSET($FI$3,0,0,'Données projet'!$E$16+1,1))-AVERAGE(OFFSET($H$3,0,0,'Données projet'!$E$16+1,1))</f>
        <v>111.24788725253484</v>
      </c>
      <c r="FK12" s="60">
        <f t="shared" si="48"/>
        <v>82.434879813357327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projet'!$B$16,Paramètres!$A$1:$I$89,3,0)*0.475*44/12</f>
        <v>0</v>
      </c>
      <c r="FR12" s="23">
        <f>EXP(-LN(2)/25)*FR11+(1-EXP(-LN(2)/25))/(LN(2)/25)*Calculateur!FM12*Calculateur!FO12*VLOOKUP('Données projet'!$B$16,Paramètres!$A$1:$I$89,3,0)*0.475*44/12</f>
        <v>0</v>
      </c>
      <c r="FS12" s="23">
        <f>EXP(-LN(2)/2)*FS11+(1-EXP(-LN(2)/2))/(LN(2)/2)*FM12*FP12*VLOOKUP('Données projet'!$B$16,Paramètres!$A$1:$I$89,3,0)*0.475*44/12</f>
        <v>0</v>
      </c>
      <c r="FT12" s="24">
        <f t="shared" si="24"/>
        <v>0</v>
      </c>
      <c r="FU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4.3888888888888893</v>
      </c>
      <c r="FZ12" s="13">
        <f>IF('Données projet'!$A$244&gt;35,FZ11+FY12-GH11,IF(A12&lt;'Données projet'!$A$244,$FW$205^A12,IF(A12='Données projet'!$A$244,'Données projet'!$B$244,FZ11+FY12-GH11)))</f>
        <v>8.8881944173155869</v>
      </c>
      <c r="GA12" s="18">
        <f>FZ12*VLOOKUP('Données projet'!$B$17,Paramètres!$A$1:$I$89,3,0)*VLOOKUP('Données projet'!$B$17,Paramètres!$A$1:$I$89,5,0)</f>
        <v>3.9285819324534894</v>
      </c>
      <c r="GB12" s="14">
        <f t="shared" si="49"/>
        <v>1.543898804789388</v>
      </c>
      <c r="GC12" s="22">
        <f t="shared" si="25"/>
        <v>9.5312372840313433</v>
      </c>
      <c r="GD12" s="60">
        <f t="shared" si="26"/>
        <v>302.86457061736468</v>
      </c>
      <c r="GE12" s="60">
        <f ca="1">AVERAGE(OFFSET($GD$3,0,0,'Données projet'!$E$17+1,1))-AVERAGE(OFFSET($H$3,0,0,'Données projet'!$E$17+1,1))</f>
        <v>323.56667371063662</v>
      </c>
      <c r="GF12" s="60">
        <f t="shared" si="50"/>
        <v>275.70373467723385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>
        <f>EXP(-LN(2)/35)*GL11+(1-EXP(-LN(2)/35))/(LN(2)/35)*GH12*GI12*VLOOKUP('Données projet'!$B$17,Paramètres!$A$1:$I$89,3,0)*0.475*44/12</f>
        <v>0</v>
      </c>
      <c r="GM12" s="23">
        <f>EXP(-LN(2)/25)*GM11+(1-EXP(-LN(2)/25))/(LN(2)/25)*Calculateur!GH12*Calculateur!GJ12*VLOOKUP('Données projet'!$B$17,Paramètres!$A$1:$I$89,3,0)*0.475*44/12</f>
        <v>0</v>
      </c>
      <c r="GN12" s="23">
        <f>EXP(-LN(2)/2)*GN11+(1-EXP(-LN(2)/2))/(LN(2)/2)*GH12*GK12*VLOOKUP('Données projet'!$B$17,Paramètres!$A$1:$I$89,3,0)*0.475*44/12</f>
        <v>0</v>
      </c>
      <c r="GO12" s="23">
        <f t="shared" si="27"/>
        <v>0</v>
      </c>
      <c r="GP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0" t="e">
        <f t="shared" si="29"/>
        <v>#N/A</v>
      </c>
      <c r="GZ12" s="60" t="e">
        <f ca="1">AVERAGE(OFFSET($GY$3,0,0,'Données projet'!$E$18+1,1))-AVERAGE(OFFSET($H$3,0,0,'Données projet'!$E$18+1,1))</f>
        <v>#N/A</v>
      </c>
      <c r="HA12" s="60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4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2">
        <f t="shared" si="32"/>
        <v>2.0650733588092973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7.1952941176470588</v>
      </c>
      <c r="N13" s="14">
        <f>IF('Données projet'!$A$36&gt;35,N12+M13-V12,IF(A13&lt;'Données projet'!$A$36,$K$205^A13,IF(A13='Données projet'!$A$36,'Données projet'!$B$36,N12+M13-V12)))</f>
        <v>16.902061968939393</v>
      </c>
      <c r="O13" s="14">
        <f>N13*VLOOKUP('Données projet'!$B$9,Paramètres!$A$1:$I$89,3,0)*VLOOKUP('Données projet'!$B$9,Paramètres!$A$1:$I$89,5,0)</f>
        <v>10.107433057425759</v>
      </c>
      <c r="P13" s="14">
        <f t="shared" si="33"/>
        <v>3.5583834102125023</v>
      </c>
      <c r="Q13" s="22">
        <f t="shared" si="2"/>
        <v>23.80129701446997</v>
      </c>
      <c r="R13" s="60">
        <f t="shared" si="0"/>
        <v>317.1346303478033</v>
      </c>
      <c r="S13" s="60">
        <f ca="1">AVERAGE(OFFSET($R$3,0,0,'Données projet'!$E$9+1,1))-AVERAGE(OFFSET($H$3,0,0,'Données projet'!$E$9+1,1))</f>
        <v>235.63766249714581</v>
      </c>
      <c r="T13" s="60">
        <f t="shared" si="34"/>
        <v>231.3297293785277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2.1</v>
      </c>
      <c r="AI13" s="14">
        <f>IF('Données projet'!$A$62&gt;35,AI12+AH13-AQ12,IF(A13&lt;'Données projet'!$A$62,$AF$205^A13,IF(A13='Données projet'!$A$62,'Données projet'!$B$62,AI12+AH13-AQ12)))</f>
        <v>6.4807406984078657</v>
      </c>
      <c r="AJ13" s="14">
        <f>AI13*VLOOKUP('Données projet'!$B$10,Paramètres!$A$1:$I$89,3,0)*VLOOKUP('Données projet'!$B$10,Paramètres!$A$1:$I$89,5,0)</f>
        <v>6.5714710681855761</v>
      </c>
      <c r="AK13" s="14">
        <f t="shared" si="35"/>
        <v>2.4324209676242781</v>
      </c>
      <c r="AL13" s="22">
        <f t="shared" si="4"/>
        <v>15.681778629035497</v>
      </c>
      <c r="AM13" s="60">
        <f t="shared" si="5"/>
        <v>309.01511196236879</v>
      </c>
      <c r="AN13" s="60">
        <f ca="1">AVERAGE(OFFSET($AM$3,0,0,'Données projet'!$E$10+1,1))-AVERAGE(OFFSET($H$3,0,0,'Données projet'!$E$10+1,1))</f>
        <v>350.3652766444938</v>
      </c>
      <c r="AO13" s="60">
        <f t="shared" si="36"/>
        <v>197.04549436738586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6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2.1</v>
      </c>
      <c r="BD13" s="13">
        <f>IF('Données projet'!$A$88&gt;35,BD12+BC13-BL12,IF(A13&lt;'Données projet'!$A$88,$BA$205^A13,IF(A13='Données projet'!$A$88,'Données projet'!$B$88,BD12+BC13-BL12)))</f>
        <v>6.4807406984078657</v>
      </c>
      <c r="BE13" s="14">
        <f>BD13*VLOOKUP('Données projet'!$B$11,Paramètres!$A$1:$I$89,3,0)*VLOOKUP('Données projet'!$B$11,Paramètres!$A$1:$I$89,5,0)</f>
        <v>6.2681724035000874</v>
      </c>
      <c r="BF13" s="14">
        <f t="shared" si="37"/>
        <v>2.3329519459947301</v>
      </c>
      <c r="BG13" s="22">
        <f t="shared" si="7"/>
        <v>14.98029157537014</v>
      </c>
      <c r="BH13" s="60">
        <f t="shared" si="8"/>
        <v>308.31362490870345</v>
      </c>
      <c r="BI13" s="60">
        <f ca="1">AVERAGE(OFFSET($BH$3,0,0,'Données projet'!$E$11+1,1))-AVERAGE(OFFSET($H$3,0,0,'Données projet'!$E$11+1,1))</f>
        <v>330.39429528665841</v>
      </c>
      <c r="BJ13" s="60">
        <f t="shared" si="38"/>
        <v>186.45728006007261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3.3333333333333335</v>
      </c>
      <c r="BY13" s="13">
        <f>IF('Données projet'!$A$114&gt;35,BY12+BX13-CG12,IF(A13&lt;'Données projet'!$A$114,$BV$205^A13,IF(A13='Données projet'!$A$114,'Données projet'!$B$114,BY12+BX13-CG12)))</f>
        <v>13.572088082974533</v>
      </c>
      <c r="BZ13" s="14">
        <f>BY13*VLOOKUP('Données projet'!$B$12,Paramètres!$A$1:$I$89,3,0)*VLOOKUP('Données projet'!$B$12,Paramètres!$A$1:$I$89,5,0)</f>
        <v>9.1041566860593175</v>
      </c>
      <c r="CA13" s="14">
        <f t="shared" si="39"/>
        <v>3.2444141328681457</v>
      </c>
      <c r="CB13" s="22">
        <f t="shared" si="10"/>
        <v>21.507094176298665</v>
      </c>
      <c r="CC13" s="60">
        <f t="shared" si="11"/>
        <v>314.84042750963198</v>
      </c>
      <c r="CD13" s="60">
        <f ca="1">AVERAGE(OFFSET($CC$3,0,0,'Données projet'!$E$12+1,1))-AVERAGE(OFFSET($H$3,0,0,'Données projet'!$E$12+1,1))</f>
        <v>212.33913923444732</v>
      </c>
      <c r="CE13" s="60">
        <f t="shared" si="40"/>
        <v>183.51194426094372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5.2</v>
      </c>
      <c r="CT13" s="13">
        <f>IF('Données projet'!$A$140&gt;35,CT12+CS13-DB12,IF(A13&lt;'Données projet'!$A$140,$CQ$205^A13,IF(A13='Données projet'!$A$140,'Données projet'!$B$140,CT12+CS13-DB12)))</f>
        <v>10.198039027185574</v>
      </c>
      <c r="CU13" s="18">
        <f>CT13*VLOOKUP('Données projet'!$B$13,Paramètres!$A$1:$I$89,3,0)*VLOOKUP('Données projet'!$B$13,Paramètres!$A$1:$I$89,5,0)</f>
        <v>8.9090068941493197</v>
      </c>
      <c r="CV13" s="14">
        <f t="shared" si="41"/>
        <v>3.1828870698057665</v>
      </c>
      <c r="CW13" s="22">
        <f t="shared" si="13"/>
        <v>21.060048653888444</v>
      </c>
      <c r="CX13" s="60">
        <f t="shared" si="14"/>
        <v>314.39338198722174</v>
      </c>
      <c r="CY13" s="60">
        <f ca="1">AVERAGE(OFFSET($CX$3,0,0,'Données projet'!$E$13+1,1))-AVERAGE(OFFSET($H$3,0,0,'Données projet'!$E$13+1,1))</f>
        <v>228.0393346366489</v>
      </c>
      <c r="CZ13" s="60">
        <f t="shared" si="42"/>
        <v>238.591781509447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2.1</v>
      </c>
      <c r="DO13" s="13">
        <f>IF('Données projet'!$A$166&gt;35,DO12+DN13-DW12,IF(A13&lt;'Données projet'!$A$166,$DL$205^A13,IF(A13='Données projet'!$A$166,'Données projet'!$B$166,DO12+DN13-DW12)))</f>
        <v>6.4807406984078657</v>
      </c>
      <c r="DP13" s="18">
        <f>DO13*VLOOKUP('Données projet'!$B$14,Paramètres!$A$1:$I$89,3,0)*VLOOKUP('Données projet'!$B$14,Paramètres!$A$1:$I$89,5,0)</f>
        <v>5.8637741839194364</v>
      </c>
      <c r="DQ13" s="14">
        <f t="shared" si="43"/>
        <v>2.1994468497187687</v>
      </c>
      <c r="DR13" s="22">
        <f t="shared" si="16"/>
        <v>14.043443300253207</v>
      </c>
      <c r="DS13" s="60">
        <f t="shared" si="17"/>
        <v>307.37677663358653</v>
      </c>
      <c r="DT13" s="60">
        <f ca="1">AVERAGE(OFFSET($DS$3,0,0,'Données projet'!$E$14+1,1))-AVERAGE(OFFSET($H$3,0,0,'Données projet'!$E$14+1,1))</f>
        <v>303.73499739059076</v>
      </c>
      <c r="DU13" s="60">
        <f t="shared" si="44"/>
        <v>172.32171001882188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5.8890909090909096</v>
      </c>
      <c r="EJ13" s="13">
        <f>IF('Données projet'!$A$192&gt;35,EJ12+EI13-ER12,IF(A13&lt;'Données projet'!$A$192,$EG$205^A13,IF(A13='Données projet'!$A$192,'Données projet'!$B$192,EJ12+EI13-ER12)))</f>
        <v>9.1246047943242932</v>
      </c>
      <c r="EK13" s="18">
        <f>EJ13*VLOOKUP('Données projet'!$B$15,Paramètres!$A$1:$I$89,3,0)*VLOOKUP('Données projet'!$B$15,Paramètres!$A$1:$I$89,5,0)</f>
        <v>5.456513667005928</v>
      </c>
      <c r="EL13" s="14">
        <f t="shared" si="45"/>
        <v>2.0639082042007839</v>
      </c>
      <c r="EM13" s="22">
        <f t="shared" si="19"/>
        <v>13.098068092351689</v>
      </c>
      <c r="EN13" s="60">
        <f t="shared" si="20"/>
        <v>306.43140142568501</v>
      </c>
      <c r="EO13" s="60">
        <f ca="1">AVERAGE(OFFSET($EN$3,0,0,'Données projet'!$E$15+1,1))-AVERAGE(OFFSET($H$3,0,0,'Données projet'!$E$15+1,1))</f>
        <v>269.94948820700841</v>
      </c>
      <c r="EP13" s="60">
        <f t="shared" si="46"/>
        <v>183.45158355135192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3.78125</v>
      </c>
      <c r="FE13" s="13">
        <f>IF('Données projet'!$A$218&gt;35,FE12+FD13-FM12,IF(A13&lt;'Données projet'!$A$218,$FB$205^A13,IF(A13='Données projet'!$A$218,'Données projet'!$B$218,FE12+FD13-FM12)))</f>
        <v>4.4757974881820299</v>
      </c>
      <c r="FF13" s="18">
        <f>FE13*VLOOKUP('Données projet'!$B$16,Paramètres!$A$1:$I$89,3,0)*VLOOKUP('Données projet'!$B$16,Paramètres!$A$1:$I$89,5,0)</f>
        <v>2.6765268979328538</v>
      </c>
      <c r="FG13" s="14">
        <f t="shared" si="47"/>
        <v>1.0999028855959752</v>
      </c>
      <c r="FH13" s="22">
        <f t="shared" si="22"/>
        <v>6.5772818729793769</v>
      </c>
      <c r="FI13" s="60">
        <f t="shared" si="23"/>
        <v>299.91061520631268</v>
      </c>
      <c r="FJ13" s="60">
        <f ca="1">AVERAGE(OFFSET($FI$3,0,0,'Données projet'!$E$16+1,1))-AVERAGE(OFFSET($H$3,0,0,'Données projet'!$E$16+1,1))</f>
        <v>111.24788725253484</v>
      </c>
      <c r="FK13" s="60">
        <f t="shared" si="48"/>
        <v>82.434879813357327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projet'!$B$16,Paramètres!$A$1:$I$89,3,0)*0.475*44/12</f>
        <v>0</v>
      </c>
      <c r="FR13" s="23">
        <f>EXP(-LN(2)/25)*FR12+(1-EXP(-LN(2)/25))/(LN(2)/25)*Calculateur!FM13*Calculateur!FO13*VLOOKUP('Données projet'!$B$16,Paramètres!$A$1:$I$89,3,0)*0.475*44/12</f>
        <v>0</v>
      </c>
      <c r="FS13" s="23">
        <f>EXP(-LN(2)/2)*FS12+(1-EXP(-LN(2)/2))/(LN(2)/2)*FM13*FP13*VLOOKUP('Données projet'!$B$16,Paramètres!$A$1:$I$89,3,0)*0.475*44/12</f>
        <v>0</v>
      </c>
      <c r="FT13" s="24">
        <f t="shared" si="24"/>
        <v>0</v>
      </c>
      <c r="FU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4.3888888888888893</v>
      </c>
      <c r="FZ13" s="13">
        <f>IF('Données projet'!$A$244&gt;35,FZ12+FY13-GH12,IF(A13&lt;'Données projet'!$A$244,$FW$205^A13,IF(A13='Données projet'!$A$244,'Données projet'!$B$244,FZ12+FY13-GH12)))</f>
        <v>11.33019209167688</v>
      </c>
      <c r="GA13" s="18">
        <f>FZ13*VLOOKUP('Données projet'!$B$17,Paramètres!$A$1:$I$89,3,0)*VLOOKUP('Données projet'!$B$17,Paramètres!$A$1:$I$89,5,0)</f>
        <v>5.0079449045211817</v>
      </c>
      <c r="GB13" s="14">
        <f t="shared" si="49"/>
        <v>1.9132478608783006</v>
      </c>
      <c r="GC13" s="22">
        <f t="shared" si="25"/>
        <v>12.054410733070766</v>
      </c>
      <c r="GD13" s="60">
        <f t="shared" si="26"/>
        <v>305.38774406640408</v>
      </c>
      <c r="GE13" s="60">
        <f ca="1">AVERAGE(OFFSET($GD$3,0,0,'Données projet'!$E$17+1,1))-AVERAGE(OFFSET($H$3,0,0,'Données projet'!$E$17+1,1))</f>
        <v>323.56667371063662</v>
      </c>
      <c r="GF13" s="60">
        <f t="shared" si="50"/>
        <v>275.70373467723385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>
        <f>EXP(-LN(2)/35)*GL12+(1-EXP(-LN(2)/35))/(LN(2)/35)*GH13*GI13*VLOOKUP('Données projet'!$B$17,Paramètres!$A$1:$I$89,3,0)*0.475*44/12</f>
        <v>0</v>
      </c>
      <c r="GM13" s="23">
        <f>EXP(-LN(2)/25)*GM12+(1-EXP(-LN(2)/25))/(LN(2)/25)*Calculateur!GH13*Calculateur!GJ13*VLOOKUP('Données projet'!$B$17,Paramètres!$A$1:$I$89,3,0)*0.475*44/12</f>
        <v>0</v>
      </c>
      <c r="GN13" s="23">
        <f>EXP(-LN(2)/2)*GN12+(1-EXP(-LN(2)/2))/(LN(2)/2)*GH13*GK13*VLOOKUP('Données projet'!$B$17,Paramètres!$A$1:$I$89,3,0)*0.475*44/12</f>
        <v>0</v>
      </c>
      <c r="GO13" s="23">
        <f t="shared" si="27"/>
        <v>0</v>
      </c>
      <c r="GP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0" t="e">
        <f t="shared" si="29"/>
        <v>#N/A</v>
      </c>
      <c r="GZ13" s="60" t="e">
        <f ca="1">AVERAGE(OFFSET($GY$3,0,0,'Données projet'!$E$18+1,1))-AVERAGE(OFFSET($H$3,0,0,'Données projet'!$E$18+1,1))</f>
        <v>#N/A</v>
      </c>
      <c r="HA13" s="60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4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2">
        <f t="shared" si="32"/>
        <v>2.2465188167092136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7.1952941176470588</v>
      </c>
      <c r="N14" s="14">
        <f>IF('Données projet'!$A$36&gt;35,N13+M14-V13,IF(A14&lt;'Données projet'!$A$36,$K$205^A14,IF(A14='Données projet'!$A$36,'Données projet'!$B$36,N13+M14-V13)))</f>
        <v>22.425062318853254</v>
      </c>
      <c r="O14" s="14">
        <f>N14*VLOOKUP('Données projet'!$B$9,Paramètres!$A$1:$I$89,3,0)*VLOOKUP('Données projet'!$B$9,Paramètres!$A$1:$I$89,5,0)</f>
        <v>13.410187266674248</v>
      </c>
      <c r="P14" s="14">
        <f t="shared" si="33"/>
        <v>4.5682881717800319</v>
      </c>
      <c r="Q14" s="22">
        <f t="shared" si="2"/>
        <v>31.312511388641202</v>
      </c>
      <c r="R14" s="60">
        <f t="shared" si="0"/>
        <v>324.64584472197453</v>
      </c>
      <c r="S14" s="60">
        <f ca="1">AVERAGE(OFFSET($R$3,0,0,'Données projet'!$E$9+1,1))-AVERAGE(OFFSET($H$3,0,0,'Données projet'!$E$9+1,1))</f>
        <v>235.63766249714581</v>
      </c>
      <c r="T14" s="60">
        <f t="shared" si="34"/>
        <v>231.3297293785277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2.1</v>
      </c>
      <c r="AI14" s="14">
        <f>IF('Données projet'!$A$62&gt;35,AI13+AH14-AQ13,IF(A14&lt;'Données projet'!$A$62,$AF$205^A14,IF(A14='Données projet'!$A$62,'Données projet'!$B$62,AI13+AH14-AQ13)))</f>
        <v>7.8124474610620815</v>
      </c>
      <c r="AJ14" s="14">
        <f>AI14*VLOOKUP('Données projet'!$B$10,Paramètres!$A$1:$I$89,3,0)*VLOOKUP('Données projet'!$B$10,Paramètres!$A$1:$I$89,5,0)</f>
        <v>7.921821725516951</v>
      </c>
      <c r="AK14" s="14">
        <f t="shared" si="35"/>
        <v>2.869154216054651</v>
      </c>
      <c r="AL14" s="22">
        <f t="shared" si="4"/>
        <v>18.794283098237205</v>
      </c>
      <c r="AM14" s="60">
        <f t="shared" si="5"/>
        <v>312.12761643157052</v>
      </c>
      <c r="AN14" s="60">
        <f ca="1">AVERAGE(OFFSET($AM$3,0,0,'Données projet'!$E$10+1,1))-AVERAGE(OFFSET($H$3,0,0,'Données projet'!$E$10+1,1))</f>
        <v>350.3652766444938</v>
      </c>
      <c r="AO14" s="60">
        <f t="shared" si="36"/>
        <v>197.04549436738586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6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2.1</v>
      </c>
      <c r="BD14" s="13">
        <f>IF('Données projet'!$A$88&gt;35,BD13+BC14-BL13,IF(A14&lt;'Données projet'!$A$88,$BA$205^A14,IF(A14='Données projet'!$A$88,'Données projet'!$B$88,BD13+BC14-BL13)))</f>
        <v>7.8124474610620815</v>
      </c>
      <c r="BE14" s="14">
        <f>BD14*VLOOKUP('Données projet'!$B$11,Paramètres!$A$1:$I$89,3,0)*VLOOKUP('Données projet'!$B$11,Paramètres!$A$1:$I$89,5,0)</f>
        <v>7.5561991843392455</v>
      </c>
      <c r="BF14" s="14">
        <f t="shared" si="37"/>
        <v>2.7518258561310041</v>
      </c>
      <c r="BG14" s="22">
        <f t="shared" si="7"/>
        <v>17.953143612152349</v>
      </c>
      <c r="BH14" s="60">
        <f t="shared" si="8"/>
        <v>311.28647694548567</v>
      </c>
      <c r="BI14" s="60">
        <f ca="1">AVERAGE(OFFSET($BH$3,0,0,'Données projet'!$E$11+1,1))-AVERAGE(OFFSET($H$3,0,0,'Données projet'!$E$11+1,1))</f>
        <v>330.39429528665841</v>
      </c>
      <c r="BJ14" s="60">
        <f t="shared" si="38"/>
        <v>186.45728006007261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3.3333333333333335</v>
      </c>
      <c r="BY14" s="13">
        <f>IF('Données projet'!$A$114&gt;35,BY13+BX14-CG13,IF(A14&lt;'Données projet'!$A$114,$BV$205^A14,IF(A14='Données projet'!$A$114,'Données projet'!$B$114,BY13+BX14-CG13)))</f>
        <v>17.616163665149852</v>
      </c>
      <c r="BZ14" s="14">
        <f>BY14*VLOOKUP('Données projet'!$B$12,Paramètres!$A$1:$I$89,3,0)*VLOOKUP('Données projet'!$B$12,Paramètres!$A$1:$I$89,5,0)</f>
        <v>11.816922586582521</v>
      </c>
      <c r="CA14" s="14">
        <f t="shared" si="39"/>
        <v>4.0852340614632361</v>
      </c>
      <c r="CB14" s="22">
        <f t="shared" si="10"/>
        <v>27.696256162013025</v>
      </c>
      <c r="CC14" s="60">
        <f t="shared" si="11"/>
        <v>321.02958949534633</v>
      </c>
      <c r="CD14" s="60">
        <f ca="1">AVERAGE(OFFSET($CC$3,0,0,'Données projet'!$E$12+1,1))-AVERAGE(OFFSET($H$3,0,0,'Données projet'!$E$12+1,1))</f>
        <v>212.33913923444732</v>
      </c>
      <c r="CE14" s="60">
        <f t="shared" si="40"/>
        <v>183.51194426094372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5.2</v>
      </c>
      <c r="CT14" s="13">
        <f>IF('Données projet'!$A$140&gt;35,CT13+CS14-DB13,IF(A14&lt;'Données projet'!$A$140,$CQ$205^A14,IF(A14='Données projet'!$A$140,'Données projet'!$B$140,CT13+CS14-DB13)))</f>
        <v>12.863772078839638</v>
      </c>
      <c r="CU14" s="18">
        <f>CT14*VLOOKUP('Données projet'!$B$13,Paramètres!$A$1:$I$89,3,0)*VLOOKUP('Données projet'!$B$13,Paramètres!$A$1:$I$89,5,0)</f>
        <v>11.237791288074309</v>
      </c>
      <c r="CV14" s="14">
        <f t="shared" si="41"/>
        <v>3.907812906029311</v>
      </c>
      <c r="CW14" s="22">
        <f t="shared" si="13"/>
        <v>26.378593971397137</v>
      </c>
      <c r="CX14" s="60">
        <f t="shared" si="14"/>
        <v>319.71192730473047</v>
      </c>
      <c r="CY14" s="60">
        <f ca="1">AVERAGE(OFFSET($CX$3,0,0,'Données projet'!$E$13+1,1))-AVERAGE(OFFSET($H$3,0,0,'Données projet'!$E$13+1,1))</f>
        <v>228.0393346366489</v>
      </c>
      <c r="CZ14" s="60">
        <f t="shared" si="42"/>
        <v>238.591781509447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2.1</v>
      </c>
      <c r="DO14" s="13">
        <f>IF('Données projet'!$A$166&gt;35,DO13+DN14-DW13,IF(A14&lt;'Données projet'!$A$166,$DL$205^A14,IF(A14='Données projet'!$A$166,'Données projet'!$B$166,DO13+DN14-DW13)))</f>
        <v>7.8124474610620815</v>
      </c>
      <c r="DP14" s="18">
        <f>DO14*VLOOKUP('Données projet'!$B$14,Paramètres!$A$1:$I$89,3,0)*VLOOKUP('Données projet'!$B$14,Paramètres!$A$1:$I$89,5,0)</f>
        <v>7.0687024627689707</v>
      </c>
      <c r="DQ14" s="14">
        <f t="shared" si="43"/>
        <v>2.5943503554083325</v>
      </c>
      <c r="DR14" s="22">
        <f t="shared" si="16"/>
        <v>16.829816991658799</v>
      </c>
      <c r="DS14" s="60">
        <f t="shared" si="17"/>
        <v>310.1631503249921</v>
      </c>
      <c r="DT14" s="60">
        <f ca="1">AVERAGE(OFFSET($DS$3,0,0,'Données projet'!$E$14+1,1))-AVERAGE(OFFSET($H$3,0,0,'Données projet'!$E$14+1,1))</f>
        <v>303.73499739059076</v>
      </c>
      <c r="DU14" s="60">
        <f t="shared" si="44"/>
        <v>172.32171001882188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5.8890909090909096</v>
      </c>
      <c r="EJ14" s="13">
        <f>IF('Données projet'!$A$192&gt;35,EJ13+EI14-ER13,IF(A14&lt;'Données projet'!$A$192,$EG$205^A14,IF(A14='Données projet'!$A$192,'Données projet'!$B$192,EJ13+EI14-ER13)))</f>
        <v>11.382442620105763</v>
      </c>
      <c r="EK14" s="18">
        <f>EJ14*VLOOKUP('Données projet'!$B$15,Paramètres!$A$1:$I$89,3,0)*VLOOKUP('Données projet'!$B$15,Paramètres!$A$1:$I$89,5,0)</f>
        <v>6.8067006868232474</v>
      </c>
      <c r="EL14" s="14">
        <f t="shared" si="45"/>
        <v>2.5091977650686839</v>
      </c>
      <c r="EM14" s="22">
        <f t="shared" si="19"/>
        <v>16.225189803711778</v>
      </c>
      <c r="EN14" s="60">
        <f t="shared" si="20"/>
        <v>309.55852313704509</v>
      </c>
      <c r="EO14" s="60">
        <f ca="1">AVERAGE(OFFSET($EN$3,0,0,'Données projet'!$E$15+1,1))-AVERAGE(OFFSET($H$3,0,0,'Données projet'!$E$15+1,1))</f>
        <v>269.94948820700841</v>
      </c>
      <c r="EP14" s="60">
        <f t="shared" si="46"/>
        <v>183.45158355135192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3.78125</v>
      </c>
      <c r="FE14" s="13">
        <f>IF('Données projet'!$A$218&gt;35,FE13+FD14-FM13,IF(A14&lt;'Données projet'!$A$218,$FB$205^A14,IF(A14='Données projet'!$A$218,'Données projet'!$B$218,FE13+FD14-FM13)))</f>
        <v>5.1994507762063273</v>
      </c>
      <c r="FF14" s="18">
        <f>FE14*VLOOKUP('Données projet'!$B$16,Paramètres!$A$1:$I$89,3,0)*VLOOKUP('Données projet'!$B$16,Paramètres!$A$1:$I$89,5,0)</f>
        <v>3.109271564171384</v>
      </c>
      <c r="FG14" s="14">
        <f t="shared" si="47"/>
        <v>1.2556403186409584</v>
      </c>
      <c r="FH14" s="22">
        <f t="shared" si="22"/>
        <v>7.6022215292314961</v>
      </c>
      <c r="FI14" s="60">
        <f t="shared" si="23"/>
        <v>300.9355548625648</v>
      </c>
      <c r="FJ14" s="60">
        <f ca="1">AVERAGE(OFFSET($FI$3,0,0,'Données projet'!$E$16+1,1))-AVERAGE(OFFSET($H$3,0,0,'Données projet'!$E$16+1,1))</f>
        <v>111.24788725253484</v>
      </c>
      <c r="FK14" s="60">
        <f t="shared" si="48"/>
        <v>82.434879813357327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projet'!$B$16,Paramètres!$A$1:$I$89,3,0)*0.475*44/12</f>
        <v>0</v>
      </c>
      <c r="FR14" s="23">
        <f>EXP(-LN(2)/25)*FR13+(1-EXP(-LN(2)/25))/(LN(2)/25)*Calculateur!FM14*Calculateur!FO14*VLOOKUP('Données projet'!$B$16,Paramètres!$A$1:$I$89,3,0)*0.475*44/12</f>
        <v>0</v>
      </c>
      <c r="FS14" s="23">
        <f>EXP(-LN(2)/2)*FS13+(1-EXP(-LN(2)/2))/(LN(2)/2)*FM14*FP14*VLOOKUP('Données projet'!$B$16,Paramètres!$A$1:$I$89,3,0)*0.475*44/12</f>
        <v>0</v>
      </c>
      <c r="FT14" s="24">
        <f t="shared" si="24"/>
        <v>0</v>
      </c>
      <c r="FU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4.3888888888888893</v>
      </c>
      <c r="FZ14" s="13">
        <f>IF('Données projet'!$A$244&gt;35,FZ13+FY14-GH13,IF(A14&lt;'Données projet'!$A$244,$FW$205^A14,IF(A14='Données projet'!$A$244,'Données projet'!$B$244,FZ13+FY14-GH13)))</f>
        <v>14.443119356638535</v>
      </c>
      <c r="GA14" s="18">
        <f>FZ14*VLOOKUP('Données projet'!$B$17,Paramètres!$A$1:$I$89,3,0)*VLOOKUP('Données projet'!$B$17,Paramètres!$A$1:$I$89,5,0)</f>
        <v>6.3838587556342326</v>
      </c>
      <c r="GB14" s="14">
        <f t="shared" si="49"/>
        <v>2.3709568048112737</v>
      </c>
      <c r="GC14" s="22">
        <f t="shared" si="25"/>
        <v>15.247970434442587</v>
      </c>
      <c r="GD14" s="60">
        <f t="shared" si="26"/>
        <v>308.58130376777592</v>
      </c>
      <c r="GE14" s="60">
        <f ca="1">AVERAGE(OFFSET($GD$3,0,0,'Données projet'!$E$17+1,1))-AVERAGE(OFFSET($H$3,0,0,'Données projet'!$E$17+1,1))</f>
        <v>323.56667371063662</v>
      </c>
      <c r="GF14" s="60">
        <f t="shared" si="50"/>
        <v>275.70373467723385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>
        <f>EXP(-LN(2)/35)*GL13+(1-EXP(-LN(2)/35))/(LN(2)/35)*GH14*GI14*VLOOKUP('Données projet'!$B$17,Paramètres!$A$1:$I$89,3,0)*0.475*44/12</f>
        <v>0</v>
      </c>
      <c r="GM14" s="23">
        <f>EXP(-LN(2)/25)*GM13+(1-EXP(-LN(2)/25))/(LN(2)/25)*Calculateur!GH14*Calculateur!GJ14*VLOOKUP('Données projet'!$B$17,Paramètres!$A$1:$I$89,3,0)*0.475*44/12</f>
        <v>0</v>
      </c>
      <c r="GN14" s="23">
        <f>EXP(-LN(2)/2)*GN13+(1-EXP(-LN(2)/2))/(LN(2)/2)*GH14*GK14*VLOOKUP('Données projet'!$B$17,Paramètres!$A$1:$I$89,3,0)*0.475*44/12</f>
        <v>0</v>
      </c>
      <c r="GO14" s="23">
        <f t="shared" si="27"/>
        <v>0</v>
      </c>
      <c r="GP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0" t="e">
        <f t="shared" si="29"/>
        <v>#N/A</v>
      </c>
      <c r="GZ14" s="60" t="e">
        <f ca="1">AVERAGE(OFFSET($GY$3,0,0,'Données projet'!$E$18+1,1))-AVERAGE(OFFSET($H$3,0,0,'Données projet'!$E$18+1,1))</f>
        <v>#N/A</v>
      </c>
      <c r="HA14" s="60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4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2">
        <f t="shared" si="32"/>
        <v>2.4260515959655744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7.1952941176470588</v>
      </c>
      <c r="N15" s="14">
        <f>IF('Données projet'!$A$36&gt;35,N14+M15-V14,IF(A15&lt;'Données projet'!$A$36,$K$205^A15,IF(A15='Données projet'!$A$36,'Données projet'!$B$36,N14+M15-V14)))</f>
        <v>29.752785247657449</v>
      </c>
      <c r="O15" s="14">
        <f>N15*VLOOKUP('Données projet'!$B$9,Paramètres!$A$1:$I$89,3,0)*VLOOKUP('Données projet'!$B$9,Paramètres!$A$1:$I$89,5,0)</f>
        <v>17.792165578099155</v>
      </c>
      <c r="P15" s="14">
        <f t="shared" si="33"/>
        <v>5.8648139940544119</v>
      </c>
      <c r="Q15" s="22">
        <f t="shared" si="2"/>
        <v>41.202572754834129</v>
      </c>
      <c r="R15" s="60">
        <f t="shared" si="0"/>
        <v>334.53590608816745</v>
      </c>
      <c r="S15" s="60">
        <f ca="1">AVERAGE(OFFSET($R$3,0,0,'Données projet'!$E$9+1,1))-AVERAGE(OFFSET($H$3,0,0,'Données projet'!$E$9+1,1))</f>
        <v>235.63766249714581</v>
      </c>
      <c r="T15" s="60">
        <f t="shared" si="34"/>
        <v>231.3297293785277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2.1</v>
      </c>
      <c r="AI15" s="14">
        <f>IF('Données projet'!$A$62&gt;35,AI14+AH15-AQ14,IF(A15&lt;'Données projet'!$A$62,$AF$205^A15,IF(A15='Données projet'!$A$62,'Données projet'!$B$62,AI14+AH15-AQ14)))</f>
        <v>9.4178024044149407</v>
      </c>
      <c r="AJ15" s="14">
        <f>AI15*VLOOKUP('Données projet'!$B$10,Paramètres!$A$1:$I$89,3,0)*VLOOKUP('Données projet'!$B$10,Paramètres!$A$1:$I$89,5,0)</f>
        <v>9.5496516380767513</v>
      </c>
      <c r="AK15" s="14">
        <f t="shared" si="35"/>
        <v>3.3843014943027487</v>
      </c>
      <c r="AL15" s="22">
        <f t="shared" si="4"/>
        <v>22.526635038894295</v>
      </c>
      <c r="AM15" s="60">
        <f t="shared" si="5"/>
        <v>315.85996837222763</v>
      </c>
      <c r="AN15" s="60">
        <f ca="1">AVERAGE(OFFSET($AM$3,0,0,'Données projet'!$E$10+1,1))-AVERAGE(OFFSET($H$3,0,0,'Données projet'!$E$10+1,1))</f>
        <v>350.3652766444938</v>
      </c>
      <c r="AO15" s="60">
        <f t="shared" si="36"/>
        <v>197.04549436738586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6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2.1</v>
      </c>
      <c r="BD15" s="13">
        <f>IF('Données projet'!$A$88&gt;35,BD14+BC15-BL14,IF(A15&lt;'Données projet'!$A$88,$BA$205^A15,IF(A15='Données projet'!$A$88,'Données projet'!$B$88,BD14+BC15-BL14)))</f>
        <v>9.4178024044149407</v>
      </c>
      <c r="BE15" s="14">
        <f>BD15*VLOOKUP('Données projet'!$B$11,Paramètres!$A$1:$I$89,3,0)*VLOOKUP('Données projet'!$B$11,Paramètres!$A$1:$I$89,5,0)</f>
        <v>9.1088984855501316</v>
      </c>
      <c r="BF15" s="14">
        <f t="shared" si="37"/>
        <v>3.2459072101643005</v>
      </c>
      <c r="BG15" s="22">
        <f t="shared" si="7"/>
        <v>21.517953253369303</v>
      </c>
      <c r="BH15" s="60">
        <f t="shared" si="8"/>
        <v>314.8512865867026</v>
      </c>
      <c r="BI15" s="60">
        <f ca="1">AVERAGE(OFFSET($BH$3,0,0,'Données projet'!$E$11+1,1))-AVERAGE(OFFSET($H$3,0,0,'Données projet'!$E$11+1,1))</f>
        <v>330.39429528665841</v>
      </c>
      <c r="BJ15" s="60">
        <f t="shared" si="38"/>
        <v>186.45728006007261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3.3333333333333335</v>
      </c>
      <c r="BY15" s="13">
        <f>IF('Données projet'!$A$114&gt;35,BY14+BX15-CG14,IF(A15&lt;'Données projet'!$A$114,$BV$205^A15,IF(A15='Données projet'!$A$114,'Données projet'!$B$114,BY14+BX15-CG14)))</f>
        <v>22.865252596366318</v>
      </c>
      <c r="BZ15" s="14">
        <f>BY15*VLOOKUP('Données projet'!$B$12,Paramètres!$A$1:$I$89,3,0)*VLOOKUP('Données projet'!$B$12,Paramètres!$A$1:$I$89,5,0)</f>
        <v>15.338011441642525</v>
      </c>
      <c r="CA15" s="14">
        <f t="shared" si="39"/>
        <v>5.1439602509023024</v>
      </c>
      <c r="CB15" s="22">
        <f t="shared" si="10"/>
        <v>35.672767364515572</v>
      </c>
      <c r="CC15" s="60">
        <f t="shared" si="11"/>
        <v>329.00610069784886</v>
      </c>
      <c r="CD15" s="60">
        <f ca="1">AVERAGE(OFFSET($CC$3,0,0,'Données projet'!$E$12+1,1))-AVERAGE(OFFSET($H$3,0,0,'Données projet'!$E$12+1,1))</f>
        <v>212.33913923444732</v>
      </c>
      <c r="CE15" s="60">
        <f t="shared" si="40"/>
        <v>183.51194426094372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5.2</v>
      </c>
      <c r="CT15" s="13">
        <f>IF('Données projet'!$A$140&gt;35,CT14+CS15-DB14,IF(A15&lt;'Données projet'!$A$140,$CQ$205^A15,IF(A15='Données projet'!$A$140,'Données projet'!$B$140,CT14+CS15-DB14)))</f>
        <v>16.226318771208117</v>
      </c>
      <c r="CU15" s="18">
        <f>CT15*VLOOKUP('Données projet'!$B$13,Paramètres!$A$1:$I$89,3,0)*VLOOKUP('Données projet'!$B$13,Paramètres!$A$1:$I$89,5,0)</f>
        <v>14.175312078527414</v>
      </c>
      <c r="CV15" s="14">
        <f t="shared" si="41"/>
        <v>4.7978459095820662</v>
      </c>
      <c r="CW15" s="22">
        <f t="shared" si="13"/>
        <v>33.044916829290678</v>
      </c>
      <c r="CX15" s="60">
        <f t="shared" si="14"/>
        <v>326.378250162624</v>
      </c>
      <c r="CY15" s="60">
        <f ca="1">AVERAGE(OFFSET($CX$3,0,0,'Données projet'!$E$13+1,1))-AVERAGE(OFFSET($H$3,0,0,'Données projet'!$E$13+1,1))</f>
        <v>228.0393346366489</v>
      </c>
      <c r="CZ15" s="60">
        <f t="shared" si="42"/>
        <v>238.591781509447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2.1</v>
      </c>
      <c r="DO15" s="13">
        <f>IF('Données projet'!$A$166&gt;35,DO14+DN15-DW14,IF(A15&lt;'Données projet'!$A$166,$DL$205^A15,IF(A15='Données projet'!$A$166,'Données projet'!$B$166,DO14+DN15-DW14)))</f>
        <v>9.4178024044149407</v>
      </c>
      <c r="DP15" s="18">
        <f>DO15*VLOOKUP('Données projet'!$B$14,Paramètres!$A$1:$I$89,3,0)*VLOOKUP('Données projet'!$B$14,Paramètres!$A$1:$I$89,5,0)</f>
        <v>8.521227615514638</v>
      </c>
      <c r="DQ15" s="14">
        <f t="shared" si="43"/>
        <v>3.0601574970852128</v>
      </c>
      <c r="DR15" s="22">
        <f t="shared" si="16"/>
        <v>20.170912404444739</v>
      </c>
      <c r="DS15" s="60">
        <f t="shared" si="17"/>
        <v>313.50424573777804</v>
      </c>
      <c r="DT15" s="60">
        <f ca="1">AVERAGE(OFFSET($DS$3,0,0,'Données projet'!$E$14+1,1))-AVERAGE(OFFSET($H$3,0,0,'Données projet'!$E$14+1,1))</f>
        <v>303.73499739059076</v>
      </c>
      <c r="DU15" s="60">
        <f t="shared" si="44"/>
        <v>172.32171001882188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5.8890909090909096</v>
      </c>
      <c r="EJ15" s="13">
        <f>IF('Données projet'!$A$192&gt;35,EJ14+EI15-ER14,IF(A15&lt;'Données projet'!$A$192,$EG$205^A15,IF(A15='Données projet'!$A$192,'Données projet'!$B$192,EJ14+EI15-ER14)))</f>
        <v>14.198971124819497</v>
      </c>
      <c r="EK15" s="18">
        <f>EJ15*VLOOKUP('Données projet'!$B$15,Paramètres!$A$1:$I$89,3,0)*VLOOKUP('Données projet'!$B$15,Paramètres!$A$1:$I$89,5,0)</f>
        <v>8.49098473264206</v>
      </c>
      <c r="EL15" s="14">
        <f t="shared" si="45"/>
        <v>3.0505588433685857</v>
      </c>
      <c r="EM15" s="22">
        <f t="shared" si="19"/>
        <v>20.10152172821854</v>
      </c>
      <c r="EN15" s="60">
        <f t="shared" si="20"/>
        <v>313.43485506155184</v>
      </c>
      <c r="EO15" s="60">
        <f ca="1">AVERAGE(OFFSET($EN$3,0,0,'Données projet'!$E$15+1,1))-AVERAGE(OFFSET($H$3,0,0,'Données projet'!$E$15+1,1))</f>
        <v>269.94948820700841</v>
      </c>
      <c r="EP15" s="60">
        <f t="shared" si="46"/>
        <v>183.45158355135192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3.78125</v>
      </c>
      <c r="FE15" s="13">
        <f>IF('Données projet'!$A$218&gt;35,FE14+FD15-FM14,IF(A15&lt;'Données projet'!$A$218,$FB$205^A15,IF(A15='Données projet'!$A$218,'Données projet'!$B$218,FE14+FD15-FM14)))</f>
        <v>6.040105354537233</v>
      </c>
      <c r="FF15" s="18">
        <f>FE15*VLOOKUP('Données projet'!$B$16,Paramètres!$A$1:$I$89,3,0)*VLOOKUP('Données projet'!$B$16,Paramètres!$A$1:$I$89,5,0)</f>
        <v>3.6119830020132655</v>
      </c>
      <c r="FG15" s="14">
        <f t="shared" si="47"/>
        <v>1.4334289239931206</v>
      </c>
      <c r="FH15" s="22">
        <f t="shared" si="22"/>
        <v>8.7874257711277881</v>
      </c>
      <c r="FI15" s="60">
        <f t="shared" si="23"/>
        <v>302.12075910446111</v>
      </c>
      <c r="FJ15" s="60">
        <f ca="1">AVERAGE(OFFSET($FI$3,0,0,'Données projet'!$E$16+1,1))-AVERAGE(OFFSET($H$3,0,0,'Données projet'!$E$16+1,1))</f>
        <v>111.24788725253484</v>
      </c>
      <c r="FK15" s="60">
        <f t="shared" si="48"/>
        <v>82.434879813357327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projet'!$B$16,Paramètres!$A$1:$I$89,3,0)*0.475*44/12</f>
        <v>0</v>
      </c>
      <c r="FR15" s="23">
        <f>EXP(-LN(2)/25)*FR14+(1-EXP(-LN(2)/25))/(LN(2)/25)*Calculateur!FM15*Calculateur!FO15*VLOOKUP('Données projet'!$B$16,Paramètres!$A$1:$I$89,3,0)*0.475*44/12</f>
        <v>0</v>
      </c>
      <c r="FS15" s="23">
        <f>EXP(-LN(2)/2)*FS14+(1-EXP(-LN(2)/2))/(LN(2)/2)*FM15*FP15*VLOOKUP('Données projet'!$B$16,Paramètres!$A$1:$I$89,3,0)*0.475*44/12</f>
        <v>0</v>
      </c>
      <c r="FT15" s="24">
        <f t="shared" si="24"/>
        <v>0</v>
      </c>
      <c r="FU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4.3888888888888893</v>
      </c>
      <c r="FZ15" s="13">
        <f>IF('Données projet'!$A$244&gt;35,FZ14+FY15-GH14,IF(A15&lt;'Données projet'!$A$244,$FW$205^A15,IF(A15='Données projet'!$A$244,'Données projet'!$B$244,FZ14+FY15-GH14)))</f>
        <v>18.411311570202439</v>
      </c>
      <c r="GA15" s="18">
        <f>FZ15*VLOOKUP('Données projet'!$B$17,Paramètres!$A$1:$I$89,3,0)*VLOOKUP('Données projet'!$B$17,Paramètres!$A$1:$I$89,5,0)</f>
        <v>8.1377997140294784</v>
      </c>
      <c r="GB15" s="14">
        <f t="shared" si="49"/>
        <v>2.9381640953202446</v>
      </c>
      <c r="GC15" s="22">
        <f t="shared" si="25"/>
        <v>19.290636967950768</v>
      </c>
      <c r="GD15" s="60">
        <f t="shared" si="26"/>
        <v>312.62397030128409</v>
      </c>
      <c r="GE15" s="60">
        <f ca="1">AVERAGE(OFFSET($GD$3,0,0,'Données projet'!$E$17+1,1))-AVERAGE(OFFSET($H$3,0,0,'Données projet'!$E$17+1,1))</f>
        <v>323.56667371063662</v>
      </c>
      <c r="GF15" s="60">
        <f t="shared" si="50"/>
        <v>275.70373467723385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>
        <f>EXP(-LN(2)/35)*GL14+(1-EXP(-LN(2)/35))/(LN(2)/35)*GH15*GI15*VLOOKUP('Données projet'!$B$17,Paramètres!$A$1:$I$89,3,0)*0.475*44/12</f>
        <v>0</v>
      </c>
      <c r="GM15" s="23">
        <f>EXP(-LN(2)/25)*GM14+(1-EXP(-LN(2)/25))/(LN(2)/25)*Calculateur!GH15*Calculateur!GJ15*VLOOKUP('Données projet'!$B$17,Paramètres!$A$1:$I$89,3,0)*0.475*44/12</f>
        <v>0</v>
      </c>
      <c r="GN15" s="23">
        <f>EXP(-LN(2)/2)*GN14+(1-EXP(-LN(2)/2))/(LN(2)/2)*GH15*GK15*VLOOKUP('Données projet'!$B$17,Paramètres!$A$1:$I$89,3,0)*0.475*44/12</f>
        <v>0</v>
      </c>
      <c r="GO15" s="23">
        <f t="shared" si="27"/>
        <v>0</v>
      </c>
      <c r="GP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0" t="e">
        <f t="shared" si="29"/>
        <v>#N/A</v>
      </c>
      <c r="GZ15" s="60" t="e">
        <f ca="1">AVERAGE(OFFSET($GY$3,0,0,'Données projet'!$E$18+1,1))-AVERAGE(OFFSET($H$3,0,0,'Données projet'!$E$18+1,1))</f>
        <v>#N/A</v>
      </c>
      <c r="HA15" s="60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4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2">
        <f t="shared" si="32"/>
        <v>2.6038492076799815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7.1952941176470588</v>
      </c>
      <c r="N16" s="14">
        <f>IF('Données projet'!$A$36&gt;35,N15+M16-V15,IF(A16&lt;'Données projet'!$A$36,$K$205^A16,IF(A16='Données projet'!$A$36,'Données projet'!$B$36,N15+M16-V15)))</f>
        <v>39.474950722834407</v>
      </c>
      <c r="O16" s="14">
        <f>N16*VLOOKUP('Données projet'!$B$9,Paramètres!$A$1:$I$89,3,0)*VLOOKUP('Données projet'!$B$9,Paramètres!$A$1:$I$89,5,0)</f>
        <v>23.606020532254977</v>
      </c>
      <c r="P16" s="14">
        <f t="shared" si="33"/>
        <v>7.5293067975293804</v>
      </c>
      <c r="Q16" s="22">
        <f t="shared" si="2"/>
        <v>54.227361766041078</v>
      </c>
      <c r="R16" s="60">
        <f t="shared" si="0"/>
        <v>347.56069509937441</v>
      </c>
      <c r="S16" s="60">
        <f ca="1">AVERAGE(OFFSET($R$3,0,0,'Données projet'!$E$9+1,1))-AVERAGE(OFFSET($H$3,0,0,'Données projet'!$E$9+1,1))</f>
        <v>235.63766249714581</v>
      </c>
      <c r="T16" s="60">
        <f t="shared" si="34"/>
        <v>231.3297293785277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2.1</v>
      </c>
      <c r="AI16" s="14">
        <f>IF('Données projet'!$A$62&gt;35,AI15+AH16-AQ15,IF(A16&lt;'Données projet'!$A$62,$AF$205^A16,IF(A16='Données projet'!$A$62,'Données projet'!$B$62,AI15+AH16-AQ15)))</f>
        <v>11.35303662145153</v>
      </c>
      <c r="AJ16" s="14">
        <f>AI16*VLOOKUP('Données projet'!$B$10,Paramètres!$A$1:$I$89,3,0)*VLOOKUP('Données projet'!$B$10,Paramètres!$A$1:$I$89,5,0)</f>
        <v>11.511979134151852</v>
      </c>
      <c r="AK16" s="14">
        <f t="shared" si="35"/>
        <v>3.9919417855793822</v>
      </c>
      <c r="AL16" s="22">
        <f t="shared" si="4"/>
        <v>27.002662268531896</v>
      </c>
      <c r="AM16" s="60">
        <f t="shared" si="5"/>
        <v>320.33599560186519</v>
      </c>
      <c r="AN16" s="60">
        <f ca="1">AVERAGE(OFFSET($AM$3,0,0,'Données projet'!$E$10+1,1))-AVERAGE(OFFSET($H$3,0,0,'Données projet'!$E$10+1,1))</f>
        <v>350.3652766444938</v>
      </c>
      <c r="AO16" s="60">
        <f t="shared" si="36"/>
        <v>197.04549436738586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6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2.1</v>
      </c>
      <c r="BD16" s="13">
        <f>IF('Données projet'!$A$88&gt;35,BD15+BC16-BL15,IF(A16&lt;'Données projet'!$A$88,$BA$205^A16,IF(A16='Données projet'!$A$88,'Données projet'!$B$88,BD15+BC16-BL15)))</f>
        <v>11.35303662145153</v>
      </c>
      <c r="BE16" s="14">
        <f>BD16*VLOOKUP('Données projet'!$B$11,Paramètres!$A$1:$I$89,3,0)*VLOOKUP('Données projet'!$B$11,Paramètres!$A$1:$I$89,5,0)</f>
        <v>10.98065702026792</v>
      </c>
      <c r="BF16" s="14">
        <f t="shared" si="37"/>
        <v>3.8286992592655618</v>
      </c>
      <c r="BG16" s="22">
        <f t="shared" si="7"/>
        <v>25.792962186854144</v>
      </c>
      <c r="BH16" s="60">
        <f t="shared" si="8"/>
        <v>319.12629552018745</v>
      </c>
      <c r="BI16" s="60">
        <f ca="1">AVERAGE(OFFSET($BH$3,0,0,'Données projet'!$E$11+1,1))-AVERAGE(OFFSET($H$3,0,0,'Données projet'!$E$11+1,1))</f>
        <v>330.39429528665841</v>
      </c>
      <c r="BJ16" s="60">
        <f t="shared" si="38"/>
        <v>186.45728006007261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3.3333333333333335</v>
      </c>
      <c r="BY16" s="13">
        <f>IF('Données projet'!$A$114&gt;35,BY15+BX16-CG15,IF(A16&lt;'Données projet'!$A$114,$BV$205^A16,IF(A16='Données projet'!$A$114,'Données projet'!$B$114,BY15+BX16-CG15)))</f>
        <v>29.678412748283769</v>
      </c>
      <c r="BZ16" s="14">
        <f>BY16*VLOOKUP('Données projet'!$B$12,Paramètres!$A$1:$I$89,3,0)*VLOOKUP('Données projet'!$B$12,Paramètres!$A$1:$I$89,5,0)</f>
        <v>19.90827927154875</v>
      </c>
      <c r="CA16" s="14">
        <f t="shared" si="39"/>
        <v>6.4770651239957129</v>
      </c>
      <c r="CB16" s="22">
        <f t="shared" si="10"/>
        <v>45.954474822239945</v>
      </c>
      <c r="CC16" s="60">
        <f t="shared" si="11"/>
        <v>339.28780815557326</v>
      </c>
      <c r="CD16" s="60">
        <f ca="1">AVERAGE(OFFSET($CC$3,0,0,'Données projet'!$E$12+1,1))-AVERAGE(OFFSET($H$3,0,0,'Données projet'!$E$12+1,1))</f>
        <v>212.33913923444732</v>
      </c>
      <c r="CE16" s="60">
        <f t="shared" si="40"/>
        <v>183.51194426094372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5.2</v>
      </c>
      <c r="CT16" s="13">
        <f>IF('Données projet'!$A$140&gt;35,CT15+CS16-DB15,IF(A16&lt;'Données projet'!$A$140,$CQ$205^A16,IF(A16='Données projet'!$A$140,'Données projet'!$B$140,CT15+CS16-DB15)))</f>
        <v>20.467823842896554</v>
      </c>
      <c r="CU16" s="18">
        <f>CT16*VLOOKUP('Données projet'!$B$13,Paramètres!$A$1:$I$89,3,0)*VLOOKUP('Données projet'!$B$13,Paramètres!$A$1:$I$89,5,0)</f>
        <v>17.880690909154431</v>
      </c>
      <c r="CV16" s="14">
        <f t="shared" si="41"/>
        <v>5.890590446788579</v>
      </c>
      <c r="CW16" s="22">
        <f t="shared" si="13"/>
        <v>41.401648361600742</v>
      </c>
      <c r="CX16" s="60">
        <f t="shared" si="14"/>
        <v>334.73498169493405</v>
      </c>
      <c r="CY16" s="60">
        <f ca="1">AVERAGE(OFFSET($CX$3,0,0,'Données projet'!$E$13+1,1))-AVERAGE(OFFSET($H$3,0,0,'Données projet'!$E$13+1,1))</f>
        <v>228.0393346366489</v>
      </c>
      <c r="CZ16" s="60">
        <f t="shared" si="42"/>
        <v>238.591781509447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2.1</v>
      </c>
      <c r="DO16" s="13">
        <f>IF('Données projet'!$A$166&gt;35,DO15+DN16-DW15,IF(A16&lt;'Données projet'!$A$166,$DL$205^A16,IF(A16='Données projet'!$A$166,'Données projet'!$B$166,DO15+DN16-DW15)))</f>
        <v>11.35303662145153</v>
      </c>
      <c r="DP16" s="18">
        <f>DO16*VLOOKUP('Données projet'!$B$14,Paramètres!$A$1:$I$89,3,0)*VLOOKUP('Données projet'!$B$14,Paramètres!$A$1:$I$89,5,0)</f>
        <v>10.272227535089344</v>
      </c>
      <c r="DQ16" s="14">
        <f t="shared" si="43"/>
        <v>3.6095987912522753</v>
      </c>
      <c r="DR16" s="22">
        <f t="shared" si="16"/>
        <v>24.177514185044988</v>
      </c>
      <c r="DS16" s="60">
        <f t="shared" si="17"/>
        <v>317.51084751837828</v>
      </c>
      <c r="DT16" s="60">
        <f ca="1">AVERAGE(OFFSET($DS$3,0,0,'Données projet'!$E$14+1,1))-AVERAGE(OFFSET($H$3,0,0,'Données projet'!$E$14+1,1))</f>
        <v>303.73499739059076</v>
      </c>
      <c r="DU16" s="60">
        <f t="shared" si="44"/>
        <v>172.32171001882188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5.8890909090909096</v>
      </c>
      <c r="EJ16" s="13">
        <f>IF('Données projet'!$A$192&gt;35,EJ15+EI16-ER15,IF(A16&lt;'Données projet'!$A$192,$EG$205^A16,IF(A16='Données projet'!$A$192,'Données projet'!$B$192,EJ15+EI16-ER15)))</f>
        <v>17.712435523051596</v>
      </c>
      <c r="EK16" s="18">
        <f>EJ16*VLOOKUP('Données projet'!$B$15,Paramètres!$A$1:$I$89,3,0)*VLOOKUP('Données projet'!$B$15,Paramètres!$A$1:$I$89,5,0)</f>
        <v>10.592036442784856</v>
      </c>
      <c r="EL16" s="14">
        <f t="shared" si="45"/>
        <v>3.708718932562717</v>
      </c>
      <c r="EM16" s="22">
        <f t="shared" si="19"/>
        <v>24.907148945397026</v>
      </c>
      <c r="EN16" s="60">
        <f t="shared" si="20"/>
        <v>318.24048227873033</v>
      </c>
      <c r="EO16" s="60">
        <f ca="1">AVERAGE(OFFSET($EN$3,0,0,'Données projet'!$E$15+1,1))-AVERAGE(OFFSET($H$3,0,0,'Données projet'!$E$15+1,1))</f>
        <v>269.94948820700841</v>
      </c>
      <c r="EP16" s="60">
        <f t="shared" si="46"/>
        <v>183.45158355135192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3.78125</v>
      </c>
      <c r="FE16" s="13">
        <f>IF('Données projet'!$A$218&gt;35,FE15+FD16-FM15,IF(A16&lt;'Données projet'!$A$218,$FB$205^A16,IF(A16='Données projet'!$A$218,'Données projet'!$B$218,FE15+FD16-FM15)))</f>
        <v>7.016678157789646</v>
      </c>
      <c r="FF16" s="18">
        <f>FE16*VLOOKUP('Données projet'!$B$16,Paramètres!$A$1:$I$89,3,0)*VLOOKUP('Données projet'!$B$16,Paramètres!$A$1:$I$89,5,0)</f>
        <v>4.1959735383582082</v>
      </c>
      <c r="FG16" s="14">
        <f t="shared" si="47"/>
        <v>1.6363909709143449</v>
      </c>
      <c r="FH16" s="22">
        <f t="shared" si="22"/>
        <v>10.158034853649696</v>
      </c>
      <c r="FI16" s="60">
        <f t="shared" si="23"/>
        <v>303.49136818698298</v>
      </c>
      <c r="FJ16" s="60">
        <f ca="1">AVERAGE(OFFSET($FI$3,0,0,'Données projet'!$E$16+1,1))-AVERAGE(OFFSET($H$3,0,0,'Données projet'!$E$16+1,1))</f>
        <v>111.24788725253484</v>
      </c>
      <c r="FK16" s="60">
        <f t="shared" si="48"/>
        <v>82.434879813357327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projet'!$B$16,Paramètres!$A$1:$I$89,3,0)*0.475*44/12</f>
        <v>0</v>
      </c>
      <c r="FR16" s="23">
        <f>EXP(-LN(2)/25)*FR15+(1-EXP(-LN(2)/25))/(LN(2)/25)*Calculateur!FM16*Calculateur!FO16*VLOOKUP('Données projet'!$B$16,Paramètres!$A$1:$I$89,3,0)*0.475*44/12</f>
        <v>0</v>
      </c>
      <c r="FS16" s="23">
        <f>EXP(-LN(2)/2)*FS15+(1-EXP(-LN(2)/2))/(LN(2)/2)*FM16*FP16*VLOOKUP('Données projet'!$B$16,Paramètres!$A$1:$I$89,3,0)*0.475*44/12</f>
        <v>0</v>
      </c>
      <c r="FT16" s="24">
        <f t="shared" si="24"/>
        <v>0</v>
      </c>
      <c r="FU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4.3888888888888893</v>
      </c>
      <c r="FZ16" s="13">
        <f>IF('Données projet'!$A$244&gt;35,FZ15+FY16-GH15,IF(A16&lt;'Données projet'!$A$244,$FW$205^A16,IF(A16='Données projet'!$A$244,'Données projet'!$B$244,FZ15+FY16-GH15)))</f>
        <v>23.469749530198644</v>
      </c>
      <c r="GA16" s="18">
        <f>FZ16*VLOOKUP('Données projet'!$B$17,Paramètres!$A$1:$I$89,3,0)*VLOOKUP('Données projet'!$B$17,Paramètres!$A$1:$I$89,5,0)</f>
        <v>10.373629292347802</v>
      </c>
      <c r="GB16" s="14">
        <f t="shared" si="49"/>
        <v>3.6410651739883533</v>
      </c>
      <c r="GC16" s="22">
        <f t="shared" si="25"/>
        <v>24.408926195535471</v>
      </c>
      <c r="GD16" s="60">
        <f t="shared" si="26"/>
        <v>317.74225952886877</v>
      </c>
      <c r="GE16" s="60">
        <f ca="1">AVERAGE(OFFSET($GD$3,0,0,'Données projet'!$E$17+1,1))-AVERAGE(OFFSET($H$3,0,0,'Données projet'!$E$17+1,1))</f>
        <v>323.56667371063662</v>
      </c>
      <c r="GF16" s="60">
        <f t="shared" si="50"/>
        <v>275.70373467723385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>
        <f>EXP(-LN(2)/35)*GL15+(1-EXP(-LN(2)/35))/(LN(2)/35)*GH16*GI16*VLOOKUP('Données projet'!$B$17,Paramètres!$A$1:$I$89,3,0)*0.475*44/12</f>
        <v>0</v>
      </c>
      <c r="GM16" s="23">
        <f>EXP(-LN(2)/25)*GM15+(1-EXP(-LN(2)/25))/(LN(2)/25)*Calculateur!GH16*Calculateur!GJ16*VLOOKUP('Données projet'!$B$17,Paramètres!$A$1:$I$89,3,0)*0.475*44/12</f>
        <v>0</v>
      </c>
      <c r="GN16" s="23">
        <f>EXP(-LN(2)/2)*GN15+(1-EXP(-LN(2)/2))/(LN(2)/2)*GH16*GK16*VLOOKUP('Données projet'!$B$17,Paramètres!$A$1:$I$89,3,0)*0.475*44/12</f>
        <v>0</v>
      </c>
      <c r="GO16" s="23">
        <f t="shared" si="27"/>
        <v>0</v>
      </c>
      <c r="GP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0" t="e">
        <f t="shared" si="29"/>
        <v>#N/A</v>
      </c>
      <c r="GZ16" s="60" t="e">
        <f ca="1">AVERAGE(OFFSET($GY$3,0,0,'Données projet'!$E$18+1,1))-AVERAGE(OFFSET($H$3,0,0,'Données projet'!$E$18+1,1))</f>
        <v>#N/A</v>
      </c>
      <c r="HA16" s="60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4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2">
        <f t="shared" si="32"/>
        <v>2.7800603022041317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7.1952941176470588</v>
      </c>
      <c r="N17" s="14">
        <f>IF('Données projet'!$A$36&gt;35,N16+M17-V16,IF(A17&lt;'Données projet'!$A$36,$K$205^A17,IF(A17='Données projet'!$A$36,'Données projet'!$B$36,N16+M17-V16)))</f>
        <v>52.373978489724536</v>
      </c>
      <c r="O17" s="14">
        <f>N17*VLOOKUP('Données projet'!$B$9,Paramètres!$A$1:$I$89,3,0)*VLOOKUP('Données projet'!$B$9,Paramètres!$A$1:$I$89,5,0)</f>
        <v>31.319639136855276</v>
      </c>
      <c r="P17" s="14">
        <f t="shared" si="33"/>
        <v>9.6661992876148126</v>
      </c>
      <c r="Q17" s="22">
        <f t="shared" si="2"/>
        <v>71.383668589285392</v>
      </c>
      <c r="R17" s="60">
        <f t="shared" si="0"/>
        <v>364.71700192261869</v>
      </c>
      <c r="S17" s="60">
        <f ca="1">AVERAGE(OFFSET($R$3,0,0,'Données projet'!$E$9+1,1))-AVERAGE(OFFSET($H$3,0,0,'Données projet'!$E$9+1,1))</f>
        <v>235.63766249714581</v>
      </c>
      <c r="T17" s="60">
        <f t="shared" si="34"/>
        <v>231.3297293785277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2.1</v>
      </c>
      <c r="AI17" s="14">
        <f>IF('Données projet'!$A$62&gt;35,AI16+AH17-AQ16,IF(A17&lt;'Données projet'!$A$62,$AF$205^A17,IF(A17='Données projet'!$A$62,'Données projet'!$B$62,AI16+AH17-AQ16)))</f>
        <v>13.685935953338433</v>
      </c>
      <c r="AJ17" s="14">
        <f>AI17*VLOOKUP('Données projet'!$B$10,Paramètres!$A$1:$I$89,3,0)*VLOOKUP('Données projet'!$B$10,Paramètres!$A$1:$I$89,5,0)</f>
        <v>13.877539056685173</v>
      </c>
      <c r="AK17" s="14">
        <f t="shared" si="35"/>
        <v>4.7086819085950955</v>
      </c>
      <c r="AL17" s="22">
        <f t="shared" si="4"/>
        <v>32.371001514529802</v>
      </c>
      <c r="AM17" s="60">
        <f t="shared" si="5"/>
        <v>325.70433484786309</v>
      </c>
      <c r="AN17" s="60">
        <f ca="1">AVERAGE(OFFSET($AM$3,0,0,'Données projet'!$E$10+1,1))-AVERAGE(OFFSET($H$3,0,0,'Données projet'!$E$10+1,1))</f>
        <v>350.3652766444938</v>
      </c>
      <c r="AO17" s="60">
        <f t="shared" si="36"/>
        <v>197.04549436738586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6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2.1</v>
      </c>
      <c r="BD17" s="13">
        <f>IF('Données projet'!$A$88&gt;35,BD16+BC17-BL16,IF(A17&lt;'Données projet'!$A$88,$BA$205^A17,IF(A17='Données projet'!$A$88,'Données projet'!$B$88,BD16+BC17-BL16)))</f>
        <v>13.685935953338433</v>
      </c>
      <c r="BE17" s="14">
        <f>BD17*VLOOKUP('Données projet'!$B$11,Paramètres!$A$1:$I$89,3,0)*VLOOKUP('Données projet'!$B$11,Paramètres!$A$1:$I$89,5,0)</f>
        <v>13.237037254068934</v>
      </c>
      <c r="BF17" s="14">
        <f t="shared" si="37"/>
        <v>4.5161297192961545</v>
      </c>
      <c r="BG17" s="22">
        <f t="shared" si="7"/>
        <v>30.920099145277529</v>
      </c>
      <c r="BH17" s="60">
        <f t="shared" si="8"/>
        <v>324.25343247861082</v>
      </c>
      <c r="BI17" s="60">
        <f ca="1">AVERAGE(OFFSET($BH$3,0,0,'Données projet'!$E$11+1,1))-AVERAGE(OFFSET($H$3,0,0,'Données projet'!$E$11+1,1))</f>
        <v>330.39429528665841</v>
      </c>
      <c r="BJ17" s="60">
        <f t="shared" si="38"/>
        <v>186.45728006007261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3.3333333333333335</v>
      </c>
      <c r="BY17" s="13">
        <f>IF('Données projet'!$A$114&gt;35,BY16+BX17-CG16,IF(A17&lt;'Données projet'!$A$114,$BV$205^A17,IF(A17='Données projet'!$A$114,'Données projet'!$B$114,BY16+BX17-CG16)))</f>
        <v>38.521690479704915</v>
      </c>
      <c r="BZ17" s="14">
        <f>BY17*VLOOKUP('Données projet'!$B$12,Paramètres!$A$1:$I$89,3,0)*VLOOKUP('Données projet'!$B$12,Paramètres!$A$1:$I$89,5,0)</f>
        <v>25.840349973786058</v>
      </c>
      <c r="CA17" s="14">
        <f t="shared" si="39"/>
        <v>8.1556564542120462</v>
      </c>
      <c r="CB17" s="22">
        <f t="shared" si="10"/>
        <v>59.209711195430032</v>
      </c>
      <c r="CC17" s="60">
        <f t="shared" si="11"/>
        <v>352.54304452876335</v>
      </c>
      <c r="CD17" s="60">
        <f ca="1">AVERAGE(OFFSET($CC$3,0,0,'Données projet'!$E$12+1,1))-AVERAGE(OFFSET($H$3,0,0,'Données projet'!$E$12+1,1))</f>
        <v>212.33913923444732</v>
      </c>
      <c r="CE17" s="60">
        <f t="shared" si="40"/>
        <v>183.51194426094372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5.2</v>
      </c>
      <c r="CT17" s="13">
        <f>IF('Données projet'!$A$140&gt;35,CT16+CS17-DB16,IF(A17&lt;'Données projet'!$A$140,$CQ$205^A17,IF(A17='Données projet'!$A$140,'Données projet'!$B$140,CT16+CS17-DB16)))</f>
        <v>25.8180440536639</v>
      </c>
      <c r="CU17" s="18">
        <f>CT17*VLOOKUP('Données projet'!$B$13,Paramètres!$A$1:$I$89,3,0)*VLOOKUP('Données projet'!$B$13,Paramètres!$A$1:$I$89,5,0)</f>
        <v>22.554643285280786</v>
      </c>
      <c r="CV17" s="14">
        <f t="shared" si="41"/>
        <v>7.2322155537545054</v>
      </c>
      <c r="CW17" s="22">
        <f t="shared" si="13"/>
        <v>51.87877914465313</v>
      </c>
      <c r="CX17" s="60">
        <f t="shared" si="14"/>
        <v>345.21211247798647</v>
      </c>
      <c r="CY17" s="60">
        <f ca="1">AVERAGE(OFFSET($CX$3,0,0,'Données projet'!$E$13+1,1))-AVERAGE(OFFSET($H$3,0,0,'Données projet'!$E$13+1,1))</f>
        <v>228.0393346366489</v>
      </c>
      <c r="CZ17" s="60">
        <f t="shared" si="42"/>
        <v>238.591781509447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2.1</v>
      </c>
      <c r="DO17" s="13">
        <f>IF('Données projet'!$A$166&gt;35,DO16+DN17-DW16,IF(A17&lt;'Données projet'!$A$166,$DL$205^A17,IF(A17='Données projet'!$A$166,'Données projet'!$B$166,DO16+DN17-DW16)))</f>
        <v>13.685935953338433</v>
      </c>
      <c r="DP17" s="18">
        <f>DO17*VLOOKUP('Données projet'!$B$14,Paramètres!$A$1:$I$89,3,0)*VLOOKUP('Données projet'!$B$14,Paramètres!$A$1:$I$89,5,0)</f>
        <v>12.383034850580612</v>
      </c>
      <c r="DQ17" s="14">
        <f t="shared" si="43"/>
        <v>4.2576904771143838</v>
      </c>
      <c r="DR17" s="22">
        <f t="shared" si="16"/>
        <v>28.982596612402116</v>
      </c>
      <c r="DS17" s="60">
        <f t="shared" si="17"/>
        <v>322.31592994573543</v>
      </c>
      <c r="DT17" s="60">
        <f ca="1">AVERAGE(OFFSET($DS$3,0,0,'Données projet'!$E$14+1,1))-AVERAGE(OFFSET($H$3,0,0,'Données projet'!$E$14+1,1))</f>
        <v>303.73499739059076</v>
      </c>
      <c r="DU17" s="60">
        <f t="shared" si="44"/>
        <v>172.32171001882188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5.8890909090909096</v>
      </c>
      <c r="EJ17" s="13">
        <f>IF('Données projet'!$A$192&gt;35,EJ16+EI17-ER16,IF(A17&lt;'Données projet'!$A$192,$EG$205^A17,IF(A17='Données projet'!$A$192,'Données projet'!$B$192,EJ16+EI17-ER16)))</f>
        <v>22.095289116397044</v>
      </c>
      <c r="EK17" s="18">
        <f>EJ17*VLOOKUP('Données projet'!$B$15,Paramètres!$A$1:$I$89,3,0)*VLOOKUP('Données projet'!$B$15,Paramètres!$A$1:$I$89,5,0)</f>
        <v>13.212982891605433</v>
      </c>
      <c r="EL17" s="14">
        <f t="shared" si="45"/>
        <v>4.508877496544403</v>
      </c>
      <c r="EM17" s="22">
        <f t="shared" si="19"/>
        <v>30.86557350936096</v>
      </c>
      <c r="EN17" s="60">
        <f t="shared" si="20"/>
        <v>324.19890684269427</v>
      </c>
      <c r="EO17" s="60">
        <f ca="1">AVERAGE(OFFSET($EN$3,0,0,'Données projet'!$E$15+1,1))-AVERAGE(OFFSET($H$3,0,0,'Données projet'!$E$15+1,1))</f>
        <v>269.94948820700841</v>
      </c>
      <c r="EP17" s="60">
        <f t="shared" si="46"/>
        <v>183.45158355135192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3.78125</v>
      </c>
      <c r="FE17" s="13">
        <f>IF('Données projet'!$A$218&gt;35,FE16+FD17-FM16,IF(A17&lt;'Données projet'!$A$218,$FB$205^A17,IF(A17='Données projet'!$A$218,'Données projet'!$B$218,FE16+FD17-FM16)))</f>
        <v>8.1511446374058121</v>
      </c>
      <c r="FF17" s="18">
        <f>FE17*VLOOKUP('Données projet'!$B$16,Paramètres!$A$1:$I$89,3,0)*VLOOKUP('Données projet'!$B$16,Paramètres!$A$1:$I$89,5,0)</f>
        <v>4.8743844931686757</v>
      </c>
      <c r="FG17" s="14">
        <f t="shared" si="47"/>
        <v>1.8680908169694812</v>
      </c>
      <c r="FH17" s="22">
        <f t="shared" si="22"/>
        <v>11.743144498490622</v>
      </c>
      <c r="FI17" s="60">
        <f t="shared" si="23"/>
        <v>305.07647783182392</v>
      </c>
      <c r="FJ17" s="60">
        <f ca="1">AVERAGE(OFFSET($FI$3,0,0,'Données projet'!$E$16+1,1))-AVERAGE(OFFSET($H$3,0,0,'Données projet'!$E$16+1,1))</f>
        <v>111.24788725253484</v>
      </c>
      <c r="FK17" s="60">
        <f t="shared" si="48"/>
        <v>82.434879813357327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projet'!$B$16,Paramètres!$A$1:$I$89,3,0)*0.475*44/12</f>
        <v>0</v>
      </c>
      <c r="FR17" s="23">
        <f>EXP(-LN(2)/25)*FR16+(1-EXP(-LN(2)/25))/(LN(2)/25)*Calculateur!FM17*Calculateur!FO17*VLOOKUP('Données projet'!$B$16,Paramètres!$A$1:$I$89,3,0)*0.475*44/12</f>
        <v>0</v>
      </c>
      <c r="FS17" s="23">
        <f>EXP(-LN(2)/2)*FS16+(1-EXP(-LN(2)/2))/(LN(2)/2)*FM17*FP17*VLOOKUP('Données projet'!$B$16,Paramètres!$A$1:$I$89,3,0)*0.475*44/12</f>
        <v>0</v>
      </c>
      <c r="FT17" s="24">
        <f t="shared" si="24"/>
        <v>0</v>
      </c>
      <c r="FU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4.3888888888888893</v>
      </c>
      <c r="FZ17" s="13">
        <f>IF('Données projet'!$A$244&gt;35,FZ16+FY17-GH16,IF(A17&lt;'Données projet'!$A$244,$FW$205^A17,IF(A17='Données projet'!$A$244,'Données projet'!$B$244,FZ16+FY17-GH16)))</f>
        <v>29.917974116615472</v>
      </c>
      <c r="GA17" s="18">
        <f>FZ17*VLOOKUP('Données projet'!$B$17,Paramètres!$A$1:$I$89,3,0)*VLOOKUP('Données projet'!$B$17,Paramètres!$A$1:$I$89,5,0)</f>
        <v>13.223744559544041</v>
      </c>
      <c r="GB17" s="14">
        <f t="shared" si="49"/>
        <v>4.5121222542833692</v>
      </c>
      <c r="GC17" s="22">
        <f t="shared" si="25"/>
        <v>30.889968034082738</v>
      </c>
      <c r="GD17" s="60">
        <f t="shared" si="26"/>
        <v>324.22330136741607</v>
      </c>
      <c r="GE17" s="60">
        <f ca="1">AVERAGE(OFFSET($GD$3,0,0,'Données projet'!$E$17+1,1))-AVERAGE(OFFSET($H$3,0,0,'Données projet'!$E$17+1,1))</f>
        <v>323.56667371063662</v>
      </c>
      <c r="GF17" s="60">
        <f t="shared" si="50"/>
        <v>275.70373467723385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>
        <f>EXP(-LN(2)/35)*GL16+(1-EXP(-LN(2)/35))/(LN(2)/35)*GH17*GI17*VLOOKUP('Données projet'!$B$17,Paramètres!$A$1:$I$89,3,0)*0.475*44/12</f>
        <v>0</v>
      </c>
      <c r="GM17" s="23">
        <f>EXP(-LN(2)/25)*GM16+(1-EXP(-LN(2)/25))/(LN(2)/25)*Calculateur!GH17*Calculateur!GJ17*VLOOKUP('Données projet'!$B$17,Paramètres!$A$1:$I$89,3,0)*0.475*44/12</f>
        <v>0</v>
      </c>
      <c r="GN17" s="23">
        <f>EXP(-LN(2)/2)*GN16+(1-EXP(-LN(2)/2))/(LN(2)/2)*GH17*GK17*VLOOKUP('Données projet'!$B$17,Paramètres!$A$1:$I$89,3,0)*0.475*44/12</f>
        <v>0</v>
      </c>
      <c r="GO17" s="23">
        <f t="shared" si="27"/>
        <v>0</v>
      </c>
      <c r="GP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0" t="e">
        <f t="shared" si="29"/>
        <v>#N/A</v>
      </c>
      <c r="GZ17" s="60" t="e">
        <f ca="1">AVERAGE(OFFSET($GY$3,0,0,'Données projet'!$E$18+1,1))-AVERAGE(OFFSET($H$3,0,0,'Données projet'!$E$18+1,1))</f>
        <v>#N/A</v>
      </c>
      <c r="HA17" s="60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4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2">
        <f t="shared" si="32"/>
        <v>2.9548110908066194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7.1952941176470588</v>
      </c>
      <c r="N18" s="14">
        <f>IF('Données projet'!$A$36&gt;35,N17+M18-V17,IF(A18&lt;'Données projet'!$A$36,$K$205^A18,IF(A18='Données projet'!$A$36,'Données projet'!$B$36,N17+M18-V17)))</f>
        <v>69.487955592441367</v>
      </c>
      <c r="O18" s="14">
        <f>N18*VLOOKUP('Données projet'!$B$9,Paramètres!$A$1:$I$89,3,0)*VLOOKUP('Données projet'!$B$9,Paramètres!$A$1:$I$89,5,0)</f>
        <v>41.553797444279937</v>
      </c>
      <c r="P18" s="14">
        <f t="shared" si="33"/>
        <v>12.409563214842624</v>
      </c>
      <c r="Q18" s="22">
        <f t="shared" si="2"/>
        <v>93.986186481305097</v>
      </c>
      <c r="R18" s="60">
        <f t="shared" si="0"/>
        <v>387.3195198146384</v>
      </c>
      <c r="S18" s="60">
        <f ca="1">AVERAGE(OFFSET($R$3,0,0,'Données projet'!$E$9+1,1))-AVERAGE(OFFSET($H$3,0,0,'Données projet'!$E$9+1,1))</f>
        <v>235.63766249714581</v>
      </c>
      <c r="T18" s="60">
        <f t="shared" si="34"/>
        <v>231.3297293785277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2.1</v>
      </c>
      <c r="AI18" s="14">
        <f>IF('Données projet'!$A$62&gt;35,AI17+AH18-AQ17,IF(A18&lt;'Données projet'!$A$62,$AF$205^A18,IF(A18='Données projet'!$A$62,'Données projet'!$B$62,AI17+AH18-AQ17)))</f>
        <v>16.498215337821566</v>
      </c>
      <c r="AJ18" s="14">
        <f>AI18*VLOOKUP('Données projet'!$B$10,Paramètres!$A$1:$I$89,3,0)*VLOOKUP('Données projet'!$B$10,Paramètres!$A$1:$I$89,5,0)</f>
        <v>16.729190352551068</v>
      </c>
      <c r="AK18" s="14">
        <f t="shared" si="35"/>
        <v>5.5541103821765283</v>
      </c>
      <c r="AL18" s="22">
        <f t="shared" si="4"/>
        <v>38.810082112983899</v>
      </c>
      <c r="AM18" s="60">
        <f t="shared" si="5"/>
        <v>332.14341544631719</v>
      </c>
      <c r="AN18" s="60">
        <f ca="1">AVERAGE(OFFSET($AM$3,0,0,'Données projet'!$E$10+1,1))-AVERAGE(OFFSET($H$3,0,0,'Données projet'!$E$10+1,1))</f>
        <v>350.3652766444938</v>
      </c>
      <c r="AO18" s="60">
        <f t="shared" si="36"/>
        <v>197.04549436738586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6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2.1</v>
      </c>
      <c r="BD18" s="13">
        <f>IF('Données projet'!$A$88&gt;35,BD17+BC18-BL17,IF(A18&lt;'Données projet'!$A$88,$BA$205^A18,IF(A18='Données projet'!$A$88,'Données projet'!$B$88,BD17+BC18-BL17)))</f>
        <v>16.498215337821566</v>
      </c>
      <c r="BE18" s="14">
        <f>BD18*VLOOKUP('Données projet'!$B$11,Paramètres!$A$1:$I$89,3,0)*VLOOKUP('Données projet'!$B$11,Paramètres!$A$1:$I$89,5,0)</f>
        <v>15.957073874741019</v>
      </c>
      <c r="BF18" s="14">
        <f t="shared" si="37"/>
        <v>5.3269860755326848</v>
      </c>
      <c r="BG18" s="22">
        <f t="shared" si="7"/>
        <v>37.069737746726702</v>
      </c>
      <c r="BH18" s="60">
        <f t="shared" si="8"/>
        <v>330.40307108006004</v>
      </c>
      <c r="BI18" s="60">
        <f ca="1">AVERAGE(OFFSET($BH$3,0,0,'Données projet'!$E$11+1,1))-AVERAGE(OFFSET($H$3,0,0,'Données projet'!$E$11+1,1))</f>
        <v>330.39429528665841</v>
      </c>
      <c r="BJ18" s="60">
        <f t="shared" si="38"/>
        <v>186.45728006007261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>
        <f>VLOOKUP(A18,'Données projet'!$A$113:$I$133,2,0)</f>
        <v>50</v>
      </c>
      <c r="BW18" s="13">
        <f>VLOOKUP(A18,'Données projet'!$A$113:$I$133,9,0)</f>
        <v>3.3333333333333335</v>
      </c>
      <c r="BX18" s="13">
        <f t="array" ref="BX18">INDEX(BW:BW,MIN(IF(ISNUMBER(BW18:BW214),ROW(BW18:BW214),"")))</f>
        <v>3.3333333333333335</v>
      </c>
      <c r="BY18" s="13">
        <f>IF('Données projet'!$A$114&gt;35,BY17+BX18-CG17,IF(A18&lt;'Données projet'!$A$114,$BV$205^A18,IF(A18='Données projet'!$A$114,'Données projet'!$B$114,BY17+BX18-CG17)))</f>
        <v>50</v>
      </c>
      <c r="BZ18" s="14">
        <f>BY18*VLOOKUP('Données projet'!$B$12,Paramètres!$A$1:$I$89,3,0)*VLOOKUP('Données projet'!$B$12,Paramètres!$A$1:$I$89,5,0)</f>
        <v>33.54</v>
      </c>
      <c r="CA18" s="14">
        <f t="shared" si="39"/>
        <v>10.269270252156668</v>
      </c>
      <c r="CB18" s="22">
        <f t="shared" si="10"/>
        <v>76.301145689172856</v>
      </c>
      <c r="CC18" s="60">
        <f t="shared" si="11"/>
        <v>369.63447902250618</v>
      </c>
      <c r="CD18" s="60">
        <f ca="1">AVERAGE(OFFSET($CC$3,0,0,'Données projet'!$E$12+1,1))-AVERAGE(OFFSET($H$3,0,0,'Données projet'!$E$12+1,1))</f>
        <v>212.33913923444732</v>
      </c>
      <c r="CE18" s="60">
        <f t="shared" si="40"/>
        <v>183.51194426094372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5.2</v>
      </c>
      <c r="CT18" s="13">
        <f>IF('Données projet'!$A$140&gt;35,CT17+CS18-DB17,IF(A18&lt;'Données projet'!$A$140,$CQ$205^A18,IF(A18='Données projet'!$A$140,'Données projet'!$B$140,CT17+CS18-DB17)))</f>
        <v>32.56679380638046</v>
      </c>
      <c r="CU18" s="18">
        <f>CT18*VLOOKUP('Données projet'!$B$13,Paramètres!$A$1:$I$89,3,0)*VLOOKUP('Données projet'!$B$13,Paramètres!$A$1:$I$89,5,0)</f>
        <v>28.450351069253973</v>
      </c>
      <c r="CV18" s="14">
        <f t="shared" si="41"/>
        <v>8.8794056026224197</v>
      </c>
      <c r="CW18" s="22">
        <f t="shared" si="13"/>
        <v>65.015992870184718</v>
      </c>
      <c r="CX18" s="60">
        <f t="shared" si="14"/>
        <v>358.34932620351805</v>
      </c>
      <c r="CY18" s="60">
        <f ca="1">AVERAGE(OFFSET($CX$3,0,0,'Données projet'!$E$13+1,1))-AVERAGE(OFFSET($H$3,0,0,'Données projet'!$E$13+1,1))</f>
        <v>228.0393346366489</v>
      </c>
      <c r="CZ18" s="60">
        <f t="shared" si="42"/>
        <v>238.591781509447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2.1</v>
      </c>
      <c r="DO18" s="13">
        <f>IF('Données projet'!$A$166&gt;35,DO17+DN18-DW17,IF(A18&lt;'Données projet'!$A$166,$DL$205^A18,IF(A18='Données projet'!$A$166,'Données projet'!$B$166,DO17+DN18-DW17)))</f>
        <v>16.498215337821566</v>
      </c>
      <c r="DP18" s="18">
        <f>DO18*VLOOKUP('Données projet'!$B$14,Paramètres!$A$1:$I$89,3,0)*VLOOKUP('Données projet'!$B$14,Paramètres!$A$1:$I$89,5,0)</f>
        <v>14.927585237660953</v>
      </c>
      <c r="DQ18" s="14">
        <f t="shared" si="43"/>
        <v>5.0221449106318534</v>
      </c>
      <c r="DR18" s="22">
        <f t="shared" si="16"/>
        <v>34.745780008276633</v>
      </c>
      <c r="DS18" s="60">
        <f t="shared" si="17"/>
        <v>328.07911334160997</v>
      </c>
      <c r="DT18" s="60">
        <f ca="1">AVERAGE(OFFSET($DS$3,0,0,'Données projet'!$E$14+1,1))-AVERAGE(OFFSET($H$3,0,0,'Données projet'!$E$14+1,1))</f>
        <v>303.73499739059076</v>
      </c>
      <c r="DU18" s="60">
        <f t="shared" si="44"/>
        <v>172.32171001882188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5.8890909090909096</v>
      </c>
      <c r="EJ18" s="13">
        <f>IF('Données projet'!$A$192&gt;35,EJ17+EI18-ER17,IF(A18&lt;'Données projet'!$A$192,$EG$205^A18,IF(A18='Données projet'!$A$192,'Données projet'!$B$192,EJ17+EI18-ER17)))</f>
        <v>27.562657913521289</v>
      </c>
      <c r="EK18" s="18">
        <f>EJ18*VLOOKUP('Données projet'!$B$15,Paramètres!$A$1:$I$89,3,0)*VLOOKUP('Données projet'!$B$15,Paramètres!$A$1:$I$89,5,0)</f>
        <v>16.482469432285733</v>
      </c>
      <c r="EL18" s="14">
        <f t="shared" si="45"/>
        <v>5.4816708002179473</v>
      </c>
      <c r="EM18" s="22">
        <f t="shared" si="19"/>
        <v>38.254210904943911</v>
      </c>
      <c r="EN18" s="60">
        <f t="shared" si="20"/>
        <v>331.58754423827725</v>
      </c>
      <c r="EO18" s="60">
        <f ca="1">AVERAGE(OFFSET($EN$3,0,0,'Données projet'!$E$15+1,1))-AVERAGE(OFFSET($H$3,0,0,'Données projet'!$E$15+1,1))</f>
        <v>269.94948820700841</v>
      </c>
      <c r="EP18" s="60">
        <f t="shared" si="46"/>
        <v>183.45158355135192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3.78125</v>
      </c>
      <c r="FE18" s="13">
        <f>IF('Données projet'!$A$218&gt;35,FE17+FD18-FM17,IF(A18&lt;'Données projet'!$A$218,$FB$205^A18,IF(A18='Données projet'!$A$218,'Données projet'!$B$218,FE17+FD18-FM17)))</f>
        <v>9.4690332669953108</v>
      </c>
      <c r="FF18" s="18">
        <f>FE18*VLOOKUP('Données projet'!$B$16,Paramètres!$A$1:$I$89,3,0)*VLOOKUP('Données projet'!$B$16,Paramètres!$A$1:$I$89,5,0)</f>
        <v>5.6624818936631964</v>
      </c>
      <c r="FG18" s="14">
        <f t="shared" si="47"/>
        <v>2.1325975041867737</v>
      </c>
      <c r="FH18" s="22">
        <f t="shared" si="22"/>
        <v>13.576429951255363</v>
      </c>
      <c r="FI18" s="60">
        <f t="shared" si="23"/>
        <v>306.90976328458868</v>
      </c>
      <c r="FJ18" s="60">
        <f ca="1">AVERAGE(OFFSET($FI$3,0,0,'Données projet'!$E$16+1,1))-AVERAGE(OFFSET($H$3,0,0,'Données projet'!$E$16+1,1))</f>
        <v>111.24788725253484</v>
      </c>
      <c r="FK18" s="60">
        <f t="shared" si="48"/>
        <v>82.434879813357327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projet'!$B$16,Paramètres!$A$1:$I$89,3,0)*0.475*44/12</f>
        <v>0</v>
      </c>
      <c r="FR18" s="23">
        <f>EXP(-LN(2)/25)*FR17+(1-EXP(-LN(2)/25))/(LN(2)/25)*Calculateur!FM18*Calculateur!FO18*VLOOKUP('Données projet'!$B$16,Paramètres!$A$1:$I$89,3,0)*0.475*44/12</f>
        <v>0</v>
      </c>
      <c r="FS18" s="23">
        <f>EXP(-LN(2)/2)*FS17+(1-EXP(-LN(2)/2))/(LN(2)/2)*FM18*FP18*VLOOKUP('Données projet'!$B$16,Paramètres!$A$1:$I$89,3,0)*0.475*44/12</f>
        <v>0</v>
      </c>
      <c r="FT18" s="24">
        <f t="shared" si="24"/>
        <v>0</v>
      </c>
      <c r="FU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4.3888888888888893</v>
      </c>
      <c r="FZ18" s="13">
        <f>IF('Données projet'!$A$244&gt;35,FZ17+FY18-GH17,IF(A18&lt;'Données projet'!$A$244,$FW$205^A18,IF(A18='Données projet'!$A$244,'Données projet'!$B$244,FZ17+FY18-GH17)))</f>
        <v>38.137823929086359</v>
      </c>
      <c r="GA18" s="18">
        <f>FZ18*VLOOKUP('Données projet'!$B$17,Paramètres!$A$1:$I$89,3,0)*VLOOKUP('Données projet'!$B$17,Paramètres!$A$1:$I$89,5,0)</f>
        <v>16.856918176656173</v>
      </c>
      <c r="GB18" s="14">
        <f t="shared" si="49"/>
        <v>5.5915635301024</v>
      </c>
      <c r="GC18" s="22">
        <f t="shared" si="25"/>
        <v>39.097772305937845</v>
      </c>
      <c r="GD18" s="60">
        <f t="shared" si="26"/>
        <v>332.43110563927115</v>
      </c>
      <c r="GE18" s="60">
        <f ca="1">AVERAGE(OFFSET($GD$3,0,0,'Données projet'!$E$17+1,1))-AVERAGE(OFFSET($H$3,0,0,'Données projet'!$E$17+1,1))</f>
        <v>323.56667371063662</v>
      </c>
      <c r="GF18" s="60">
        <f t="shared" si="50"/>
        <v>275.70373467723385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>
        <f>EXP(-LN(2)/35)*GL17+(1-EXP(-LN(2)/35))/(LN(2)/35)*GH18*GI18*VLOOKUP('Données projet'!$B$17,Paramètres!$A$1:$I$89,3,0)*0.475*44/12</f>
        <v>0</v>
      </c>
      <c r="GM18" s="23">
        <f>EXP(-LN(2)/25)*GM17+(1-EXP(-LN(2)/25))/(LN(2)/25)*Calculateur!GH18*Calculateur!GJ18*VLOOKUP('Données projet'!$B$17,Paramètres!$A$1:$I$89,3,0)*0.475*44/12</f>
        <v>0</v>
      </c>
      <c r="GN18" s="23">
        <f>EXP(-LN(2)/2)*GN17+(1-EXP(-LN(2)/2))/(LN(2)/2)*GH18*GK18*VLOOKUP('Données projet'!$B$17,Paramètres!$A$1:$I$89,3,0)*0.475*44/12</f>
        <v>0</v>
      </c>
      <c r="GO18" s="23">
        <f t="shared" si="27"/>
        <v>0</v>
      </c>
      <c r="GP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0" t="e">
        <f t="shared" si="29"/>
        <v>#N/A</v>
      </c>
      <c r="GZ18" s="60" t="e">
        <f ca="1">AVERAGE(OFFSET($GY$3,0,0,'Données projet'!$E$18+1,1))-AVERAGE(OFFSET($H$3,0,0,'Données projet'!$E$18+1,1))</f>
        <v>#N/A</v>
      </c>
      <c r="HA18" s="60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4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2">
        <f t="shared" si="32"/>
        <v>3.1282100045396777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7.1952941176470588</v>
      </c>
      <c r="N19" s="14">
        <f>IF('Données projet'!$A$36&gt;35,N18+M19-V18,IF(A19&lt;'Données projet'!$A$36,$K$205^A19,IF(A19='Données projet'!$A$36,'Données projet'!$B$36,N18+M19-V18)))</f>
        <v>92.194179469570756</v>
      </c>
      <c r="O19" s="14">
        <f>N19*VLOOKUP('Données projet'!$B$9,Paramètres!$A$1:$I$89,3,0)*VLOOKUP('Données projet'!$B$9,Paramètres!$A$1:$I$89,5,0)</f>
        <v>55.13211932280332</v>
      </c>
      <c r="P19" s="14">
        <f t="shared" si="33"/>
        <v>15.931521231978957</v>
      </c>
      <c r="Q19" s="22">
        <f t="shared" si="2"/>
        <v>123.76917396624582</v>
      </c>
      <c r="R19" s="60">
        <f t="shared" si="0"/>
        <v>417.10250729957914</v>
      </c>
      <c r="S19" s="60">
        <f ca="1">AVERAGE(OFFSET($R$3,0,0,'Données projet'!$E$9+1,1))-AVERAGE(OFFSET($H$3,0,0,'Données projet'!$E$9+1,1))</f>
        <v>235.63766249714581</v>
      </c>
      <c r="T19" s="60">
        <f t="shared" si="34"/>
        <v>231.3297293785277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2.1</v>
      </c>
      <c r="AI19" s="14">
        <f>IF('Données projet'!$A$62&gt;35,AI18+AH19-AQ18,IF(A19&lt;'Données projet'!$A$62,$AF$205^A19,IF(A19='Données projet'!$A$62,'Données projet'!$B$62,AI18+AH19-AQ18)))</f>
        <v>19.888381054913147</v>
      </c>
      <c r="AJ19" s="14">
        <f>AI19*VLOOKUP('Données projet'!$B$10,Paramètres!$A$1:$I$89,3,0)*VLOOKUP('Données projet'!$B$10,Paramètres!$A$1:$I$89,5,0)</f>
        <v>20.166818389681932</v>
      </c>
      <c r="AK19" s="14">
        <f t="shared" si="35"/>
        <v>6.5513327797938032</v>
      </c>
      <c r="AL19" s="22">
        <f t="shared" si="4"/>
        <v>46.534113286836906</v>
      </c>
      <c r="AM19" s="60">
        <f t="shared" si="5"/>
        <v>339.8674466201702</v>
      </c>
      <c r="AN19" s="60">
        <f ca="1">AVERAGE(OFFSET($AM$3,0,0,'Données projet'!$E$10+1,1))-AVERAGE(OFFSET($H$3,0,0,'Données projet'!$E$10+1,1))</f>
        <v>350.3652766444938</v>
      </c>
      <c r="AO19" s="60">
        <f t="shared" si="36"/>
        <v>197.04549436738586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6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2.1</v>
      </c>
      <c r="BD19" s="13">
        <f>IF('Données projet'!$A$88&gt;35,BD18+BC19-BL18,IF(A19&lt;'Données projet'!$A$88,$BA$205^A19,IF(A19='Données projet'!$A$88,'Données projet'!$B$88,BD18+BC19-BL18)))</f>
        <v>19.888381054913147</v>
      </c>
      <c r="BE19" s="14">
        <f>BD19*VLOOKUP('Données projet'!$B$11,Paramètres!$A$1:$I$89,3,0)*VLOOKUP('Données projet'!$B$11,Paramètres!$A$1:$I$89,5,0)</f>
        <v>19.236042156311996</v>
      </c>
      <c r="BF19" s="14">
        <f t="shared" si="37"/>
        <v>6.2834290449348904</v>
      </c>
      <c r="BG19" s="22">
        <f t="shared" si="7"/>
        <v>44.446412342171662</v>
      </c>
      <c r="BH19" s="60">
        <f t="shared" si="8"/>
        <v>337.77974567550496</v>
      </c>
      <c r="BI19" s="60">
        <f ca="1">AVERAGE(OFFSET($BH$3,0,0,'Données projet'!$E$11+1,1))-AVERAGE(OFFSET($H$3,0,0,'Données projet'!$E$11+1,1))</f>
        <v>330.39429528665841</v>
      </c>
      <c r="BJ19" s="60">
        <f t="shared" si="38"/>
        <v>186.45728006007261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8.2051282051282044</v>
      </c>
      <c r="BY19" s="13">
        <f>IF('Données projet'!$A$114&gt;35,BY18+BX19-CG18,IF(A19&lt;'Données projet'!$A$114,$BV$205^A19,IF(A19='Données projet'!$A$114,'Données projet'!$B$114,BY18+BX19-CG18)))</f>
        <v>58.205128205128204</v>
      </c>
      <c r="BZ19" s="14">
        <f>BY19*VLOOKUP('Données projet'!$B$12,Paramètres!$A$1:$I$89,3,0)*VLOOKUP('Données projet'!$B$12,Paramètres!$A$1:$I$89,5,0)</f>
        <v>39.043999999999997</v>
      </c>
      <c r="CA19" s="14">
        <f t="shared" si="39"/>
        <v>11.744903368873258</v>
      </c>
      <c r="CB19" s="22">
        <f t="shared" si="10"/>
        <v>88.457340034120918</v>
      </c>
      <c r="CC19" s="60">
        <f t="shared" si="11"/>
        <v>381.79067336745425</v>
      </c>
      <c r="CD19" s="60">
        <f ca="1">AVERAGE(OFFSET($CC$3,0,0,'Données projet'!$E$12+1,1))-AVERAGE(OFFSET($H$3,0,0,'Données projet'!$E$12+1,1))</f>
        <v>212.33913923444732</v>
      </c>
      <c r="CE19" s="60">
        <f t="shared" si="40"/>
        <v>183.51194426094372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5.2</v>
      </c>
      <c r="CT19" s="13">
        <f>IF('Données projet'!$A$140&gt;35,CT18+CS19-DB18,IF(A19&lt;'Données projet'!$A$140,$CQ$205^A19,IF(A19='Données projet'!$A$140,'Données projet'!$B$140,CT18+CS19-DB18)))</f>
        <v>41.079644012645062</v>
      </c>
      <c r="CU19" s="18">
        <f>CT19*VLOOKUP('Données projet'!$B$13,Paramètres!$A$1:$I$89,3,0)*VLOOKUP('Données projet'!$B$13,Paramètres!$A$1:$I$89,5,0)</f>
        <v>35.887177009446731</v>
      </c>
      <c r="CV19" s="14">
        <f t="shared" si="41"/>
        <v>10.90175524635071</v>
      </c>
      <c r="CW19" s="22">
        <f t="shared" si="13"/>
        <v>81.490723678847203</v>
      </c>
      <c r="CX19" s="60">
        <f t="shared" si="14"/>
        <v>374.8240570121805</v>
      </c>
      <c r="CY19" s="60">
        <f ca="1">AVERAGE(OFFSET($CX$3,0,0,'Données projet'!$E$13+1,1))-AVERAGE(OFFSET($H$3,0,0,'Données projet'!$E$13+1,1))</f>
        <v>228.0393346366489</v>
      </c>
      <c r="CZ19" s="60">
        <f t="shared" si="42"/>
        <v>238.591781509447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2.1</v>
      </c>
      <c r="DO19" s="13">
        <f>IF('Données projet'!$A$166&gt;35,DO18+DN19-DW18,IF(A19&lt;'Données projet'!$A$166,$DL$205^A19,IF(A19='Données projet'!$A$166,'Données projet'!$B$166,DO18+DN19-DW18)))</f>
        <v>19.888381054913147</v>
      </c>
      <c r="DP19" s="18">
        <f>DO19*VLOOKUP('Données projet'!$B$14,Paramètres!$A$1:$I$89,3,0)*VLOOKUP('Données projet'!$B$14,Paramètres!$A$1:$I$89,5,0)</f>
        <v>17.995007178485412</v>
      </c>
      <c r="DQ19" s="14">
        <f t="shared" si="43"/>
        <v>5.9238546434872337</v>
      </c>
      <c r="DR19" s="22">
        <f t="shared" si="16"/>
        <v>41.658684339935689</v>
      </c>
      <c r="DS19" s="60">
        <f t="shared" si="17"/>
        <v>334.992017673269</v>
      </c>
      <c r="DT19" s="60">
        <f ca="1">AVERAGE(OFFSET($DS$3,0,0,'Données projet'!$E$14+1,1))-AVERAGE(OFFSET($H$3,0,0,'Données projet'!$E$14+1,1))</f>
        <v>303.73499739059076</v>
      </c>
      <c r="DU19" s="60">
        <f t="shared" si="44"/>
        <v>172.32171001882188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5.8890909090909096</v>
      </c>
      <c r="EJ19" s="13">
        <f>IF('Données projet'!$A$192&gt;35,EJ18+EI19-ER18,IF(A19&lt;'Données projet'!$A$192,$EG$205^A19,IF(A19='Données projet'!$A$192,'Données projet'!$B$192,EJ18+EI19-ER18)))</f>
        <v>34.382899778126003</v>
      </c>
      <c r="EK19" s="18">
        <f>EJ19*VLOOKUP('Données projet'!$B$15,Paramètres!$A$1:$I$89,3,0)*VLOOKUP('Données projet'!$B$15,Paramètres!$A$1:$I$89,5,0)</f>
        <v>20.560974067319354</v>
      </c>
      <c r="EL19" s="14">
        <f t="shared" si="45"/>
        <v>6.6643449029146105</v>
      </c>
      <c r="EM19" s="22">
        <f t="shared" si="19"/>
        <v>47.417430539824153</v>
      </c>
      <c r="EN19" s="60">
        <f t="shared" si="20"/>
        <v>340.75076387315744</v>
      </c>
      <c r="EO19" s="60">
        <f ca="1">AVERAGE(OFFSET($EN$3,0,0,'Données projet'!$E$15+1,1))-AVERAGE(OFFSET($H$3,0,0,'Données projet'!$E$15+1,1))</f>
        <v>269.94948820700841</v>
      </c>
      <c r="EP19" s="60">
        <f t="shared" si="46"/>
        <v>183.45158355135192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3.78125</v>
      </c>
      <c r="FE19" s="13">
        <f>IF('Données projet'!$A$218&gt;35,FE18+FD19-FM18,IF(A19&lt;'Données projet'!$A$218,$FB$205^A19,IF(A19='Données projet'!$A$218,'Données projet'!$B$218,FE18+FD19-FM18)))</f>
        <v>10.999999999999991</v>
      </c>
      <c r="FF19" s="18">
        <f>FE19*VLOOKUP('Données projet'!$B$16,Paramètres!$A$1:$I$89,3,0)*VLOOKUP('Données projet'!$B$16,Paramètres!$A$1:$I$89,5,0)</f>
        <v>6.577999999999995</v>
      </c>
      <c r="FG19" s="14">
        <f t="shared" si="47"/>
        <v>2.4345562183329097</v>
      </c>
      <c r="FH19" s="22">
        <f t="shared" si="22"/>
        <v>15.696868746929809</v>
      </c>
      <c r="FI19" s="60">
        <f t="shared" si="23"/>
        <v>309.03020208026311</v>
      </c>
      <c r="FJ19" s="60">
        <f ca="1">AVERAGE(OFFSET($FI$3,0,0,'Données projet'!$E$16+1,1))-AVERAGE(OFFSET($H$3,0,0,'Données projet'!$E$16+1,1))</f>
        <v>111.24788725253484</v>
      </c>
      <c r="FK19" s="60">
        <f t="shared" si="48"/>
        <v>82.434879813357327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projet'!$B$16,Paramètres!$A$1:$I$89,3,0)*0.475*44/12</f>
        <v>0</v>
      </c>
      <c r="FR19" s="23">
        <f>EXP(-LN(2)/25)*FR18+(1-EXP(-LN(2)/25))/(LN(2)/25)*Calculateur!FM19*Calculateur!FO19*VLOOKUP('Données projet'!$B$16,Paramètres!$A$1:$I$89,3,0)*0.475*44/12</f>
        <v>0</v>
      </c>
      <c r="FS19" s="23">
        <f>EXP(-LN(2)/2)*FS18+(1-EXP(-LN(2)/2))/(LN(2)/2)*FM19*FP19*VLOOKUP('Données projet'!$B$16,Paramètres!$A$1:$I$89,3,0)*0.475*44/12</f>
        <v>0</v>
      </c>
      <c r="FT19" s="24">
        <f t="shared" si="24"/>
        <v>0</v>
      </c>
      <c r="FU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4.3888888888888893</v>
      </c>
      <c r="FZ19" s="13">
        <f>IF('Données projet'!$A$244&gt;35,FZ18+FY19-GH18,IF(A19&lt;'Données projet'!$A$244,$FW$205^A19,IF(A19='Données projet'!$A$244,'Données projet'!$B$244,FZ18+FY19-GH18)))</f>
        <v>48.616046272939776</v>
      </c>
      <c r="GA19" s="18">
        <f>FZ19*VLOOKUP('Données projet'!$B$17,Paramètres!$A$1:$I$89,3,0)*VLOOKUP('Données projet'!$B$17,Paramètres!$A$1:$I$89,5,0)</f>
        <v>21.488292452639385</v>
      </c>
      <c r="GB19" s="14">
        <f t="shared" si="49"/>
        <v>6.9292410420596973</v>
      </c>
      <c r="GC19" s="22">
        <f t="shared" si="25"/>
        <v>49.493870836600898</v>
      </c>
      <c r="GD19" s="60">
        <f t="shared" si="26"/>
        <v>342.82720416993419</v>
      </c>
      <c r="GE19" s="60">
        <f ca="1">AVERAGE(OFFSET($GD$3,0,0,'Données projet'!$E$17+1,1))-AVERAGE(OFFSET($H$3,0,0,'Données projet'!$E$17+1,1))</f>
        <v>323.56667371063662</v>
      </c>
      <c r="GF19" s="60">
        <f t="shared" si="50"/>
        <v>275.70373467723385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>
        <f>EXP(-LN(2)/35)*GL18+(1-EXP(-LN(2)/35))/(LN(2)/35)*GH19*GI19*VLOOKUP('Données projet'!$B$17,Paramètres!$A$1:$I$89,3,0)*0.475*44/12</f>
        <v>0</v>
      </c>
      <c r="GM19" s="23">
        <f>EXP(-LN(2)/25)*GM18+(1-EXP(-LN(2)/25))/(LN(2)/25)*Calculateur!GH19*Calculateur!GJ19*VLOOKUP('Données projet'!$B$17,Paramètres!$A$1:$I$89,3,0)*0.475*44/12</f>
        <v>0</v>
      </c>
      <c r="GN19" s="23">
        <f>EXP(-LN(2)/2)*GN18+(1-EXP(-LN(2)/2))/(LN(2)/2)*GH19*GK19*VLOOKUP('Données projet'!$B$17,Paramètres!$A$1:$I$89,3,0)*0.475*44/12</f>
        <v>0</v>
      </c>
      <c r="GO19" s="23">
        <f t="shared" si="27"/>
        <v>0</v>
      </c>
      <c r="GP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0" t="e">
        <f t="shared" si="29"/>
        <v>#N/A</v>
      </c>
      <c r="GZ19" s="60" t="e">
        <f ca="1">AVERAGE(OFFSET($GY$3,0,0,'Données projet'!$E$18+1,1))-AVERAGE(OFFSET($H$3,0,0,'Données projet'!$E$18+1,1))</f>
        <v>#N/A</v>
      </c>
      <c r="HA19" s="60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4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2">
        <f t="shared" si="32"/>
        <v>3.3003511545061563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>
        <f>VLOOKUP(A20,'Données projet'!$A$35:$I$55,2,0)</f>
        <v>122.32</v>
      </c>
      <c r="L20" s="13">
        <f>VLOOKUP(A20,'Données projet'!$A$35:$I$55,9,0)</f>
        <v>7.1952941176470588</v>
      </c>
      <c r="M20" s="13">
        <f t="array" ref="M20">INDEX(L:L,MIN(IF(ISNUMBER(L20:L216),ROW(L20:L216),"")))</f>
        <v>7.1952941176470588</v>
      </c>
      <c r="N20" s="14">
        <f>IF('Données projet'!$A$36&gt;35,N19+M20-V19,IF(A20&lt;'Données projet'!$A$36,$K$205^A20,IF(A20='Données projet'!$A$36,'Données projet'!$B$36,N19+M20-V19)))</f>
        <v>122.32</v>
      </c>
      <c r="O20" s="14">
        <f>N20*VLOOKUP('Données projet'!$B$9,Paramètres!$A$1:$I$89,3,0)*VLOOKUP('Données projet'!$B$9,Paramètres!$A$1:$I$89,5,0)</f>
        <v>73.147360000000006</v>
      </c>
      <c r="P20" s="14">
        <f t="shared" si="33"/>
        <v>20.453046120222783</v>
      </c>
      <c r="Q20" s="22">
        <f t="shared" si="2"/>
        <v>163.02070732605469</v>
      </c>
      <c r="R20" s="60">
        <f t="shared" si="0"/>
        <v>456.35404065938803</v>
      </c>
      <c r="S20" s="60">
        <f ca="1">AVERAGE(OFFSET($R$3,0,0,'Données projet'!$E$9+1,1))-AVERAGE(OFFSET($H$3,0,0,'Données projet'!$E$9+1,1))</f>
        <v>235.63766249714581</v>
      </c>
      <c r="T20" s="60">
        <f t="shared" si="34"/>
        <v>231.3297293785277</v>
      </c>
      <c r="U20" s="16">
        <f>IF(ISNA(VLOOKUP(A20,'Données projet'!$A$35:$I$55,3,0)),0,VLOOKUP(A20,'Données projet'!$A$35:$I$55,3,0))</f>
        <v>1</v>
      </c>
      <c r="V20" s="16">
        <f>IF(ISNA(VLOOKUP(A20,'Données projet'!$A$35:$I$55,4,0)),0,VLOOKUP(A20,'Données projet'!$A$35:$I$55,4,0))</f>
        <v>40.76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0.22500000000000001</v>
      </c>
      <c r="Y20" s="17">
        <f>IF(ISNA(VLOOKUP(A20,'Données projet'!$A$35:$I$55,7,0)),0%,VLOOKUP(A20,'Données projet'!$A$35:$I$55,7,0))</f>
        <v>0.5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7.2465764072429151</v>
      </c>
      <c r="AB20" s="23">
        <f>EXP(-LN(2)/2)*AB19+(1-EXP(-LN(2)/2))/(LN(2)/2)*V20*Y20*VLOOKUP('Données projet'!$B$9,Paramètres!$A$1:$I$89,3,0)*0.475*44/12</f>
        <v>13.798786745706444</v>
      </c>
      <c r="AC20" s="24">
        <f t="shared" si="3"/>
        <v>21.04536315294936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2.1</v>
      </c>
      <c r="AI20" s="14">
        <f>IF('Données projet'!$A$62&gt;35,AI19+AH20-AQ19,IF(A20&lt;'Données projet'!$A$62,$AF$205^A20,IF(A20='Données projet'!$A$62,'Données projet'!$B$62,AI19+AH20-AQ19)))</f>
        <v>23.975181126327602</v>
      </c>
      <c r="AJ20" s="14">
        <f>AI20*VLOOKUP('Données projet'!$B$10,Paramètres!$A$1:$I$89,3,0)*VLOOKUP('Données projet'!$B$10,Paramètres!$A$1:$I$89,5,0)</f>
        <v>24.31083366209619</v>
      </c>
      <c r="AK20" s="14">
        <f t="shared" si="35"/>
        <v>7.7276032052466093</v>
      </c>
      <c r="AL20" s="22">
        <f t="shared" si="4"/>
        <v>55.800277543955367</v>
      </c>
      <c r="AM20" s="60">
        <f t="shared" si="5"/>
        <v>349.13361087728867</v>
      </c>
      <c r="AN20" s="60">
        <f ca="1">AVERAGE(OFFSET($AM$3,0,0,'Données projet'!$E$10+1,1))-AVERAGE(OFFSET($H$3,0,0,'Données projet'!$E$10+1,1))</f>
        <v>350.3652766444938</v>
      </c>
      <c r="AO20" s="60">
        <f t="shared" si="36"/>
        <v>197.04549436738586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6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2.1</v>
      </c>
      <c r="BD20" s="13">
        <f>IF('Données projet'!$A$88&gt;35,BD19+BC20-BL19,IF(A20&lt;'Données projet'!$A$88,$BA$205^A20,IF(A20='Données projet'!$A$88,'Données projet'!$B$88,BD19+BC20-BL19)))</f>
        <v>23.975181126327602</v>
      </c>
      <c r="BE20" s="14">
        <f>BD20*VLOOKUP('Données projet'!$B$11,Paramètres!$A$1:$I$89,3,0)*VLOOKUP('Données projet'!$B$11,Paramètres!$A$1:$I$89,5,0)</f>
        <v>23.188795185384055</v>
      </c>
      <c r="BF20" s="14">
        <f t="shared" si="37"/>
        <v>7.4115982288884323</v>
      </c>
      <c r="BG20" s="22">
        <f t="shared" si="7"/>
        <v>53.29568519652458</v>
      </c>
      <c r="BH20" s="60">
        <f t="shared" si="8"/>
        <v>346.62901852985789</v>
      </c>
      <c r="BI20" s="60">
        <f ca="1">AVERAGE(OFFSET($BH$3,0,0,'Données projet'!$E$11+1,1))-AVERAGE(OFFSET($H$3,0,0,'Données projet'!$E$11+1,1))</f>
        <v>330.39429528665841</v>
      </c>
      <c r="BJ20" s="60">
        <f t="shared" si="38"/>
        <v>186.45728006007261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8.2051282051282044</v>
      </c>
      <c r="BY20" s="13">
        <f>IF('Données projet'!$A$114&gt;35,BY19+BX20-CG19,IF(A20&lt;'Données projet'!$A$114,$BV$205^A20,IF(A20='Données projet'!$A$114,'Données projet'!$B$114,BY19+BX20-CG19)))</f>
        <v>66.410256410256409</v>
      </c>
      <c r="BZ20" s="14">
        <f>BY20*VLOOKUP('Données projet'!$B$12,Paramètres!$A$1:$I$89,3,0)*VLOOKUP('Données projet'!$B$12,Paramètres!$A$1:$I$89,5,0)</f>
        <v>44.548000000000002</v>
      </c>
      <c r="CA20" s="14">
        <f t="shared" si="39"/>
        <v>13.196436493358</v>
      </c>
      <c r="CB20" s="22">
        <f t="shared" si="10"/>
        <v>100.57156022593183</v>
      </c>
      <c r="CC20" s="60">
        <f t="shared" si="11"/>
        <v>393.90489355926513</v>
      </c>
      <c r="CD20" s="60">
        <f ca="1">AVERAGE(OFFSET($CC$3,0,0,'Données projet'!$E$12+1,1))-AVERAGE(OFFSET($H$3,0,0,'Données projet'!$E$12+1,1))</f>
        <v>212.33913923444732</v>
      </c>
      <c r="CE20" s="60">
        <f t="shared" si="40"/>
        <v>183.51194426094372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5.2</v>
      </c>
      <c r="CT20" s="13">
        <f>IF('Données projet'!$A$140&gt;35,CT19+CS20-DB19,IF(A20&lt;'Données projet'!$A$140,$CQ$205^A20,IF(A20='Données projet'!$A$140,'Données projet'!$B$140,CT19+CS20-DB19)))</f>
        <v>51.817724588996064</v>
      </c>
      <c r="CU20" s="18">
        <f>CT20*VLOOKUP('Données projet'!$B$13,Paramètres!$A$1:$I$89,3,0)*VLOOKUP('Données projet'!$B$13,Paramètres!$A$1:$I$89,5,0)</f>
        <v>45.26796420094697</v>
      </c>
      <c r="CV20" s="14">
        <f t="shared" si="41"/>
        <v>13.384709829702446</v>
      </c>
      <c r="CW20" s="22">
        <f t="shared" si="13"/>
        <v>102.15340727004774</v>
      </c>
      <c r="CX20" s="60">
        <f t="shared" si="14"/>
        <v>395.48674060338107</v>
      </c>
      <c r="CY20" s="60">
        <f ca="1">AVERAGE(OFFSET($CX$3,0,0,'Données projet'!$E$13+1,1))-AVERAGE(OFFSET($H$3,0,0,'Données projet'!$E$13+1,1))</f>
        <v>228.0393346366489</v>
      </c>
      <c r="CZ20" s="60">
        <f t="shared" si="42"/>
        <v>238.591781509447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2.1</v>
      </c>
      <c r="DO20" s="13">
        <f>IF('Données projet'!$A$166&gt;35,DO19+DN20-DW19,IF(A20&lt;'Données projet'!$A$166,$DL$205^A20,IF(A20='Données projet'!$A$166,'Données projet'!$B$166,DO19+DN20-DW19)))</f>
        <v>23.975181126327602</v>
      </c>
      <c r="DP20" s="18">
        <f>DO20*VLOOKUP('Données projet'!$B$14,Paramètres!$A$1:$I$89,3,0)*VLOOKUP('Données projet'!$B$14,Paramètres!$A$1:$I$89,5,0)</f>
        <v>21.692743883101215</v>
      </c>
      <c r="DQ20" s="14">
        <f t="shared" si="43"/>
        <v>6.98746341685115</v>
      </c>
      <c r="DR20" s="22">
        <f t="shared" si="16"/>
        <v>49.951361047417038</v>
      </c>
      <c r="DS20" s="60">
        <f t="shared" si="17"/>
        <v>343.28469438075035</v>
      </c>
      <c r="DT20" s="60">
        <f ca="1">AVERAGE(OFFSET($DS$3,0,0,'Données projet'!$E$14+1,1))-AVERAGE(OFFSET($H$3,0,0,'Données projet'!$E$14+1,1))</f>
        <v>303.73499739059076</v>
      </c>
      <c r="DU20" s="60">
        <f t="shared" si="44"/>
        <v>172.32171001882188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5.8890909090909096</v>
      </c>
      <c r="EJ20" s="13">
        <f>IF('Données projet'!$A$192&gt;35,EJ19+EI20-ER19,IF(A20&lt;'Données projet'!$A$192,$EG$205^A20,IF(A20='Données projet'!$A$192,'Données projet'!$B$192,EJ19+EI20-ER19)))</f>
        <v>42.890776385274457</v>
      </c>
      <c r="EK20" s="18">
        <f>EJ20*VLOOKUP('Données projet'!$B$15,Paramètres!$A$1:$I$89,3,0)*VLOOKUP('Données projet'!$B$15,Paramètres!$A$1:$I$89,5,0)</f>
        <v>25.648684278394128</v>
      </c>
      <c r="EL20" s="14">
        <f t="shared" si="45"/>
        <v>8.1021817259143134</v>
      </c>
      <c r="EM20" s="22">
        <f t="shared" si="19"/>
        <v>58.782758290837201</v>
      </c>
      <c r="EN20" s="60">
        <f t="shared" si="20"/>
        <v>352.11609162417051</v>
      </c>
      <c r="EO20" s="60">
        <f ca="1">AVERAGE(OFFSET($EN$3,0,0,'Données projet'!$E$15+1,1))-AVERAGE(OFFSET($H$3,0,0,'Données projet'!$E$15+1,1))</f>
        <v>269.94948820700841</v>
      </c>
      <c r="EP20" s="60">
        <f t="shared" si="46"/>
        <v>183.45158355135192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3.78125</v>
      </c>
      <c r="FE20" s="13">
        <f>IF('Données projet'!$A$218&gt;35,FE19+FD20-FM19,IF(A20&lt;'Données projet'!$A$218,$FB$205^A20,IF(A20='Données projet'!$A$218,'Données projet'!$B$218,FE19+FD20-FM19)))</f>
        <v>12.778495606489219</v>
      </c>
      <c r="FF20" s="18">
        <f>FE20*VLOOKUP('Données projet'!$B$16,Paramètres!$A$1:$I$89,3,0)*VLOOKUP('Données projet'!$B$16,Paramètres!$A$1:$I$89,5,0)</f>
        <v>7.641540372680554</v>
      </c>
      <c r="FG20" s="14">
        <f t="shared" si="47"/>
        <v>2.7792698662486774</v>
      </c>
      <c r="FH20" s="22">
        <f t="shared" si="22"/>
        <v>18.149577832801743</v>
      </c>
      <c r="FI20" s="60">
        <f t="shared" si="23"/>
        <v>311.48291116613507</v>
      </c>
      <c r="FJ20" s="60">
        <f ca="1">AVERAGE(OFFSET($FI$3,0,0,'Données projet'!$E$16+1,1))-AVERAGE(OFFSET($H$3,0,0,'Données projet'!$E$16+1,1))</f>
        <v>111.24788725253484</v>
      </c>
      <c r="FK20" s="60">
        <f t="shared" si="48"/>
        <v>82.434879813357327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projet'!$B$16,Paramètres!$A$1:$I$89,3,0)*0.475*44/12</f>
        <v>0</v>
      </c>
      <c r="FR20" s="23">
        <f>EXP(-LN(2)/25)*FR19+(1-EXP(-LN(2)/25))/(LN(2)/25)*Calculateur!FM20*Calculateur!FO20*VLOOKUP('Données projet'!$B$16,Paramètres!$A$1:$I$89,3,0)*0.475*44/12</f>
        <v>0</v>
      </c>
      <c r="FS20" s="23">
        <f>EXP(-LN(2)/2)*FS19+(1-EXP(-LN(2)/2))/(LN(2)/2)*FM20*FP20*VLOOKUP('Données projet'!$B$16,Paramètres!$A$1:$I$89,3,0)*0.475*44/12</f>
        <v>0</v>
      </c>
      <c r="FT20" s="24">
        <f t="shared" si="24"/>
        <v>0</v>
      </c>
      <c r="FU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4.3888888888888893</v>
      </c>
      <c r="FZ20" s="13">
        <f>IF('Données projet'!$A$244&gt;35,FZ19+FY20-GH19,IF(A20&lt;'Données projet'!$A$244,$FW$205^A20,IF(A20='Données projet'!$A$244,'Données projet'!$B$244,FZ19+FY20-GH19)))</f>
        <v>61.973120427829365</v>
      </c>
      <c r="GA20" s="18">
        <f>FZ20*VLOOKUP('Données projet'!$B$17,Paramètres!$A$1:$I$89,3,0)*VLOOKUP('Données projet'!$B$17,Paramètres!$A$1:$I$89,5,0)</f>
        <v>27.39211922910058</v>
      </c>
      <c r="GB20" s="14">
        <f t="shared" si="49"/>
        <v>8.5869330037076725</v>
      </c>
      <c r="GC20" s="22">
        <f t="shared" si="25"/>
        <v>62.663515972141028</v>
      </c>
      <c r="GD20" s="60">
        <f t="shared" si="26"/>
        <v>355.99684930547437</v>
      </c>
      <c r="GE20" s="60">
        <f ca="1">AVERAGE(OFFSET($GD$3,0,0,'Données projet'!$E$17+1,1))-AVERAGE(OFFSET($H$3,0,0,'Données projet'!$E$17+1,1))</f>
        <v>323.56667371063662</v>
      </c>
      <c r="GF20" s="60">
        <f t="shared" si="50"/>
        <v>275.70373467723385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>
        <f>EXP(-LN(2)/35)*GL19+(1-EXP(-LN(2)/35))/(LN(2)/35)*GH20*GI20*VLOOKUP('Données projet'!$B$17,Paramètres!$A$1:$I$89,3,0)*0.475*44/12</f>
        <v>0</v>
      </c>
      <c r="GM20" s="23">
        <f>EXP(-LN(2)/25)*GM19+(1-EXP(-LN(2)/25))/(LN(2)/25)*Calculateur!GH20*Calculateur!GJ20*VLOOKUP('Données projet'!$B$17,Paramètres!$A$1:$I$89,3,0)*0.475*44/12</f>
        <v>0</v>
      </c>
      <c r="GN20" s="23">
        <f>EXP(-LN(2)/2)*GN19+(1-EXP(-LN(2)/2))/(LN(2)/2)*GH20*GK20*VLOOKUP('Données projet'!$B$17,Paramètres!$A$1:$I$89,3,0)*0.475*44/12</f>
        <v>0</v>
      </c>
      <c r="GO20" s="23">
        <f t="shared" si="27"/>
        <v>0</v>
      </c>
      <c r="GP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0" t="e">
        <f t="shared" si="29"/>
        <v>#N/A</v>
      </c>
      <c r="GZ20" s="60" t="e">
        <f ca="1">AVERAGE(OFFSET($GY$3,0,0,'Données projet'!$E$18+1,1))-AVERAGE(OFFSET($H$3,0,0,'Données projet'!$E$18+1,1))</f>
        <v>#N/A</v>
      </c>
      <c r="HA20" s="60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4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2">
        <f t="shared" si="32"/>
        <v>3.4713169544550633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17.686666666666667</v>
      </c>
      <c r="N21" s="14">
        <f>IF('Données projet'!$A$36&gt;35,N20+M21-V20,IF(A21&lt;'Données projet'!$A$36,$K$205^A21,IF(A21='Données projet'!$A$36,'Données projet'!$B$36,N20+M21-V20)))</f>
        <v>99.24666666666667</v>
      </c>
      <c r="O21" s="14">
        <f>N21*VLOOKUP('Données projet'!$B$9,Paramètres!$A$1:$I$89,3,0)*VLOOKUP('Données projet'!$B$9,Paramètres!$A$1:$I$89,5,0)</f>
        <v>59.34950666666667</v>
      </c>
      <c r="P21" s="14">
        <f t="shared" si="33"/>
        <v>17.003699693551216</v>
      </c>
      <c r="Q21" s="22">
        <f t="shared" si="2"/>
        <v>132.98183441071282</v>
      </c>
      <c r="R21" s="60">
        <f t="shared" si="0"/>
        <v>426.31516774404611</v>
      </c>
      <c r="S21" s="60">
        <f ca="1">AVERAGE(OFFSET($R$3,0,0,'Données projet'!$E$9+1,1))-AVERAGE(OFFSET($H$3,0,0,'Données projet'!$E$9+1,1))</f>
        <v>235.63766249714581</v>
      </c>
      <c r="T21" s="60">
        <f t="shared" si="34"/>
        <v>231.3297293785277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7.0484183943059664</v>
      </c>
      <c r="AB21" s="23">
        <f>EXP(-LN(2)/2)*AB20+(1-EXP(-LN(2)/2))/(LN(2)/2)*V21*Y21*VLOOKUP('Données projet'!$B$9,Paramètres!$A$1:$I$89,3,0)*0.475*44/12</f>
        <v>9.7572156800360794</v>
      </c>
      <c r="AC21" s="24">
        <f t="shared" si="3"/>
        <v>16.805634074342045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2.1</v>
      </c>
      <c r="AI21" s="14">
        <f>IF('Données projet'!$A$62&gt;35,AI20+AH21-AQ20,IF(A21&lt;'Données projet'!$A$62,$AF$205^A21,IF(A21='Données projet'!$A$62,'Données projet'!$B$62,AI20+AH21-AQ20)))</f>
        <v>28.901764726506816</v>
      </c>
      <c r="AJ21" s="14">
        <f>AI21*VLOOKUP('Données projet'!$B$10,Paramètres!$A$1:$I$89,3,0)*VLOOKUP('Données projet'!$B$10,Paramètres!$A$1:$I$89,5,0)</f>
        <v>29.306389432677911</v>
      </c>
      <c r="AK21" s="14">
        <f t="shared" si="35"/>
        <v>9.1150691477493808</v>
      </c>
      <c r="AL21" s="22">
        <f t="shared" si="4"/>
        <v>66.917373694244205</v>
      </c>
      <c r="AM21" s="60">
        <f t="shared" si="5"/>
        <v>360.2507070275775</v>
      </c>
      <c r="AN21" s="60">
        <f ca="1">AVERAGE(OFFSET($AM$3,0,0,'Données projet'!$E$10+1,1))-AVERAGE(OFFSET($H$3,0,0,'Données projet'!$E$10+1,1))</f>
        <v>350.3652766444938</v>
      </c>
      <c r="AO21" s="60">
        <f t="shared" si="36"/>
        <v>197.04549436738586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6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2.1</v>
      </c>
      <c r="BD21" s="13">
        <f>IF('Données projet'!$A$88&gt;35,BD20+BC21-BL20,IF(A21&lt;'Données projet'!$A$88,$BA$205^A21,IF(A21='Données projet'!$A$88,'Données projet'!$B$88,BD20+BC21-BL20)))</f>
        <v>28.901764726506816</v>
      </c>
      <c r="BE21" s="14">
        <f>BD21*VLOOKUP('Données projet'!$B$11,Paramètres!$A$1:$I$89,3,0)*VLOOKUP('Données projet'!$B$11,Paramètres!$A$1:$I$89,5,0)</f>
        <v>27.953786843477392</v>
      </c>
      <c r="BF21" s="14">
        <f t="shared" si="37"/>
        <v>8.7423265089215931</v>
      </c>
      <c r="BG21" s="22">
        <f t="shared" si="7"/>
        <v>63.912397422094891</v>
      </c>
      <c r="BH21" s="60">
        <f t="shared" si="8"/>
        <v>357.24573075542821</v>
      </c>
      <c r="BI21" s="60">
        <f ca="1">AVERAGE(OFFSET($BH$3,0,0,'Données projet'!$E$11+1,1))-AVERAGE(OFFSET($H$3,0,0,'Données projet'!$E$11+1,1))</f>
        <v>330.39429528665841</v>
      </c>
      <c r="BJ21" s="60">
        <f t="shared" si="38"/>
        <v>186.45728006007261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8.2051282051282044</v>
      </c>
      <c r="BY21" s="13">
        <f>IF('Données projet'!$A$114&gt;35,BY20+BX21-CG20,IF(A21&lt;'Données projet'!$A$114,$BV$205^A21,IF(A21='Données projet'!$A$114,'Données projet'!$B$114,BY20+BX21-CG20)))</f>
        <v>74.615384615384613</v>
      </c>
      <c r="BZ21" s="14">
        <f>BY21*VLOOKUP('Données projet'!$B$12,Paramètres!$A$1:$I$89,3,0)*VLOOKUP('Données projet'!$B$12,Paramètres!$A$1:$I$89,5,0)</f>
        <v>50.052</v>
      </c>
      <c r="CA21" s="14">
        <f t="shared" si="39"/>
        <v>14.62718807768414</v>
      </c>
      <c r="CB21" s="22">
        <f t="shared" si="10"/>
        <v>112.64958590196655</v>
      </c>
      <c r="CC21" s="60">
        <f t="shared" si="11"/>
        <v>405.98291923529985</v>
      </c>
      <c r="CD21" s="60">
        <f ca="1">AVERAGE(OFFSET($CC$3,0,0,'Données projet'!$E$12+1,1))-AVERAGE(OFFSET($H$3,0,0,'Données projet'!$E$12+1,1))</f>
        <v>212.33913923444732</v>
      </c>
      <c r="CE21" s="60">
        <f t="shared" si="40"/>
        <v>183.51194426094372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5.2</v>
      </c>
      <c r="CT21" s="13">
        <f>IF('Données projet'!$A$140&gt;35,CT20+CS21-DB20,IF(A21&lt;'Données projet'!$A$140,$CQ$205^A21,IF(A21='Données projet'!$A$140,'Données projet'!$B$140,CT20+CS21-DB20)))</f>
        <v>65.362703258931163</v>
      </c>
      <c r="CU21" s="18">
        <f>CT21*VLOOKUP('Données projet'!$B$13,Paramètres!$A$1:$I$89,3,0)*VLOOKUP('Données projet'!$B$13,Paramètres!$A$1:$I$89,5,0)</f>
        <v>57.100857567002279</v>
      </c>
      <c r="CV21" s="14">
        <f t="shared" si="41"/>
        <v>16.433175500367497</v>
      </c>
      <c r="CW21" s="22">
        <f t="shared" si="13"/>
        <v>128.07177425900235</v>
      </c>
      <c r="CX21" s="60">
        <f t="shared" si="14"/>
        <v>421.40510759233564</v>
      </c>
      <c r="CY21" s="60">
        <f ca="1">AVERAGE(OFFSET($CX$3,0,0,'Données projet'!$E$13+1,1))-AVERAGE(OFFSET($H$3,0,0,'Données projet'!$E$13+1,1))</f>
        <v>228.0393346366489</v>
      </c>
      <c r="CZ21" s="60">
        <f t="shared" si="42"/>
        <v>238.591781509447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2.1</v>
      </c>
      <c r="DO21" s="13">
        <f>IF('Données projet'!$A$166&gt;35,DO20+DN21-DW20,IF(A21&lt;'Données projet'!$A$166,$DL$205^A21,IF(A21='Données projet'!$A$166,'Données projet'!$B$166,DO20+DN21-DW20)))</f>
        <v>28.901764726506816</v>
      </c>
      <c r="DP21" s="18">
        <f>DO21*VLOOKUP('Données projet'!$B$14,Paramètres!$A$1:$I$89,3,0)*VLOOKUP('Données projet'!$B$14,Paramètres!$A$1:$I$89,5,0)</f>
        <v>26.150316724543362</v>
      </c>
      <c r="DQ21" s="14">
        <f t="shared" si="43"/>
        <v>8.2420396752158016</v>
      </c>
      <c r="DR21" s="22">
        <f t="shared" si="16"/>
        <v>59.900020729580547</v>
      </c>
      <c r="DS21" s="60">
        <f t="shared" si="17"/>
        <v>353.23335406291386</v>
      </c>
      <c r="DT21" s="60">
        <f ca="1">AVERAGE(OFFSET($DS$3,0,0,'Données projet'!$E$14+1,1))-AVERAGE(OFFSET($H$3,0,0,'Données projet'!$E$14+1,1))</f>
        <v>303.73499739059076</v>
      </c>
      <c r="DU21" s="60">
        <f t="shared" si="44"/>
        <v>172.32171001882188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5.8890909090909096</v>
      </c>
      <c r="EJ21" s="13">
        <f>IF('Données projet'!$A$192&gt;35,EJ20+EI21-ER20,IF(A21&lt;'Données projet'!$A$192,$EG$205^A21,IF(A21='Données projet'!$A$192,'Données projet'!$B$192,EJ20+EI21-ER20)))</f>
        <v>53.503884512438958</v>
      </c>
      <c r="EK21" s="18">
        <f>EJ21*VLOOKUP('Données projet'!$B$15,Paramètres!$A$1:$I$89,3,0)*VLOOKUP('Données projet'!$B$15,Paramètres!$A$1:$I$89,5,0)</f>
        <v>31.995322938438498</v>
      </c>
      <c r="EL21" s="14">
        <f t="shared" si="45"/>
        <v>9.8502327949788757</v>
      </c>
      <c r="EM21" s="22">
        <f t="shared" si="19"/>
        <v>72.881009569035243</v>
      </c>
      <c r="EN21" s="60">
        <f t="shared" si="20"/>
        <v>366.21434290236857</v>
      </c>
      <c r="EO21" s="60">
        <f ca="1">AVERAGE(OFFSET($EN$3,0,0,'Données projet'!$E$15+1,1))-AVERAGE(OFFSET($H$3,0,0,'Données projet'!$E$15+1,1))</f>
        <v>269.94948820700841</v>
      </c>
      <c r="EP21" s="60">
        <f t="shared" si="46"/>
        <v>183.45158355135192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3.78125</v>
      </c>
      <c r="FE21" s="13">
        <f>IF('Données projet'!$A$218&gt;35,FE20+FD21-FM20,IF(A21&lt;'Données projet'!$A$218,$FB$205^A21,IF(A21='Données projet'!$A$218,'Données projet'!$B$218,FE20+FD21-FM20)))</f>
        <v>14.844540905914945</v>
      </c>
      <c r="FF21" s="18">
        <f>FE21*VLOOKUP('Données projet'!$B$16,Paramètres!$A$1:$I$89,3,0)*VLOOKUP('Données projet'!$B$16,Paramètres!$A$1:$I$89,5,0)</f>
        <v>8.8770354617371385</v>
      </c>
      <c r="FG21" s="14">
        <f t="shared" si="47"/>
        <v>3.1727922038815248</v>
      </c>
      <c r="FH21" s="22">
        <f t="shared" si="22"/>
        <v>20.986783184285837</v>
      </c>
      <c r="FI21" s="60">
        <f t="shared" si="23"/>
        <v>314.32011651761917</v>
      </c>
      <c r="FJ21" s="60">
        <f ca="1">AVERAGE(OFFSET($FI$3,0,0,'Données projet'!$E$16+1,1))-AVERAGE(OFFSET($H$3,0,0,'Données projet'!$E$16+1,1))</f>
        <v>111.24788725253484</v>
      </c>
      <c r="FK21" s="60">
        <f t="shared" si="48"/>
        <v>82.434879813357327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projet'!$B$16,Paramètres!$A$1:$I$89,3,0)*0.475*44/12</f>
        <v>0</v>
      </c>
      <c r="FR21" s="23">
        <f>EXP(-LN(2)/25)*FR20+(1-EXP(-LN(2)/25))/(LN(2)/25)*Calculateur!FM21*Calculateur!FO21*VLOOKUP('Données projet'!$B$16,Paramètres!$A$1:$I$89,3,0)*0.475*44/12</f>
        <v>0</v>
      </c>
      <c r="FS21" s="23">
        <f>EXP(-LN(2)/2)*FS20+(1-EXP(-LN(2)/2))/(LN(2)/2)*FM21*FP21*VLOOKUP('Données projet'!$B$16,Paramètres!$A$1:$I$89,3,0)*0.475*44/12</f>
        <v>0</v>
      </c>
      <c r="FT21" s="24">
        <f t="shared" si="24"/>
        <v>0</v>
      </c>
      <c r="FU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>
        <f>VLOOKUP(A21,'Données projet'!$A$243:$I$263,2,0)</f>
        <v>79</v>
      </c>
      <c r="FX21" s="13">
        <f>VLOOKUP(A21,'Données projet'!$A$243:$I$263,9,0)</f>
        <v>4.3888888888888893</v>
      </c>
      <c r="FY21" s="13">
        <f t="array" ref="FY21">INDEX(FX:FX,MIN(IF(ISNUMBER(FX21:FX217),ROW(FX21:FX217),"")))</f>
        <v>4.3888888888888893</v>
      </c>
      <c r="FZ21" s="13">
        <f>IF('Données projet'!$A$244&gt;35,FZ20+FY21-GH20,IF(A21&lt;'Données projet'!$A$244,$FW$205^A21,IF(A21='Données projet'!$A$244,'Données projet'!$B$244,FZ20+FY21-GH20)))</f>
        <v>79</v>
      </c>
      <c r="GA21" s="18">
        <f>FZ21*VLOOKUP('Données projet'!$B$17,Paramètres!$A$1:$I$89,3,0)*VLOOKUP('Données projet'!$B$17,Paramètres!$A$1:$I$89,5,0)</f>
        <v>34.918000000000006</v>
      </c>
      <c r="GB21" s="14">
        <f t="shared" si="49"/>
        <v>10.641196916458625</v>
      </c>
      <c r="GC21" s="22">
        <f t="shared" si="25"/>
        <v>79.348934629498771</v>
      </c>
      <c r="GD21" s="60">
        <f t="shared" si="26"/>
        <v>372.6822679628321</v>
      </c>
      <c r="GE21" s="60">
        <f ca="1">AVERAGE(OFFSET($GD$3,0,0,'Données projet'!$E$17+1,1))-AVERAGE(OFFSET($H$3,0,0,'Données projet'!$E$17+1,1))</f>
        <v>323.56667371063662</v>
      </c>
      <c r="GF21" s="60">
        <f t="shared" si="50"/>
        <v>275.70373467723385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>
        <f>EXP(-LN(2)/35)*GL20+(1-EXP(-LN(2)/35))/(LN(2)/35)*GH21*GI21*VLOOKUP('Données projet'!$B$17,Paramètres!$A$1:$I$89,3,0)*0.475*44/12</f>
        <v>0</v>
      </c>
      <c r="GM21" s="23">
        <f>EXP(-LN(2)/25)*GM20+(1-EXP(-LN(2)/25))/(LN(2)/25)*Calculateur!GH21*Calculateur!GJ21*VLOOKUP('Données projet'!$B$17,Paramètres!$A$1:$I$89,3,0)*0.475*44/12</f>
        <v>0</v>
      </c>
      <c r="GN21" s="23">
        <f>EXP(-LN(2)/2)*GN20+(1-EXP(-LN(2)/2))/(LN(2)/2)*GH21*GK21*VLOOKUP('Données projet'!$B$17,Paramètres!$A$1:$I$89,3,0)*0.475*44/12</f>
        <v>0</v>
      </c>
      <c r="GO21" s="23">
        <f t="shared" si="27"/>
        <v>0</v>
      </c>
      <c r="GP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0" t="e">
        <f t="shared" si="29"/>
        <v>#N/A</v>
      </c>
      <c r="GZ21" s="60" t="e">
        <f ca="1">AVERAGE(OFFSET($GY$3,0,0,'Données projet'!$E$18+1,1))-AVERAGE(OFFSET($H$3,0,0,'Données projet'!$E$18+1,1))</f>
        <v>#N/A</v>
      </c>
      <c r="HA21" s="60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4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2">
        <f t="shared" si="32"/>
        <v>3.6411801438697724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17.686666666666667</v>
      </c>
      <c r="N22" s="14">
        <f>IF('Données projet'!$A$36&gt;35,N21+M22-V21,IF(A22&lt;'Données projet'!$A$36,$K$205^A22,IF(A22='Données projet'!$A$36,'Données projet'!$B$36,N21+M22-V21)))</f>
        <v>116.93333333333334</v>
      </c>
      <c r="O22" s="14">
        <f>N22*VLOOKUP('Données projet'!$B$9,Paramètres!$A$1:$I$89,3,0)*VLOOKUP('Données projet'!$B$9,Paramètres!$A$1:$I$89,5,0)</f>
        <v>69.92613333333334</v>
      </c>
      <c r="P22" s="14">
        <f t="shared" si="33"/>
        <v>19.655112747639016</v>
      </c>
      <c r="Q22" s="22">
        <f t="shared" si="2"/>
        <v>156.02067025769352</v>
      </c>
      <c r="R22" s="60">
        <f t="shared" si="0"/>
        <v>449.35400359102687</v>
      </c>
      <c r="S22" s="60">
        <f ca="1">AVERAGE(OFFSET($R$3,0,0,'Données projet'!$E$9+1,1))-AVERAGE(OFFSET($H$3,0,0,'Données projet'!$E$9+1,1))</f>
        <v>235.63766249714581</v>
      </c>
      <c r="T22" s="60">
        <f t="shared" si="34"/>
        <v>231.3297293785277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6.8556790226534554</v>
      </c>
      <c r="AB22" s="23">
        <f>EXP(-LN(2)/2)*AB21+(1-EXP(-LN(2)/2))/(LN(2)/2)*V22*Y22*VLOOKUP('Données projet'!$B$9,Paramètres!$A$1:$I$89,3,0)*0.475*44/12</f>
        <v>6.8993933728532228</v>
      </c>
      <c r="AC22" s="24">
        <f t="shared" si="3"/>
        <v>13.755072395506678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2.1</v>
      </c>
      <c r="AI22" s="14">
        <f>IF('Données projet'!$A$62&gt;35,AI21+AH22-AQ21,IF(A22&lt;'Données projet'!$A$62,$AF$205^A22,IF(A22='Données projet'!$A$62,'Données projet'!$B$62,AI21+AH22-AQ21)))</f>
        <v>34.840696297767764</v>
      </c>
      <c r="AJ22" s="14">
        <f>AI22*VLOOKUP('Données projet'!$B$10,Paramètres!$A$1:$I$89,3,0)*VLOOKUP('Données projet'!$B$10,Paramètres!$A$1:$I$89,5,0)</f>
        <v>35.328466045936516</v>
      </c>
      <c r="AK22" s="14">
        <f t="shared" si="35"/>
        <v>10.751650073316766</v>
      </c>
      <c r="AL22" s="22">
        <f t="shared" si="4"/>
        <v>80.256202241032796</v>
      </c>
      <c r="AM22" s="60">
        <f t="shared" si="5"/>
        <v>373.5895355743661</v>
      </c>
      <c r="AN22" s="60">
        <f ca="1">AVERAGE(OFFSET($AM$3,0,0,'Données projet'!$E$10+1,1))-AVERAGE(OFFSET($H$3,0,0,'Données projet'!$E$10+1,1))</f>
        <v>350.3652766444938</v>
      </c>
      <c r="AO22" s="60">
        <f t="shared" si="36"/>
        <v>197.04549436738586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6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2.1</v>
      </c>
      <c r="BD22" s="13">
        <f>IF('Données projet'!$A$88&gt;35,BD21+BC22-BL21,IF(A22&lt;'Données projet'!$A$88,$BA$205^A22,IF(A22='Données projet'!$A$88,'Données projet'!$B$88,BD21+BC22-BL21)))</f>
        <v>34.840696297767764</v>
      </c>
      <c r="BE22" s="14">
        <f>BD22*VLOOKUP('Données projet'!$B$11,Paramètres!$A$1:$I$89,3,0)*VLOOKUP('Données projet'!$B$11,Paramètres!$A$1:$I$89,5,0)</f>
        <v>33.697921459200977</v>
      </c>
      <c r="BF22" s="14">
        <f t="shared" si="37"/>
        <v>10.31198270984201</v>
      </c>
      <c r="BG22" s="22">
        <f t="shared" si="7"/>
        <v>76.650583094416518</v>
      </c>
      <c r="BH22" s="60">
        <f t="shared" si="8"/>
        <v>369.98391642774982</v>
      </c>
      <c r="BI22" s="60">
        <f ca="1">AVERAGE(OFFSET($BH$3,0,0,'Données projet'!$E$11+1,1))-AVERAGE(OFFSET($H$3,0,0,'Données projet'!$E$11+1,1))</f>
        <v>330.39429528665841</v>
      </c>
      <c r="BJ22" s="60">
        <f t="shared" si="38"/>
        <v>186.45728006007261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8.2051282051282044</v>
      </c>
      <c r="BY22" s="13">
        <f>IF('Données projet'!$A$114&gt;35,BY21+BX22-CG21,IF(A22&lt;'Données projet'!$A$114,$BV$205^A22,IF(A22='Données projet'!$A$114,'Données projet'!$B$114,BY21+BX22-CG21)))</f>
        <v>82.820512820512818</v>
      </c>
      <c r="BZ22" s="14">
        <f>BY22*VLOOKUP('Données projet'!$B$12,Paramètres!$A$1:$I$89,3,0)*VLOOKUP('Données projet'!$B$12,Paramètres!$A$1:$I$89,5,0)</f>
        <v>55.556000000000004</v>
      </c>
      <c r="CA22" s="14">
        <f t="shared" si="39"/>
        <v>16.039703993592667</v>
      </c>
      <c r="CB22" s="22">
        <f t="shared" si="10"/>
        <v>124.69585112217392</v>
      </c>
      <c r="CC22" s="60">
        <f t="shared" si="11"/>
        <v>418.02918445550722</v>
      </c>
      <c r="CD22" s="60">
        <f ca="1">AVERAGE(OFFSET($CC$3,0,0,'Données projet'!$E$12+1,1))-AVERAGE(OFFSET($H$3,0,0,'Données projet'!$E$12+1,1))</f>
        <v>212.33913923444732</v>
      </c>
      <c r="CE22" s="60">
        <f t="shared" si="40"/>
        <v>183.51194426094372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5.2</v>
      </c>
      <c r="CT22" s="13">
        <f>IF('Données projet'!$A$140&gt;35,CT21+CS22-DB21,IF(A22&lt;'Données projet'!$A$140,$CQ$205^A22,IF(A22='Données projet'!$A$140,'Données projet'!$B$140,CT21+CS22-DB21)))</f>
        <v>82.448293729639104</v>
      </c>
      <c r="CU22" s="18">
        <f>CT22*VLOOKUP('Données projet'!$B$13,Paramètres!$A$1:$I$89,3,0)*VLOOKUP('Données projet'!$B$13,Paramètres!$A$1:$I$89,5,0)</f>
        <v>72.026829402212726</v>
      </c>
      <c r="CV22" s="14">
        <f t="shared" si="41"/>
        <v>20.175951549327085</v>
      </c>
      <c r="CW22" s="22">
        <f t="shared" si="13"/>
        <v>160.58651015726517</v>
      </c>
      <c r="CX22" s="60">
        <f t="shared" si="14"/>
        <v>453.91984349059851</v>
      </c>
      <c r="CY22" s="60">
        <f ca="1">AVERAGE(OFFSET($CX$3,0,0,'Données projet'!$E$13+1,1))-AVERAGE(OFFSET($H$3,0,0,'Données projet'!$E$13+1,1))</f>
        <v>228.0393346366489</v>
      </c>
      <c r="CZ22" s="60">
        <f t="shared" si="42"/>
        <v>238.591781509447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2.1</v>
      </c>
      <c r="DO22" s="13">
        <f>IF('Données projet'!$A$166&gt;35,DO21+DN22-DW21,IF(A22&lt;'Données projet'!$A$166,$DL$205^A22,IF(A22='Données projet'!$A$166,'Données projet'!$B$166,DO21+DN22-DW21)))</f>
        <v>34.840696297767764</v>
      </c>
      <c r="DP22" s="18">
        <f>DO22*VLOOKUP('Données projet'!$B$14,Paramètres!$A$1:$I$89,3,0)*VLOOKUP('Données projet'!$B$14,Paramètres!$A$1:$I$89,5,0)</f>
        <v>31.52386201022027</v>
      </c>
      <c r="DQ22" s="14">
        <f t="shared" si="43"/>
        <v>9.7218710074397983</v>
      </c>
      <c r="DR22" s="22">
        <f t="shared" si="16"/>
        <v>71.836318339091292</v>
      </c>
      <c r="DS22" s="60">
        <f t="shared" si="17"/>
        <v>365.16965167242461</v>
      </c>
      <c r="DT22" s="60">
        <f ca="1">AVERAGE(OFFSET($DS$3,0,0,'Données projet'!$E$14+1,1))-AVERAGE(OFFSET($H$3,0,0,'Données projet'!$E$14+1,1))</f>
        <v>303.73499739059076</v>
      </c>
      <c r="DU22" s="60">
        <f t="shared" si="44"/>
        <v>172.32171001882188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5.8890909090909096</v>
      </c>
      <c r="EJ22" s="13">
        <f>IF('Données projet'!$A$192&gt;35,EJ21+EI22-ER21,IF(A22&lt;'Données projet'!$A$192,$EG$205^A22,IF(A22='Données projet'!$A$192,'Données projet'!$B$192,EJ21+EI22-ER21)))</f>
        <v>66.743153171347927</v>
      </c>
      <c r="EK22" s="18">
        <f>EJ22*VLOOKUP('Données projet'!$B$15,Paramètres!$A$1:$I$89,3,0)*VLOOKUP('Données projet'!$B$15,Paramètres!$A$1:$I$89,5,0)</f>
        <v>39.912405596466066</v>
      </c>
      <c r="EL22" s="14">
        <f t="shared" si="45"/>
        <v>11.975427038984135</v>
      </c>
      <c r="EM22" s="22">
        <f t="shared" si="19"/>
        <v>90.371308506742437</v>
      </c>
      <c r="EN22" s="60">
        <f t="shared" si="20"/>
        <v>383.70464184007574</v>
      </c>
      <c r="EO22" s="60">
        <f ca="1">AVERAGE(OFFSET($EN$3,0,0,'Données projet'!$E$15+1,1))-AVERAGE(OFFSET($H$3,0,0,'Données projet'!$E$15+1,1))</f>
        <v>269.94948820700841</v>
      </c>
      <c r="EP22" s="60">
        <f t="shared" si="46"/>
        <v>183.45158355135192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3.78125</v>
      </c>
      <c r="FE22" s="13">
        <f>IF('Données projet'!$A$218&gt;35,FE21+FD22-FM21,IF(A22&lt;'Données projet'!$A$218,$FB$205^A22,IF(A22='Données projet'!$A$218,'Données projet'!$B$218,FE21+FD22-FM21)))</f>
        <v>17.244627340598527</v>
      </c>
      <c r="FF22" s="18">
        <f>FE22*VLOOKUP('Données projet'!$B$16,Paramètres!$A$1:$I$89,3,0)*VLOOKUP('Données projet'!$B$16,Paramètres!$A$1:$I$89,5,0)</f>
        <v>10.312287149677919</v>
      </c>
      <c r="FG22" s="14">
        <f t="shared" si="47"/>
        <v>3.6220341505011158</v>
      </c>
      <c r="FH22" s="22">
        <f t="shared" si="22"/>
        <v>24.268942931145151</v>
      </c>
      <c r="FI22" s="60">
        <f t="shared" si="23"/>
        <v>317.60227626447846</v>
      </c>
      <c r="FJ22" s="60">
        <f ca="1">AVERAGE(OFFSET($FI$3,0,0,'Données projet'!$E$16+1,1))-AVERAGE(OFFSET($H$3,0,0,'Données projet'!$E$16+1,1))</f>
        <v>111.24788725253484</v>
      </c>
      <c r="FK22" s="60">
        <f t="shared" si="48"/>
        <v>82.434879813357327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projet'!$B$16,Paramètres!$A$1:$I$89,3,0)*0.475*44/12</f>
        <v>0</v>
      </c>
      <c r="FR22" s="23">
        <f>EXP(-LN(2)/25)*FR21+(1-EXP(-LN(2)/25))/(LN(2)/25)*Calculateur!FM22*Calculateur!FO22*VLOOKUP('Données projet'!$B$16,Paramètres!$A$1:$I$89,3,0)*0.475*44/12</f>
        <v>0</v>
      </c>
      <c r="FS22" s="23">
        <f>EXP(-LN(2)/2)*FS21+(1-EXP(-LN(2)/2))/(LN(2)/2)*FM22*FP22*VLOOKUP('Données projet'!$B$16,Paramètres!$A$1:$I$89,3,0)*0.475*44/12</f>
        <v>0</v>
      </c>
      <c r="FT22" s="24">
        <f t="shared" si="24"/>
        <v>0</v>
      </c>
      <c r="FU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23</v>
      </c>
      <c r="FZ22" s="13">
        <f>IF('Données projet'!$A$244&gt;35,FZ21+FY22-GH21,IF(A22&lt;'Données projet'!$A$244,$FW$205^A22,IF(A22='Données projet'!$A$244,'Données projet'!$B$244,FZ21+FY22-GH21)))</f>
        <v>102</v>
      </c>
      <c r="GA22" s="18">
        <f>FZ22*VLOOKUP('Données projet'!$B$17,Paramètres!$A$1:$I$89,3,0)*VLOOKUP('Données projet'!$B$17,Paramètres!$A$1:$I$89,5,0)</f>
        <v>45.084000000000003</v>
      </c>
      <c r="GB22" s="14">
        <f t="shared" si="49"/>
        <v>13.336635871167738</v>
      </c>
      <c r="GC22" s="22">
        <f t="shared" si="25"/>
        <v>101.74927414228381</v>
      </c>
      <c r="GD22" s="60">
        <f t="shared" si="26"/>
        <v>395.08260747561712</v>
      </c>
      <c r="GE22" s="60">
        <f ca="1">AVERAGE(OFFSET($GD$3,0,0,'Données projet'!$E$17+1,1))-AVERAGE(OFFSET($H$3,0,0,'Données projet'!$E$17+1,1))</f>
        <v>323.56667371063662</v>
      </c>
      <c r="GF22" s="60">
        <f t="shared" si="50"/>
        <v>275.70373467723385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>
        <f>EXP(-LN(2)/35)*GL21+(1-EXP(-LN(2)/35))/(LN(2)/35)*GH22*GI22*VLOOKUP('Données projet'!$B$17,Paramètres!$A$1:$I$89,3,0)*0.475*44/12</f>
        <v>0</v>
      </c>
      <c r="GM22" s="23">
        <f>EXP(-LN(2)/25)*GM21+(1-EXP(-LN(2)/25))/(LN(2)/25)*Calculateur!GH22*Calculateur!GJ22*VLOOKUP('Données projet'!$B$17,Paramètres!$A$1:$I$89,3,0)*0.475*44/12</f>
        <v>0</v>
      </c>
      <c r="GN22" s="23">
        <f>EXP(-LN(2)/2)*GN21+(1-EXP(-LN(2)/2))/(LN(2)/2)*GH22*GK22*VLOOKUP('Données projet'!$B$17,Paramètres!$A$1:$I$89,3,0)*0.475*44/12</f>
        <v>0</v>
      </c>
      <c r="GO22" s="23">
        <f t="shared" si="27"/>
        <v>0</v>
      </c>
      <c r="GP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0" t="e">
        <f t="shared" si="29"/>
        <v>#N/A</v>
      </c>
      <c r="GZ22" s="60" t="e">
        <f ca="1">AVERAGE(OFFSET($GY$3,0,0,'Données projet'!$E$18+1,1))-AVERAGE(OFFSET($H$3,0,0,'Données projet'!$E$18+1,1))</f>
        <v>#N/A</v>
      </c>
      <c r="HA22" s="60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4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2">
        <f t="shared" si="32"/>
        <v>3.810005372992582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17.686666666666667</v>
      </c>
      <c r="N23" s="14">
        <f>IF('Données projet'!$A$36&gt;35,N22+M23-V22,IF(A23&lt;'Données projet'!$A$36,$K$205^A23,IF(A23='Données projet'!$A$36,'Données projet'!$B$36,N22+M23-V22)))</f>
        <v>134.62</v>
      </c>
      <c r="O23" s="14">
        <f>N23*VLOOKUP('Données projet'!$B$9,Paramètres!$A$1:$I$89,3,0)*VLOOKUP('Données projet'!$B$9,Paramètres!$A$1:$I$89,5,0)</f>
        <v>80.502760000000009</v>
      </c>
      <c r="P23" s="14">
        <f t="shared" si="33"/>
        <v>22.260066705482632</v>
      </c>
      <c r="Q23" s="22">
        <f t="shared" si="2"/>
        <v>178.97858984538223</v>
      </c>
      <c r="R23" s="60">
        <f t="shared" si="0"/>
        <v>472.31192317871557</v>
      </c>
      <c r="S23" s="60">
        <f ca="1">AVERAGE(OFFSET($R$3,0,0,'Données projet'!$E$9+1,1))-AVERAGE(OFFSET($H$3,0,0,'Données projet'!$E$9+1,1))</f>
        <v>235.63766249714581</v>
      </c>
      <c r="T23" s="60">
        <f t="shared" si="34"/>
        <v>231.3297293785277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5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6.668210119254506</v>
      </c>
      <c r="AB23" s="23">
        <f>EXP(-LN(2)/2)*AB22+(1-EXP(-LN(2)/2))/(LN(2)/2)*V23*Y23*VLOOKUP('Données projet'!$B$9,Paramètres!$A$1:$I$89,3,0)*0.475*44/12</f>
        <v>4.8786078400180406</v>
      </c>
      <c r="AC23" s="24">
        <f t="shared" si="3"/>
        <v>11.546817959272547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>
        <f>VLOOKUP(A23,'Données projet'!$A$61:$I$81,2,0)</f>
        <v>42</v>
      </c>
      <c r="AG23" s="13">
        <f>VLOOKUP(A23,'Données projet'!$A$61:$I$81,9,0)</f>
        <v>2.1</v>
      </c>
      <c r="AH23" s="13">
        <f t="array" ref="AH23">INDEX(AG:AG,MIN(IF(ISNUMBER(AG23:AG219),ROW(AG23:AG219),"")))</f>
        <v>2.1</v>
      </c>
      <c r="AI23" s="14">
        <f>IF('Données projet'!$A$62&gt;35,AI22+AH23-AQ22,IF(A23&lt;'Données projet'!$A$62,$AF$205^A23,IF(A23='Données projet'!$A$62,'Données projet'!$B$62,AI22+AH23-AQ22)))</f>
        <v>42</v>
      </c>
      <c r="AJ23" s="14">
        <f>AI23*VLOOKUP('Données projet'!$B$10,Paramètres!$A$1:$I$89,3,0)*VLOOKUP('Données projet'!$B$10,Paramètres!$A$1:$I$89,5,0)</f>
        <v>42.588000000000001</v>
      </c>
      <c r="AK23" s="14">
        <f t="shared" si="35"/>
        <v>12.682073764365764</v>
      </c>
      <c r="AL23" s="22">
        <f t="shared" si="4"/>
        <v>96.262045139603686</v>
      </c>
      <c r="AM23" s="60">
        <f t="shared" si="5"/>
        <v>389.595378472937</v>
      </c>
      <c r="AN23" s="60">
        <f ca="1">AVERAGE(OFFSET($AM$3,0,0,'Données projet'!$E$10+1,1))-AVERAGE(OFFSET($H$3,0,0,'Données projet'!$E$10+1,1))</f>
        <v>350.3652766444938</v>
      </c>
      <c r="AO23" s="60">
        <f t="shared" si="36"/>
        <v>197.04549436738586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6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>
        <f>VLOOKUP(A23,'Données projet'!$A$87:$I$107,2,0)</f>
        <v>42</v>
      </c>
      <c r="BB23" s="13">
        <f>VLOOKUP(A23,'Données projet'!$A$87:$I$107,9,0)</f>
        <v>2.1</v>
      </c>
      <c r="BC23" s="13">
        <f t="array" ref="BC23">INDEX(BB:BB,MIN(IF(ISNUMBER(BB23:BB219),ROW(BB23:BB219),"")))</f>
        <v>2.1</v>
      </c>
      <c r="BD23" s="13">
        <f>IF('Données projet'!$A$88&gt;35,BD22+BC23-BL22,IF(A23&lt;'Données projet'!$A$88,$BA$205^A23,IF(A23='Données projet'!$A$88,'Données projet'!$B$88,BD22+BC23-BL22)))</f>
        <v>42</v>
      </c>
      <c r="BE23" s="14">
        <f>BD23*VLOOKUP('Données projet'!$B$11,Paramètres!$A$1:$I$89,3,0)*VLOOKUP('Données projet'!$B$11,Paramètres!$A$1:$I$89,5,0)</f>
        <v>40.622399999999999</v>
      </c>
      <c r="BF23" s="14">
        <f t="shared" si="37"/>
        <v>12.163465560290264</v>
      </c>
      <c r="BG23" s="22">
        <f t="shared" si="7"/>
        <v>91.935382517505545</v>
      </c>
      <c r="BH23" s="60">
        <f t="shared" si="8"/>
        <v>385.26871585083887</v>
      </c>
      <c r="BI23" s="60">
        <f ca="1">AVERAGE(OFFSET($BH$3,0,0,'Données projet'!$E$11+1,1))-AVERAGE(OFFSET($H$3,0,0,'Données projet'!$E$11+1,1))</f>
        <v>330.39429528665841</v>
      </c>
      <c r="BJ23" s="60">
        <f t="shared" si="38"/>
        <v>186.45728006007261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>
        <f>VLOOKUP(A23,'Données projet'!$A$113:$I$133,2,0)</f>
        <v>91.025641025641022</v>
      </c>
      <c r="BW23" s="13">
        <f>VLOOKUP(A23,'Données projet'!$A$113:$I$133,9,0)</f>
        <v>8.2051282051282044</v>
      </c>
      <c r="BX23" s="13">
        <f t="array" ref="BX23">INDEX(BW:BW,MIN(IF(ISNUMBER(BW23:BW219),ROW(BW23:BW219),"")))</f>
        <v>8.2051282051282044</v>
      </c>
      <c r="BY23" s="13">
        <f>IF('Données projet'!$A$114&gt;35,BY22+BX23-CG22,IF(A23&lt;'Données projet'!$A$114,$BV$205^A23,IF(A23='Données projet'!$A$114,'Données projet'!$B$114,BY22+BX23-CG22)))</f>
        <v>91.025641025641022</v>
      </c>
      <c r="BZ23" s="14">
        <f>BY23*VLOOKUP('Données projet'!$B$12,Paramètres!$A$1:$I$89,3,0)*VLOOKUP('Données projet'!$B$12,Paramètres!$A$1:$I$89,5,0)</f>
        <v>61.06</v>
      </c>
      <c r="CA23" s="14">
        <f t="shared" si="39"/>
        <v>17.43599650596687</v>
      </c>
      <c r="CB23" s="22">
        <f t="shared" si="10"/>
        <v>136.71386058122562</v>
      </c>
      <c r="CC23" s="60">
        <f t="shared" si="11"/>
        <v>430.04719391455893</v>
      </c>
      <c r="CD23" s="60">
        <f ca="1">AVERAGE(OFFSET($CC$3,0,0,'Données projet'!$E$12+1,1))-AVERAGE(OFFSET($H$3,0,0,'Données projet'!$E$12+1,1))</f>
        <v>212.33913923444732</v>
      </c>
      <c r="CE23" s="60">
        <f t="shared" si="40"/>
        <v>183.51194426094372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24.358974358974358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>
        <f>VLOOKUP(A23,'Données projet'!$A$139:$I$159,2,0)</f>
        <v>104</v>
      </c>
      <c r="CR23" s="13">
        <f>VLOOKUP(A23,'Données projet'!$A$139:$I$159,9,0)</f>
        <v>5.2</v>
      </c>
      <c r="CS23" s="13">
        <f t="array" ref="CS23">INDEX(CR:CR,MIN(IF(ISNUMBER(CR23:CR219),ROW(CR23:CR219),"")))</f>
        <v>5.2</v>
      </c>
      <c r="CT23" s="13">
        <f>IF('Données projet'!$A$140&gt;35,CT22+CS23-DB22,IF(A23&lt;'Données projet'!$A$140,$CQ$205^A23,IF(A23='Données projet'!$A$140,'Données projet'!$B$140,CT22+CS23-DB22)))</f>
        <v>104</v>
      </c>
      <c r="CU23" s="18">
        <f>CT23*VLOOKUP('Données projet'!$B$13,Paramètres!$A$1:$I$89,3,0)*VLOOKUP('Données projet'!$B$13,Paramètres!$A$1:$I$89,5,0)</f>
        <v>90.854400000000012</v>
      </c>
      <c r="CV23" s="14">
        <f t="shared" si="41"/>
        <v>24.771172249191284</v>
      </c>
      <c r="CW23" s="22">
        <f t="shared" si="13"/>
        <v>201.38120500067484</v>
      </c>
      <c r="CX23" s="60">
        <f t="shared" si="14"/>
        <v>494.71453833400813</v>
      </c>
      <c r="CY23" s="60">
        <f ca="1">AVERAGE(OFFSET($CX$3,0,0,'Données projet'!$E$13+1,1))-AVERAGE(OFFSET($H$3,0,0,'Données projet'!$E$13+1,1))</f>
        <v>228.0393346366489</v>
      </c>
      <c r="CZ23" s="60">
        <f t="shared" si="42"/>
        <v>238.591781509447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>
        <f>VLOOKUP(A23,'Données projet'!$A$165:$I$185,2,0)</f>
        <v>42</v>
      </c>
      <c r="DM23" s="13">
        <f>VLOOKUP(A23,'Données projet'!$A$165:$I$185,9,0)</f>
        <v>2.1</v>
      </c>
      <c r="DN23" s="13">
        <f t="array" ref="DN23">INDEX(DM:DM,MIN(IF(ISNUMBER(DM23:DM219),ROW(DM23:DM219),"")))</f>
        <v>2.1</v>
      </c>
      <c r="DO23" s="13">
        <f>IF('Données projet'!$A$166&gt;35,DO22+DN23-DW22,IF(A23&lt;'Données projet'!$A$166,$DL$205^A23,IF(A23='Données projet'!$A$166,'Données projet'!$B$166,DO22+DN23-DW22)))</f>
        <v>42</v>
      </c>
      <c r="DP23" s="18">
        <f>DO23*VLOOKUP('Données projet'!$B$14,Paramètres!$A$1:$I$89,3,0)*VLOOKUP('Données projet'!$B$14,Paramètres!$A$1:$I$89,5,0)</f>
        <v>38.001600000000003</v>
      </c>
      <c r="DQ23" s="14">
        <f t="shared" si="43"/>
        <v>11.467401227090512</v>
      </c>
      <c r="DR23" s="22">
        <f t="shared" si="16"/>
        <v>86.158510470515978</v>
      </c>
      <c r="DS23" s="60">
        <f t="shared" si="17"/>
        <v>379.49184380384929</v>
      </c>
      <c r="DT23" s="60">
        <f ca="1">AVERAGE(OFFSET($DS$3,0,0,'Données projet'!$E$14+1,1))-AVERAGE(OFFSET($H$3,0,0,'Données projet'!$E$14+1,1))</f>
        <v>303.73499739059076</v>
      </c>
      <c r="DU23" s="60">
        <f t="shared" si="44"/>
        <v>172.32171001882188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5.8890909090909096</v>
      </c>
      <c r="EJ23" s="13">
        <f>IF('Données projet'!$A$192&gt;35,EJ22+EI23-ER22,IF(A23&lt;'Données projet'!$A$192,$EG$205^A23,IF(A23='Données projet'!$A$192,'Données projet'!$B$192,EJ22+EI23-ER22)))</f>
        <v>83.25841265260587</v>
      </c>
      <c r="EK23" s="18">
        <f>EJ23*VLOOKUP('Données projet'!$B$15,Paramètres!$A$1:$I$89,3,0)*VLOOKUP('Données projet'!$B$15,Paramètres!$A$1:$I$89,5,0)</f>
        <v>49.788530766258319</v>
      </c>
      <c r="EL23" s="14">
        <f t="shared" si="45"/>
        <v>14.559133347501747</v>
      </c>
      <c r="EM23" s="22">
        <f t="shared" si="19"/>
        <v>112.07218166479875</v>
      </c>
      <c r="EN23" s="60">
        <f t="shared" si="20"/>
        <v>405.40551499813205</v>
      </c>
      <c r="EO23" s="60">
        <f ca="1">AVERAGE(OFFSET($EN$3,0,0,'Données projet'!$E$15+1,1))-AVERAGE(OFFSET($H$3,0,0,'Données projet'!$E$15+1,1))</f>
        <v>269.94948820700841</v>
      </c>
      <c r="EP23" s="60">
        <f t="shared" si="46"/>
        <v>183.45158355135192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3.78125</v>
      </c>
      <c r="FE23" s="13">
        <f>IF('Données projet'!$A$218&gt;35,FE22+FD23-FM22,IF(A23&lt;'Données projet'!$A$218,$FB$205^A23,IF(A23='Données projet'!$A$218,'Données projet'!$B$218,FE22+FD23-FM22)))</f>
        <v>20.032763155216571</v>
      </c>
      <c r="FF23" s="18">
        <f>FE23*VLOOKUP('Données projet'!$B$16,Paramètres!$A$1:$I$89,3,0)*VLOOKUP('Données projet'!$B$16,Paramètres!$A$1:$I$89,5,0)</f>
        <v>11.97959236681951</v>
      </c>
      <c r="FG23" s="14">
        <f t="shared" si="47"/>
        <v>4.1348851561557334</v>
      </c>
      <c r="FH23" s="22">
        <f t="shared" si="22"/>
        <v>28.066048352515214</v>
      </c>
      <c r="FI23" s="60">
        <f t="shared" si="23"/>
        <v>321.39938168584854</v>
      </c>
      <c r="FJ23" s="60">
        <f ca="1">AVERAGE(OFFSET($FI$3,0,0,'Données projet'!$E$16+1,1))-AVERAGE(OFFSET($H$3,0,0,'Données projet'!$E$16+1,1))</f>
        <v>111.24788725253484</v>
      </c>
      <c r="FK23" s="60">
        <f t="shared" si="48"/>
        <v>82.434879813357327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projet'!$B$16,Paramètres!$A$1:$I$89,3,0)*0.475*44/12</f>
        <v>0</v>
      </c>
      <c r="FR23" s="23">
        <f>EXP(-LN(2)/25)*FR22+(1-EXP(-LN(2)/25))/(LN(2)/25)*Calculateur!FM23*Calculateur!FO23*VLOOKUP('Données projet'!$B$16,Paramètres!$A$1:$I$89,3,0)*0.475*44/12</f>
        <v>0</v>
      </c>
      <c r="FS23" s="23">
        <f>EXP(-LN(2)/2)*FS22+(1-EXP(-LN(2)/2))/(LN(2)/2)*FM23*FP23*VLOOKUP('Données projet'!$B$16,Paramètres!$A$1:$I$89,3,0)*0.475*44/12</f>
        <v>0</v>
      </c>
      <c r="FT23" s="24">
        <f t="shared" si="24"/>
        <v>0</v>
      </c>
      <c r="FU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23</v>
      </c>
      <c r="FZ23" s="13">
        <f>IF('Données projet'!$A$244&gt;35,FZ22+FY23-GH22,IF(A23&lt;'Données projet'!$A$244,$FW$205^A23,IF(A23='Données projet'!$A$244,'Données projet'!$B$244,FZ22+FY23-GH22)))</f>
        <v>125</v>
      </c>
      <c r="GA23" s="18">
        <f>FZ23*VLOOKUP('Données projet'!$B$17,Paramètres!$A$1:$I$89,3,0)*VLOOKUP('Données projet'!$B$17,Paramètres!$A$1:$I$89,5,0)</f>
        <v>55.25</v>
      </c>
      <c r="GB23" s="14">
        <f t="shared" si="49"/>
        <v>15.961616407768362</v>
      </c>
      <c r="GC23" s="22">
        <f t="shared" si="25"/>
        <v>124.02689857686322</v>
      </c>
      <c r="GD23" s="60">
        <f t="shared" si="26"/>
        <v>417.36023191019655</v>
      </c>
      <c r="GE23" s="60">
        <f ca="1">AVERAGE(OFFSET($GD$3,0,0,'Données projet'!$E$17+1,1))-AVERAGE(OFFSET($H$3,0,0,'Données projet'!$E$17+1,1))</f>
        <v>323.56667371063662</v>
      </c>
      <c r="GF23" s="60">
        <f t="shared" si="50"/>
        <v>275.70373467723385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>
        <f>EXP(-LN(2)/35)*GL22+(1-EXP(-LN(2)/35))/(LN(2)/35)*GH23*GI23*VLOOKUP('Données projet'!$B$17,Paramètres!$A$1:$I$89,3,0)*0.475*44/12</f>
        <v>0</v>
      </c>
      <c r="GM23" s="23">
        <f>EXP(-LN(2)/25)*GM22+(1-EXP(-LN(2)/25))/(LN(2)/25)*Calculateur!GH23*Calculateur!GJ23*VLOOKUP('Données projet'!$B$17,Paramètres!$A$1:$I$89,3,0)*0.475*44/12</f>
        <v>0</v>
      </c>
      <c r="GN23" s="23">
        <f>EXP(-LN(2)/2)*GN22+(1-EXP(-LN(2)/2))/(LN(2)/2)*GH23*GK23*VLOOKUP('Données projet'!$B$17,Paramètres!$A$1:$I$89,3,0)*0.475*44/12</f>
        <v>0</v>
      </c>
      <c r="GO23" s="23">
        <f t="shared" si="27"/>
        <v>0</v>
      </c>
      <c r="GP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0" t="e">
        <f t="shared" si="29"/>
        <v>#N/A</v>
      </c>
      <c r="GZ23" s="60" t="e">
        <f ca="1">AVERAGE(OFFSET($GY$3,0,0,'Données projet'!$E$18+1,1))-AVERAGE(OFFSET($H$3,0,0,'Données projet'!$E$18+1,1))</f>
        <v>#N/A</v>
      </c>
      <c r="HA23" s="60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4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2">
        <f t="shared" si="32"/>
        <v>3.9778504618356041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17.686666666666667</v>
      </c>
      <c r="N24" s="14">
        <f>IF('Données projet'!$A$36&gt;35,N23+M24-V23,IF(A24&lt;'Données projet'!$A$36,$K$205^A24,IF(A24='Données projet'!$A$36,'Données projet'!$B$36,N23+M24-V23)))</f>
        <v>152.30666666666667</v>
      </c>
      <c r="O24" s="14">
        <f>N24*VLOOKUP('Données projet'!$B$9,Paramètres!$A$1:$I$89,3,0)*VLOOKUP('Données projet'!$B$9,Paramètres!$A$1:$I$89,5,0)</f>
        <v>91.079386666666679</v>
      </c>
      <c r="P24" s="14">
        <f t="shared" si="33"/>
        <v>24.825366166504242</v>
      </c>
      <c r="Q24" s="22">
        <f t="shared" si="2"/>
        <v>201.8674445177727</v>
      </c>
      <c r="R24" s="60">
        <f t="shared" si="0"/>
        <v>495.20077785110601</v>
      </c>
      <c r="S24" s="60">
        <f ca="1">AVERAGE(OFFSET($R$3,0,0,'Données projet'!$E$9+1,1))-AVERAGE(OFFSET($H$3,0,0,'Données projet'!$E$9+1,1))</f>
        <v>235.63766249714581</v>
      </c>
      <c r="T24" s="60">
        <f t="shared" si="34"/>
        <v>231.3297293785277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6.4858675628775622</v>
      </c>
      <c r="AB24" s="23">
        <f>EXP(-LN(2)/2)*AB23+(1-EXP(-LN(2)/2))/(LN(2)/2)*V24*Y24*VLOOKUP('Données projet'!$B$9,Paramètres!$A$1:$I$89,3,0)*0.475*44/12</f>
        <v>3.4496966864266123</v>
      </c>
      <c r="AC24" s="24">
        <f t="shared" si="3"/>
        <v>9.9355642493041749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5.6</v>
      </c>
      <c r="AI24" s="14">
        <f>IF('Données projet'!$A$62&gt;35,AI23+AH24-AQ23,IF(A24&lt;'Données projet'!$A$62,$AF$205^A24,IF(A24='Données projet'!$A$62,'Données projet'!$B$62,AI23+AH24-AQ23)))</f>
        <v>47.6</v>
      </c>
      <c r="AJ24" s="14">
        <f>AI24*VLOOKUP('Données projet'!$B$10,Paramètres!$A$1:$I$89,3,0)*VLOOKUP('Données projet'!$B$10,Paramètres!$A$1:$I$89,5,0)</f>
        <v>48.266400000000004</v>
      </c>
      <c r="AK24" s="14">
        <f t="shared" si="35"/>
        <v>14.165134590154434</v>
      </c>
      <c r="AL24" s="22">
        <f t="shared" si="4"/>
        <v>108.73492274451898</v>
      </c>
      <c r="AM24" s="60">
        <f t="shared" si="5"/>
        <v>402.06825607785231</v>
      </c>
      <c r="AN24" s="60">
        <f ca="1">AVERAGE(OFFSET($AM$3,0,0,'Données projet'!$E$10+1,1))-AVERAGE(OFFSET($H$3,0,0,'Données projet'!$E$10+1,1))</f>
        <v>350.3652766444938</v>
      </c>
      <c r="AO24" s="60">
        <f t="shared" si="36"/>
        <v>197.04549436738586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6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5.6</v>
      </c>
      <c r="BD24" s="13">
        <f>IF('Données projet'!$A$88&gt;35,BD23+BC24-BL23,IF(A24&lt;'Données projet'!$A$88,$BA$205^A24,IF(A24='Données projet'!$A$88,'Données projet'!$B$88,BD23+BC24-BL23)))</f>
        <v>47.6</v>
      </c>
      <c r="BE24" s="14">
        <f>BD24*VLOOKUP('Données projet'!$B$11,Paramètres!$A$1:$I$89,3,0)*VLOOKUP('Données projet'!$B$11,Paramètres!$A$1:$I$89,5,0)</f>
        <v>46.038720000000005</v>
      </c>
      <c r="BF24" s="14">
        <f t="shared" si="37"/>
        <v>13.585879560828786</v>
      </c>
      <c r="BG24" s="22">
        <f t="shared" si="7"/>
        <v>103.84617756844348</v>
      </c>
      <c r="BH24" s="60">
        <f t="shared" si="8"/>
        <v>397.17951090177678</v>
      </c>
      <c r="BI24" s="60">
        <f ca="1">AVERAGE(OFFSET($BH$3,0,0,'Données projet'!$E$11+1,1))-AVERAGE(OFFSET($H$3,0,0,'Données projet'!$E$11+1,1))</f>
        <v>330.39429528665841</v>
      </c>
      <c r="BJ24" s="60">
        <f t="shared" si="38"/>
        <v>186.45728006007261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8.4615384615384617</v>
      </c>
      <c r="BY24" s="13">
        <f>IF('Données projet'!$A$114&gt;35,BY23+BX24-CG23,IF(A24&lt;'Données projet'!$A$114,$BV$205^A24,IF(A24='Données projet'!$A$114,'Données projet'!$B$114,BY23+BX24-CG23)))</f>
        <v>75.128205128205138</v>
      </c>
      <c r="BZ24" s="14">
        <f>BY24*VLOOKUP('Données projet'!$B$12,Paramètres!$A$1:$I$89,3,0)*VLOOKUP('Données projet'!$B$12,Paramètres!$A$1:$I$89,5,0)</f>
        <v>50.396000000000001</v>
      </c>
      <c r="CA24" s="14">
        <f t="shared" si="39"/>
        <v>14.71598138852033</v>
      </c>
      <c r="CB24" s="22">
        <f t="shared" si="10"/>
        <v>113.40336758500625</v>
      </c>
      <c r="CC24" s="60">
        <f t="shared" si="11"/>
        <v>406.73670091833958</v>
      </c>
      <c r="CD24" s="60">
        <f ca="1">AVERAGE(OFFSET($CC$3,0,0,'Données projet'!$E$12+1,1))-AVERAGE(OFFSET($H$3,0,0,'Données projet'!$E$12+1,1))</f>
        <v>212.33913923444732</v>
      </c>
      <c r="CE24" s="60">
        <f t="shared" si="40"/>
        <v>183.51194426094372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10.6</v>
      </c>
      <c r="CT24" s="13">
        <f>IF('Données projet'!$A$140&gt;35,CT23+CS24-DB23,IF(A24&lt;'Données projet'!$A$140,$CQ$205^A24,IF(A24='Données projet'!$A$140,'Données projet'!$B$140,CT23+CS24-DB23)))</f>
        <v>114.6</v>
      </c>
      <c r="CU24" s="18">
        <f>CT24*VLOOKUP('Données projet'!$B$13,Paramètres!$A$1:$I$89,3,0)*VLOOKUP('Données projet'!$B$13,Paramètres!$A$1:$I$89,5,0)</f>
        <v>100.11456000000001</v>
      </c>
      <c r="CV24" s="14">
        <f t="shared" si="41"/>
        <v>26.989288069695206</v>
      </c>
      <c r="CW24" s="22">
        <f t="shared" si="13"/>
        <v>221.37253538805248</v>
      </c>
      <c r="CX24" s="60">
        <f t="shared" si="14"/>
        <v>514.70586872138574</v>
      </c>
      <c r="CY24" s="60">
        <f ca="1">AVERAGE(OFFSET($CX$3,0,0,'Données projet'!$E$13+1,1))-AVERAGE(OFFSET($H$3,0,0,'Données projet'!$E$13+1,1))</f>
        <v>228.0393346366489</v>
      </c>
      <c r="CZ24" s="60">
        <f t="shared" si="42"/>
        <v>238.591781509447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5.6</v>
      </c>
      <c r="DO24" s="13">
        <f>IF('Données projet'!$A$166&gt;35,DO23+DN24-DW23,IF(A24&lt;'Données projet'!$A$166,$DL$205^A24,IF(A24='Données projet'!$A$166,'Données projet'!$B$166,DO23+DN24-DW23)))</f>
        <v>47.6</v>
      </c>
      <c r="DP24" s="18">
        <f>DO24*VLOOKUP('Données projet'!$B$14,Paramètres!$A$1:$I$89,3,0)*VLOOKUP('Données projet'!$B$14,Paramètres!$A$1:$I$89,5,0)</f>
        <v>43.068480000000001</v>
      </c>
      <c r="DQ24" s="14">
        <f t="shared" si="43"/>
        <v>12.808416415102187</v>
      </c>
      <c r="DR24" s="22">
        <f t="shared" si="16"/>
        <v>97.318927922969635</v>
      </c>
      <c r="DS24" s="60">
        <f t="shared" si="17"/>
        <v>390.65226125630295</v>
      </c>
      <c r="DT24" s="60">
        <f ca="1">AVERAGE(OFFSET($DS$3,0,0,'Données projet'!$E$14+1,1))-AVERAGE(OFFSET($H$3,0,0,'Données projet'!$E$14+1,1))</f>
        <v>303.73499739059076</v>
      </c>
      <c r="DU24" s="60">
        <f t="shared" si="44"/>
        <v>172.32171001882188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5.8890909090909096</v>
      </c>
      <c r="EJ24" s="13">
        <f>IF('Données projet'!$A$192&gt;35,EJ23+EI24-ER23,IF(A24&lt;'Données projet'!$A$192,$EG$205^A24,IF(A24='Données projet'!$A$192,'Données projet'!$B$192,EJ23+EI24-ER23)))</f>
        <v>103.86029050253822</v>
      </c>
      <c r="EK24" s="18">
        <f>EJ24*VLOOKUP('Données projet'!$B$15,Paramètres!$A$1:$I$89,3,0)*VLOOKUP('Données projet'!$B$15,Paramètres!$A$1:$I$89,5,0)</f>
        <v>62.108453720517858</v>
      </c>
      <c r="EL24" s="14">
        <f t="shared" si="45"/>
        <v>17.700276001875135</v>
      </c>
      <c r="EM24" s="22">
        <f t="shared" si="19"/>
        <v>139.00020426650113</v>
      </c>
      <c r="EN24" s="60">
        <f t="shared" si="20"/>
        <v>432.33353759983447</v>
      </c>
      <c r="EO24" s="60">
        <f ca="1">AVERAGE(OFFSET($EN$3,0,0,'Données projet'!$E$15+1,1))-AVERAGE(OFFSET($H$3,0,0,'Données projet'!$E$15+1,1))</f>
        <v>269.94948820700841</v>
      </c>
      <c r="EP24" s="60">
        <f t="shared" si="46"/>
        <v>183.45158355135192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3.78125</v>
      </c>
      <c r="FE24" s="13">
        <f>IF('Données projet'!$A$218&gt;35,FE23+FD24-FM23,IF(A24&lt;'Données projet'!$A$218,$FB$205^A24,IF(A24='Données projet'!$A$218,'Données projet'!$B$218,FE23+FD24-FM23)))</f>
        <v>23.27168872407039</v>
      </c>
      <c r="FF24" s="18">
        <f>FE24*VLOOKUP('Données projet'!$B$16,Paramètres!$A$1:$I$89,3,0)*VLOOKUP('Données projet'!$B$16,Paramètres!$A$1:$I$89,5,0)</f>
        <v>13.916469856994095</v>
      </c>
      <c r="FG24" s="14">
        <f t="shared" si="47"/>
        <v>4.7203517537877362</v>
      </c>
      <c r="FH24" s="22">
        <f t="shared" si="22"/>
        <v>32.459130972111687</v>
      </c>
      <c r="FI24" s="60">
        <f t="shared" si="23"/>
        <v>325.79246430544498</v>
      </c>
      <c r="FJ24" s="60">
        <f ca="1">AVERAGE(OFFSET($FI$3,0,0,'Données projet'!$E$16+1,1))-AVERAGE(OFFSET($H$3,0,0,'Données projet'!$E$16+1,1))</f>
        <v>111.24788725253484</v>
      </c>
      <c r="FK24" s="60">
        <f t="shared" si="48"/>
        <v>82.434879813357327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projet'!$B$16,Paramètres!$A$1:$I$89,3,0)*0.475*44/12</f>
        <v>0</v>
      </c>
      <c r="FR24" s="23">
        <f>EXP(-LN(2)/25)*FR23+(1-EXP(-LN(2)/25))/(LN(2)/25)*Calculateur!FM24*Calculateur!FO24*VLOOKUP('Données projet'!$B$16,Paramètres!$A$1:$I$89,3,0)*0.475*44/12</f>
        <v>0</v>
      </c>
      <c r="FS24" s="23">
        <f>EXP(-LN(2)/2)*FS23+(1-EXP(-LN(2)/2))/(LN(2)/2)*FM24*FP24*VLOOKUP('Données projet'!$B$16,Paramètres!$A$1:$I$89,3,0)*0.475*44/12</f>
        <v>0</v>
      </c>
      <c r="FT24" s="24">
        <f t="shared" si="24"/>
        <v>0</v>
      </c>
      <c r="FU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23</v>
      </c>
      <c r="FZ24" s="13">
        <f>IF('Données projet'!$A$244&gt;35,FZ23+FY24-GH23,IF(A24&lt;'Données projet'!$A$244,$FW$205^A24,IF(A24='Données projet'!$A$244,'Données projet'!$B$244,FZ23+FY24-GH23)))</f>
        <v>148</v>
      </c>
      <c r="GA24" s="18">
        <f>FZ24*VLOOKUP('Données projet'!$B$17,Paramètres!$A$1:$I$89,3,0)*VLOOKUP('Données projet'!$B$17,Paramètres!$A$1:$I$89,5,0)</f>
        <v>65.415999999999997</v>
      </c>
      <c r="GB24" s="14">
        <f t="shared" si="49"/>
        <v>18.530640632011718</v>
      </c>
      <c r="GC24" s="22">
        <f t="shared" si="25"/>
        <v>146.20706576742037</v>
      </c>
      <c r="GD24" s="60">
        <f t="shared" si="26"/>
        <v>439.54039910075369</v>
      </c>
      <c r="GE24" s="60">
        <f ca="1">AVERAGE(OFFSET($GD$3,0,0,'Données projet'!$E$17+1,1))-AVERAGE(OFFSET($H$3,0,0,'Données projet'!$E$17+1,1))</f>
        <v>323.56667371063662</v>
      </c>
      <c r="GF24" s="60">
        <f t="shared" si="50"/>
        <v>275.70373467723385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>
        <f>EXP(-LN(2)/35)*GL23+(1-EXP(-LN(2)/35))/(LN(2)/35)*GH24*GI24*VLOOKUP('Données projet'!$B$17,Paramètres!$A$1:$I$89,3,0)*0.475*44/12</f>
        <v>0</v>
      </c>
      <c r="GM24" s="23">
        <f>EXP(-LN(2)/25)*GM23+(1-EXP(-LN(2)/25))/(LN(2)/25)*Calculateur!GH24*Calculateur!GJ24*VLOOKUP('Données projet'!$B$17,Paramètres!$A$1:$I$89,3,0)*0.475*44/12</f>
        <v>0</v>
      </c>
      <c r="GN24" s="23">
        <f>EXP(-LN(2)/2)*GN23+(1-EXP(-LN(2)/2))/(LN(2)/2)*GH24*GK24*VLOOKUP('Données projet'!$B$17,Paramètres!$A$1:$I$89,3,0)*0.475*44/12</f>
        <v>0</v>
      </c>
      <c r="GO24" s="23">
        <f t="shared" si="27"/>
        <v>0</v>
      </c>
      <c r="GP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0" t="e">
        <f t="shared" si="29"/>
        <v>#N/A</v>
      </c>
      <c r="GZ24" s="60" t="e">
        <f ca="1">AVERAGE(OFFSET($GY$3,0,0,'Données projet'!$E$18+1,1))-AVERAGE(OFFSET($H$3,0,0,'Données projet'!$E$18+1,1))</f>
        <v>#N/A</v>
      </c>
      <c r="HA24" s="60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4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2">
        <f t="shared" si="32"/>
        <v>4.1447674125853915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17.686666666666667</v>
      </c>
      <c r="N25" s="14">
        <f>IF('Données projet'!$A$36&gt;35,N24+M25-V24,IF(A25&lt;'Données projet'!$A$36,$K$205^A25,IF(A25='Données projet'!$A$36,'Données projet'!$B$36,N24+M25-V24)))</f>
        <v>169.99333333333334</v>
      </c>
      <c r="O25" s="14">
        <f>N25*VLOOKUP('Données projet'!$B$9,Paramètres!$A$1:$I$89,3,0)*VLOOKUP('Données projet'!$B$9,Paramètres!$A$1:$I$89,5,0)</f>
        <v>101.65601333333333</v>
      </c>
      <c r="P25" s="14">
        <f t="shared" si="33"/>
        <v>27.356141971554642</v>
      </c>
      <c r="Q25" s="22">
        <f t="shared" si="2"/>
        <v>224.6961704893466</v>
      </c>
      <c r="R25" s="60">
        <f t="shared" si="0"/>
        <v>518.02950382267989</v>
      </c>
      <c r="S25" s="60">
        <f ca="1">AVERAGE(OFFSET($R$3,0,0,'Données projet'!$E$9+1,1))-AVERAGE(OFFSET($H$3,0,0,'Données projet'!$E$9+1,1))</f>
        <v>235.63766249714581</v>
      </c>
      <c r="T25" s="60">
        <f t="shared" si="34"/>
        <v>231.3297293785277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6.3085111732937236</v>
      </c>
      <c r="AB25" s="23">
        <f>EXP(-LN(2)/2)*AB24+(1-EXP(-LN(2)/2))/(LN(2)/2)*V25*Y25*VLOOKUP('Données projet'!$B$9,Paramètres!$A$1:$I$89,3,0)*0.475*44/12</f>
        <v>2.4393039200090207</v>
      </c>
      <c r="AC25" s="24">
        <f t="shared" si="3"/>
        <v>8.7478150933027443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5.6</v>
      </c>
      <c r="AI25" s="14">
        <f>IF('Données projet'!$A$62&gt;35,AI24+AH25-AQ24,IF(A25&lt;'Données projet'!$A$62,$AF$205^A25,IF(A25='Données projet'!$A$62,'Données projet'!$B$62,AI24+AH25-AQ24)))</f>
        <v>53.2</v>
      </c>
      <c r="AJ25" s="14">
        <f>AI25*VLOOKUP('Données projet'!$B$10,Paramètres!$A$1:$I$89,3,0)*VLOOKUP('Données projet'!$B$10,Paramètres!$A$1:$I$89,5,0)</f>
        <v>53.944800000000008</v>
      </c>
      <c r="AK25" s="14">
        <f t="shared" si="35"/>
        <v>15.627975445731321</v>
      </c>
      <c r="AL25" s="22">
        <f t="shared" si="4"/>
        <v>121.17258390131538</v>
      </c>
      <c r="AM25" s="60">
        <f t="shared" si="5"/>
        <v>414.50591723464868</v>
      </c>
      <c r="AN25" s="60">
        <f ca="1">AVERAGE(OFFSET($AM$3,0,0,'Données projet'!$E$10+1,1))-AVERAGE(OFFSET($H$3,0,0,'Données projet'!$E$10+1,1))</f>
        <v>350.3652766444938</v>
      </c>
      <c r="AO25" s="60">
        <f t="shared" si="36"/>
        <v>197.04549436738586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6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5.6</v>
      </c>
      <c r="BD25" s="13">
        <f>IF('Données projet'!$A$88&gt;35,BD24+BC25-BL24,IF(A25&lt;'Données projet'!$A$88,$BA$205^A25,IF(A25='Données projet'!$A$88,'Données projet'!$B$88,BD24+BC25-BL24)))</f>
        <v>53.2</v>
      </c>
      <c r="BE25" s="14">
        <f>BD25*VLOOKUP('Données projet'!$B$11,Paramètres!$A$1:$I$89,3,0)*VLOOKUP('Données projet'!$B$11,Paramètres!$A$1:$I$89,5,0)</f>
        <v>51.455040000000004</v>
      </c>
      <c r="BF25" s="14">
        <f t="shared" si="37"/>
        <v>14.988900446655085</v>
      </c>
      <c r="BG25" s="22">
        <f t="shared" si="7"/>
        <v>115.72319627792427</v>
      </c>
      <c r="BH25" s="60">
        <f t="shared" si="8"/>
        <v>409.05652961125759</v>
      </c>
      <c r="BI25" s="60">
        <f ca="1">AVERAGE(OFFSET($BH$3,0,0,'Données projet'!$E$11+1,1))-AVERAGE(OFFSET($H$3,0,0,'Données projet'!$E$11+1,1))</f>
        <v>330.39429528665841</v>
      </c>
      <c r="BJ25" s="60">
        <f t="shared" si="38"/>
        <v>186.45728006007261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8.4615384615384617</v>
      </c>
      <c r="BY25" s="13">
        <f>IF('Données projet'!$A$114&gt;35,BY24+BX25-CG24,IF(A25&lt;'Données projet'!$A$114,$BV$205^A25,IF(A25='Données projet'!$A$114,'Données projet'!$B$114,BY24+BX25-CG24)))</f>
        <v>83.589743589743605</v>
      </c>
      <c r="BZ25" s="14">
        <f>BY25*VLOOKUP('Données projet'!$B$12,Paramètres!$A$1:$I$89,3,0)*VLOOKUP('Données projet'!$B$12,Paramètres!$A$1:$I$89,5,0)</f>
        <v>56.07200000000001</v>
      </c>
      <c r="CA25" s="14">
        <f t="shared" si="39"/>
        <v>16.17126790367621</v>
      </c>
      <c r="CB25" s="22">
        <f t="shared" si="10"/>
        <v>125.82369159890273</v>
      </c>
      <c r="CC25" s="60">
        <f t="shared" si="11"/>
        <v>419.15702493223603</v>
      </c>
      <c r="CD25" s="60">
        <f ca="1">AVERAGE(OFFSET($CC$3,0,0,'Données projet'!$E$12+1,1))-AVERAGE(OFFSET($H$3,0,0,'Données projet'!$E$12+1,1))</f>
        <v>212.33913923444732</v>
      </c>
      <c r="CE25" s="60">
        <f t="shared" si="40"/>
        <v>183.51194426094372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10.6</v>
      </c>
      <c r="CT25" s="13">
        <f>IF('Données projet'!$A$140&gt;35,CT24+CS25-DB24,IF(A25&lt;'Données projet'!$A$140,$CQ$205^A25,IF(A25='Données projet'!$A$140,'Données projet'!$B$140,CT24+CS25-DB24)))</f>
        <v>125.19999999999999</v>
      </c>
      <c r="CU25" s="18">
        <f>CT25*VLOOKUP('Données projet'!$B$13,Paramètres!$A$1:$I$89,3,0)*VLOOKUP('Données projet'!$B$13,Paramètres!$A$1:$I$89,5,0)</f>
        <v>109.37472</v>
      </c>
      <c r="CV25" s="14">
        <f t="shared" si="41"/>
        <v>29.183614885996381</v>
      </c>
      <c r="CW25" s="22">
        <f t="shared" si="13"/>
        <v>241.32243325977697</v>
      </c>
      <c r="CX25" s="60">
        <f t="shared" si="14"/>
        <v>534.65576659311023</v>
      </c>
      <c r="CY25" s="60">
        <f ca="1">AVERAGE(OFFSET($CX$3,0,0,'Données projet'!$E$13+1,1))-AVERAGE(OFFSET($H$3,0,0,'Données projet'!$E$13+1,1))</f>
        <v>228.0393346366489</v>
      </c>
      <c r="CZ25" s="60">
        <f t="shared" si="42"/>
        <v>238.591781509447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5.6</v>
      </c>
      <c r="DO25" s="13">
        <f>IF('Données projet'!$A$166&gt;35,DO24+DN25-DW24,IF(A25&lt;'Données projet'!$A$166,$DL$205^A25,IF(A25='Données projet'!$A$166,'Données projet'!$B$166,DO24+DN25-DW24)))</f>
        <v>53.2</v>
      </c>
      <c r="DP25" s="18">
        <f>DO25*VLOOKUP('Données projet'!$B$14,Paramètres!$A$1:$I$89,3,0)*VLOOKUP('Données projet'!$B$14,Paramètres!$A$1:$I$89,5,0)</f>
        <v>48.135359999999999</v>
      </c>
      <c r="DQ25" s="14">
        <f t="shared" si="43"/>
        <v>14.131148275361113</v>
      </c>
      <c r="DR25" s="22">
        <f t="shared" si="16"/>
        <v>108.4475019129206</v>
      </c>
      <c r="DS25" s="60">
        <f t="shared" si="17"/>
        <v>401.7808352462539</v>
      </c>
      <c r="DT25" s="60">
        <f ca="1">AVERAGE(OFFSET($DS$3,0,0,'Données projet'!$E$14+1,1))-AVERAGE(OFFSET($H$3,0,0,'Données projet'!$E$14+1,1))</f>
        <v>303.73499739059076</v>
      </c>
      <c r="DU25" s="60">
        <f t="shared" si="44"/>
        <v>172.32171001882188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>
        <f>VLOOKUP(A25,'Données projet'!$A$191:$I$211,2,0)</f>
        <v>129.56</v>
      </c>
      <c r="EH25" s="13">
        <f>VLOOKUP(A25,'Données projet'!$A$191:$I$211,9,0)</f>
        <v>5.8890909090909096</v>
      </c>
      <c r="EI25" s="13">
        <f t="array" ref="EI25">INDEX(EH:EH,MIN(IF(ISNUMBER(EH25:EH221),ROW(EH25:EH221),"")))</f>
        <v>5.8890909090909096</v>
      </c>
      <c r="EJ25" s="13">
        <f>IF('Données projet'!$A$192&gt;35,EJ24+EI25-ER24,IF(A25&lt;'Données projet'!$A$192,$EG$205^A25,IF(A25='Données projet'!$A$192,'Données projet'!$B$192,EJ24+EI25-ER24)))</f>
        <v>129.56</v>
      </c>
      <c r="EK25" s="18">
        <f>EJ25*VLOOKUP('Données projet'!$B$15,Paramètres!$A$1:$I$89,3,0)*VLOOKUP('Données projet'!$B$15,Paramètres!$A$1:$I$89,5,0)</f>
        <v>77.476880000000008</v>
      </c>
      <c r="EL25" s="14">
        <f t="shared" si="45"/>
        <v>21.519122262611628</v>
      </c>
      <c r="EM25" s="22">
        <f t="shared" si="19"/>
        <v>172.4180372740486</v>
      </c>
      <c r="EN25" s="60">
        <f t="shared" si="20"/>
        <v>465.75137060738189</v>
      </c>
      <c r="EO25" s="60">
        <f ca="1">AVERAGE(OFFSET($EN$3,0,0,'Données projet'!$E$15+1,1))-AVERAGE(OFFSET($H$3,0,0,'Données projet'!$E$15+1,1))</f>
        <v>269.94948820700841</v>
      </c>
      <c r="EP25" s="60">
        <f t="shared" si="46"/>
        <v>183.45158355135192</v>
      </c>
      <c r="EQ25" s="16">
        <f>IF(ISNA(VLOOKUP(A25,'Données projet'!$A$191:$I$211,3,0)),0,VLOOKUP(A25,'Données projet'!$A$191:$I$211,3,0))</f>
        <v>1</v>
      </c>
      <c r="ER25" s="16">
        <f>IF(ISNA(VLOOKUP(A25,'Données projet'!$A$191:$I$211,4,0)),0,VLOOKUP(A25,'Données projet'!$A$191:$I$211,4,0))</f>
        <v>52.41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0.22500000000000001</v>
      </c>
      <c r="EU25" s="17">
        <f>IF(ISNA(VLOOKUP(A25,'Données projet'!$A$191:$I$211,7,0)),0%,VLOOKUP(A25,'Données projet'!$A$191:$I$211,7,0))</f>
        <v>0.5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9.3177887513150424</v>
      </c>
      <c r="EX25" s="23">
        <f>EXP(-LN(2)/2)*EX24+(1-EXP(-LN(2)/2))/(LN(2)/2)*ER25*EU25*VLOOKUP('Données projet'!$B$15,Paramètres!$A$1:$I$89,3,0)*0.475*44/12</f>
        <v>17.742748119295261</v>
      </c>
      <c r="EY25" s="24">
        <f t="shared" si="21"/>
        <v>27.060536870610303</v>
      </c>
      <c r="EZ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3.78125</v>
      </c>
      <c r="FE25" s="13">
        <f>IF('Données projet'!$A$218&gt;35,FE24+FD25-FM24,IF(A25&lt;'Données projet'!$A$218,$FB$205^A25,IF(A25='Données projet'!$A$218,'Données projet'!$B$218,FE24+FD25-FM24)))</f>
        <v>27.034288374192581</v>
      </c>
      <c r="FF25" s="18">
        <f>FE25*VLOOKUP('Données projet'!$B$16,Paramètres!$A$1:$I$89,3,0)*VLOOKUP('Données projet'!$B$16,Paramètres!$A$1:$I$89,5,0)</f>
        <v>16.166504447767164</v>
      </c>
      <c r="FG25" s="14">
        <f t="shared" si="47"/>
        <v>5.3887157292181262</v>
      </c>
      <c r="FH25" s="22">
        <f t="shared" si="22"/>
        <v>37.542008474916045</v>
      </c>
      <c r="FI25" s="60">
        <f t="shared" si="23"/>
        <v>330.87534180824935</v>
      </c>
      <c r="FJ25" s="60">
        <f ca="1">AVERAGE(OFFSET($FI$3,0,0,'Données projet'!$E$16+1,1))-AVERAGE(OFFSET($H$3,0,0,'Données projet'!$E$16+1,1))</f>
        <v>111.24788725253484</v>
      </c>
      <c r="FK25" s="60">
        <f t="shared" si="48"/>
        <v>82.434879813357327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projet'!$B$16,Paramètres!$A$1:$I$89,3,0)*0.475*44/12</f>
        <v>0</v>
      </c>
      <c r="FR25" s="23">
        <f>EXP(-LN(2)/25)*FR24+(1-EXP(-LN(2)/25))/(LN(2)/25)*Calculateur!FM25*Calculateur!FO25*VLOOKUP('Données projet'!$B$16,Paramètres!$A$1:$I$89,3,0)*0.475*44/12</f>
        <v>0</v>
      </c>
      <c r="FS25" s="23">
        <f>EXP(-LN(2)/2)*FS24+(1-EXP(-LN(2)/2))/(LN(2)/2)*FM25*FP25*VLOOKUP('Données projet'!$B$16,Paramètres!$A$1:$I$89,3,0)*0.475*44/12</f>
        <v>0</v>
      </c>
      <c r="FT25" s="24">
        <f t="shared" si="24"/>
        <v>0</v>
      </c>
      <c r="FU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23</v>
      </c>
      <c r="FZ25" s="13">
        <f>IF('Données projet'!$A$244&gt;35,FZ24+FY25-GH24,IF(A25&lt;'Données projet'!$A$244,$FW$205^A25,IF(A25='Données projet'!$A$244,'Données projet'!$B$244,FZ24+FY25-GH24)))</f>
        <v>171</v>
      </c>
      <c r="GA25" s="18">
        <f>FZ25*VLOOKUP('Données projet'!$B$17,Paramètres!$A$1:$I$89,3,0)*VLOOKUP('Données projet'!$B$17,Paramètres!$A$1:$I$89,5,0)</f>
        <v>75.582000000000008</v>
      </c>
      <c r="GB25" s="14">
        <f t="shared" si="49"/>
        <v>21.053414706764137</v>
      </c>
      <c r="GC25" s="22">
        <f t="shared" si="25"/>
        <v>168.30668061428091</v>
      </c>
      <c r="GD25" s="60">
        <f t="shared" si="26"/>
        <v>461.64001394761419</v>
      </c>
      <c r="GE25" s="60">
        <f ca="1">AVERAGE(OFFSET($GD$3,0,0,'Données projet'!$E$17+1,1))-AVERAGE(OFFSET($H$3,0,0,'Données projet'!$E$17+1,1))</f>
        <v>323.56667371063662</v>
      </c>
      <c r="GF25" s="60">
        <f t="shared" si="50"/>
        <v>275.70373467723385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>
        <f>EXP(-LN(2)/35)*GL24+(1-EXP(-LN(2)/35))/(LN(2)/35)*GH25*GI25*VLOOKUP('Données projet'!$B$17,Paramètres!$A$1:$I$89,3,0)*0.475*44/12</f>
        <v>0</v>
      </c>
      <c r="GM25" s="23">
        <f>EXP(-LN(2)/25)*GM24+(1-EXP(-LN(2)/25))/(LN(2)/25)*Calculateur!GH25*Calculateur!GJ25*VLOOKUP('Données projet'!$B$17,Paramètres!$A$1:$I$89,3,0)*0.475*44/12</f>
        <v>0</v>
      </c>
      <c r="GN25" s="23">
        <f>EXP(-LN(2)/2)*GN24+(1-EXP(-LN(2)/2))/(LN(2)/2)*GH25*GK25*VLOOKUP('Données projet'!$B$17,Paramètres!$A$1:$I$89,3,0)*0.475*44/12</f>
        <v>0</v>
      </c>
      <c r="GO25" s="23">
        <f t="shared" si="27"/>
        <v>0</v>
      </c>
      <c r="GP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0" t="e">
        <f t="shared" si="29"/>
        <v>#N/A</v>
      </c>
      <c r="GZ25" s="60" t="e">
        <f ca="1">AVERAGE(OFFSET($GY$3,0,0,'Données projet'!$E$18+1,1))-AVERAGE(OFFSET($H$3,0,0,'Données projet'!$E$18+1,1))</f>
        <v>#N/A</v>
      </c>
      <c r="HA25" s="60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4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2">
        <f t="shared" si="32"/>
        <v>4.3108032327306516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>
        <f>VLOOKUP(A26,'Données projet'!$A$35:$I$55,2,0)</f>
        <v>187.68</v>
      </c>
      <c r="L26" s="13">
        <f>VLOOKUP(A26,'Données projet'!$A$35:$I$55,9,0)</f>
        <v>17.686666666666667</v>
      </c>
      <c r="M26" s="13">
        <f t="array" ref="M26">INDEX(L:L,MIN(IF(ISNUMBER(L26:L222),ROW(L26:L222),"")))</f>
        <v>17.686666666666667</v>
      </c>
      <c r="N26" s="14">
        <f>IF('Données projet'!$A$36&gt;35,N25+M26-V25,IF(A26&lt;'Données projet'!$A$36,$K$205^A26,IF(A26='Données projet'!$A$36,'Données projet'!$B$36,N25+M26-V25)))</f>
        <v>187.68</v>
      </c>
      <c r="O26" s="14">
        <f>N26*VLOOKUP('Données projet'!$B$9,Paramètres!$A$1:$I$89,3,0)*VLOOKUP('Données projet'!$B$9,Paramètres!$A$1:$I$89,5,0)</f>
        <v>112.23264000000002</v>
      </c>
      <c r="P26" s="14">
        <f t="shared" si="33"/>
        <v>29.85639523393861</v>
      </c>
      <c r="Q26" s="22">
        <f t="shared" si="2"/>
        <v>247.47173636577645</v>
      </c>
      <c r="R26" s="60">
        <f t="shared" si="0"/>
        <v>540.80506969910971</v>
      </c>
      <c r="S26" s="60">
        <f ca="1">AVERAGE(OFFSET($R$3,0,0,'Données projet'!$E$9+1,1))-AVERAGE(OFFSET($H$3,0,0,'Données projet'!$E$9+1,1))</f>
        <v>235.63766249714581</v>
      </c>
      <c r="T26" s="60">
        <f t="shared" si="34"/>
        <v>231.3297293785277</v>
      </c>
      <c r="U26" s="16">
        <f>IF(ISNA(VLOOKUP(A26,'Données projet'!$A$35:$I$55,3,0)),0,VLOOKUP(A26,'Données projet'!$A$35:$I$55,3,0))</f>
        <v>2</v>
      </c>
      <c r="V26" s="16">
        <f>IF(ISNA(VLOOKUP(A26,'Données projet'!$A$35:$I$55,4,0)),0,VLOOKUP(A26,'Données projet'!$A$35:$I$55,4,0))</f>
        <v>57.75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0.22500000000000001</v>
      </c>
      <c r="Y26" s="17">
        <f>IF(ISNA(VLOOKUP(A26,'Données projet'!$A$35:$I$55,7,0)),0%,VLOOKUP(A26,'Données projet'!$A$35:$I$55,7,0))</f>
        <v>0.5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16.403173090219301</v>
      </c>
      <c r="AB26" s="23">
        <f>EXP(-LN(2)/2)*AB25+(1-EXP(-LN(2)/2))/(LN(2)/2)*V26*Y26*VLOOKUP('Données projet'!$B$9,Paramètres!$A$1:$I$89,3,0)*0.475*44/12</f>
        <v>21.275386482677177</v>
      </c>
      <c r="AC26" s="24">
        <f t="shared" si="3"/>
        <v>37.678559572896475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5.6</v>
      </c>
      <c r="AI26" s="14">
        <f>IF('Données projet'!$A$62&gt;35,AI25+AH26-AQ25,IF(A26&lt;'Données projet'!$A$62,$AF$205^A26,IF(A26='Données projet'!$A$62,'Données projet'!$B$62,AI25+AH26-AQ25)))</f>
        <v>58.800000000000004</v>
      </c>
      <c r="AJ26" s="14">
        <f>AI26*VLOOKUP('Données projet'!$B$10,Paramètres!$A$1:$I$89,3,0)*VLOOKUP('Données projet'!$B$10,Paramètres!$A$1:$I$89,5,0)</f>
        <v>59.623200000000011</v>
      </c>
      <c r="AK26" s="14">
        <f t="shared" si="35"/>
        <v>17.072967249098898</v>
      </c>
      <c r="AL26" s="22">
        <f t="shared" si="4"/>
        <v>133.57915795884725</v>
      </c>
      <c r="AM26" s="60">
        <f t="shared" si="5"/>
        <v>426.91249129218056</v>
      </c>
      <c r="AN26" s="60">
        <f ca="1">AVERAGE(OFFSET($AM$3,0,0,'Données projet'!$E$10+1,1))-AVERAGE(OFFSET($H$3,0,0,'Données projet'!$E$10+1,1))</f>
        <v>350.3652766444938</v>
      </c>
      <c r="AO26" s="60">
        <f t="shared" si="36"/>
        <v>197.04549436738586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6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5.6</v>
      </c>
      <c r="BD26" s="13">
        <f>IF('Données projet'!$A$88&gt;35,BD25+BC26-BL25,IF(A26&lt;'Données projet'!$A$88,$BA$205^A26,IF(A26='Données projet'!$A$88,'Données projet'!$B$88,BD25+BC26-BL25)))</f>
        <v>58.800000000000004</v>
      </c>
      <c r="BE26" s="14">
        <f>BD26*VLOOKUP('Données projet'!$B$11,Paramètres!$A$1:$I$89,3,0)*VLOOKUP('Données projet'!$B$11,Paramètres!$A$1:$I$89,5,0)</f>
        <v>56.87136000000001</v>
      </c>
      <c r="BF26" s="14">
        <f t="shared" si="37"/>
        <v>16.374802181791551</v>
      </c>
      <c r="BG26" s="22">
        <f t="shared" si="7"/>
        <v>127.57039913328697</v>
      </c>
      <c r="BH26" s="60">
        <f t="shared" si="8"/>
        <v>420.90373246662028</v>
      </c>
      <c r="BI26" s="60">
        <f ca="1">AVERAGE(OFFSET($BH$3,0,0,'Données projet'!$E$11+1,1))-AVERAGE(OFFSET($H$3,0,0,'Données projet'!$E$11+1,1))</f>
        <v>330.39429528665841</v>
      </c>
      <c r="BJ26" s="60">
        <f t="shared" si="38"/>
        <v>186.45728006007261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8.4615384615384617</v>
      </c>
      <c r="BY26" s="13">
        <f>IF('Données projet'!$A$114&gt;35,BY25+BX26-CG25,IF(A26&lt;'Données projet'!$A$114,$BV$205^A26,IF(A26='Données projet'!$A$114,'Données projet'!$B$114,BY25+BX26-CG25)))</f>
        <v>92.051282051282072</v>
      </c>
      <c r="BZ26" s="14">
        <f>BY26*VLOOKUP('Données projet'!$B$12,Paramètres!$A$1:$I$89,3,0)*VLOOKUP('Données projet'!$B$12,Paramètres!$A$1:$I$89,5,0)</f>
        <v>61.748000000000012</v>
      </c>
      <c r="CA26" s="14">
        <f t="shared" si="39"/>
        <v>17.609476905605174</v>
      </c>
      <c r="CB26" s="22">
        <f t="shared" si="10"/>
        <v>138.21427227726235</v>
      </c>
      <c r="CC26" s="60">
        <f t="shared" si="11"/>
        <v>431.54760561059567</v>
      </c>
      <c r="CD26" s="60">
        <f ca="1">AVERAGE(OFFSET($CC$3,0,0,'Données projet'!$E$12+1,1))-AVERAGE(OFFSET($H$3,0,0,'Données projet'!$E$12+1,1))</f>
        <v>212.33913923444732</v>
      </c>
      <c r="CE26" s="60">
        <f t="shared" si="40"/>
        <v>183.51194426094372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10.6</v>
      </c>
      <c r="CT26" s="13">
        <f>IF('Données projet'!$A$140&gt;35,CT25+CS26-DB25,IF(A26&lt;'Données projet'!$A$140,$CQ$205^A26,IF(A26='Données projet'!$A$140,'Données projet'!$B$140,CT25+CS26-DB25)))</f>
        <v>135.79999999999998</v>
      </c>
      <c r="CU26" s="18">
        <f>CT26*VLOOKUP('Données projet'!$B$13,Paramètres!$A$1:$I$89,3,0)*VLOOKUP('Données projet'!$B$13,Paramètres!$A$1:$I$89,5,0)</f>
        <v>118.63488000000001</v>
      </c>
      <c r="CV26" s="14">
        <f t="shared" si="41"/>
        <v>31.356395772245804</v>
      </c>
      <c r="CW26" s="22">
        <f t="shared" si="13"/>
        <v>261.23480530332807</v>
      </c>
      <c r="CX26" s="60">
        <f t="shared" si="14"/>
        <v>554.56813863666139</v>
      </c>
      <c r="CY26" s="60">
        <f ca="1">AVERAGE(OFFSET($CX$3,0,0,'Données projet'!$E$13+1,1))-AVERAGE(OFFSET($H$3,0,0,'Données projet'!$E$13+1,1))</f>
        <v>228.0393346366489</v>
      </c>
      <c r="CZ26" s="60">
        <f t="shared" si="42"/>
        <v>238.591781509447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5.6</v>
      </c>
      <c r="DO26" s="13">
        <f>IF('Données projet'!$A$166&gt;35,DO25+DN26-DW25,IF(A26&lt;'Données projet'!$A$166,$DL$205^A26,IF(A26='Données projet'!$A$166,'Données projet'!$B$166,DO25+DN26-DW25)))</f>
        <v>58.800000000000004</v>
      </c>
      <c r="DP26" s="18">
        <f>DO26*VLOOKUP('Données projet'!$B$14,Paramètres!$A$1:$I$89,3,0)*VLOOKUP('Données projet'!$B$14,Paramètres!$A$1:$I$89,5,0)</f>
        <v>53.202240000000003</v>
      </c>
      <c r="DQ26" s="14">
        <f t="shared" si="43"/>
        <v>15.437740642425908</v>
      </c>
      <c r="DR26" s="22">
        <f t="shared" si="16"/>
        <v>119.54796628555846</v>
      </c>
      <c r="DS26" s="60">
        <f t="shared" si="17"/>
        <v>412.88129961889177</v>
      </c>
      <c r="DT26" s="60">
        <f ca="1">AVERAGE(OFFSET($DS$3,0,0,'Données projet'!$E$14+1,1))-AVERAGE(OFFSET($H$3,0,0,'Données projet'!$E$14+1,1))</f>
        <v>303.73499739059076</v>
      </c>
      <c r="DU26" s="60">
        <f t="shared" si="44"/>
        <v>172.32171001882188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15.668000000000001</v>
      </c>
      <c r="EJ26" s="13">
        <f>IF('Données projet'!$A$192&gt;35,EJ25+EI26-ER25,IF(A26&lt;'Données projet'!$A$192,$EG$205^A26,IF(A26='Données projet'!$A$192,'Données projet'!$B$192,EJ25+EI26-ER25)))</f>
        <v>92.818000000000012</v>
      </c>
      <c r="EK26" s="18">
        <f>EJ26*VLOOKUP('Données projet'!$B$15,Paramètres!$A$1:$I$89,3,0)*VLOOKUP('Données projet'!$B$15,Paramètres!$A$1:$I$89,5,0)</f>
        <v>55.505164000000015</v>
      </c>
      <c r="EL26" s="14">
        <f t="shared" si="45"/>
        <v>16.026734721730126</v>
      </c>
      <c r="EM26" s="22">
        <f t="shared" si="19"/>
        <v>124.58472360701334</v>
      </c>
      <c r="EN26" s="60">
        <f t="shared" si="20"/>
        <v>417.91805694034667</v>
      </c>
      <c r="EO26" s="60">
        <f ca="1">AVERAGE(OFFSET($EN$3,0,0,'Données projet'!$E$15+1,1))-AVERAGE(OFFSET($H$3,0,0,'Données projet'!$E$15+1,1))</f>
        <v>269.94948820700841</v>
      </c>
      <c r="EP26" s="60">
        <f t="shared" si="46"/>
        <v>183.45158355135192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9.062993327909119</v>
      </c>
      <c r="EX26" s="23">
        <f>EXP(-LN(2)/2)*EX25+(1-EXP(-LN(2)/2))/(LN(2)/2)*ER26*EU26*VLOOKUP('Données projet'!$B$15,Paramètres!$A$1:$I$89,3,0)*0.475*44/12</f>
        <v>12.546017512038542</v>
      </c>
      <c r="EY26" s="24">
        <f t="shared" si="21"/>
        <v>21.609010839947661</v>
      </c>
      <c r="EZ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3.78125</v>
      </c>
      <c r="FE26" s="13">
        <f>IF('Données projet'!$A$218&gt;35,FE25+FD26-FM25,IF(A26&lt;'Données projet'!$A$218,$FB$205^A26,IF(A26='Données projet'!$A$218,'Données projet'!$B$218,FE25+FD26-FM25)))</f>
        <v>31.405230474016616</v>
      </c>
      <c r="FF26" s="18">
        <f>FE26*VLOOKUP('Données projet'!$B$16,Paramètres!$A$1:$I$89,3,0)*VLOOKUP('Données projet'!$B$16,Paramètres!$A$1:$I$89,5,0)</f>
        <v>18.780327823461935</v>
      </c>
      <c r="FG26" s="14">
        <f t="shared" si="47"/>
        <v>6.1517146867332038</v>
      </c>
      <c r="FH26" s="22">
        <f t="shared" si="22"/>
        <v>43.423307371923194</v>
      </c>
      <c r="FI26" s="60">
        <f t="shared" si="23"/>
        <v>336.75664070525653</v>
      </c>
      <c r="FJ26" s="60">
        <f ca="1">AVERAGE(OFFSET($FI$3,0,0,'Données projet'!$E$16+1,1))-AVERAGE(OFFSET($H$3,0,0,'Données projet'!$E$16+1,1))</f>
        <v>111.24788725253484</v>
      </c>
      <c r="FK26" s="60">
        <f t="shared" si="48"/>
        <v>82.434879813357327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projet'!$B$16,Paramètres!$A$1:$I$89,3,0)*0.475*44/12</f>
        <v>0</v>
      </c>
      <c r="FR26" s="23">
        <f>EXP(-LN(2)/25)*FR25+(1-EXP(-LN(2)/25))/(LN(2)/25)*Calculateur!FM26*Calculateur!FO26*VLOOKUP('Données projet'!$B$16,Paramètres!$A$1:$I$89,3,0)*0.475*44/12</f>
        <v>0</v>
      </c>
      <c r="FS26" s="23">
        <f>EXP(-LN(2)/2)*FS25+(1-EXP(-LN(2)/2))/(LN(2)/2)*FM26*FP26*VLOOKUP('Données projet'!$B$16,Paramètres!$A$1:$I$89,3,0)*0.475*44/12</f>
        <v>0</v>
      </c>
      <c r="FT26" s="24">
        <f t="shared" si="24"/>
        <v>0</v>
      </c>
      <c r="FU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>
        <f>VLOOKUP(A26,'Données projet'!$A$243:$I$263,2,0)</f>
        <v>194</v>
      </c>
      <c r="FX26" s="13">
        <f>VLOOKUP(A26,'Données projet'!$A$243:$I$263,9,0)</f>
        <v>23</v>
      </c>
      <c r="FY26" s="13">
        <f t="array" ref="FY26">INDEX(FX:FX,MIN(IF(ISNUMBER(FX26:FX222),ROW(FX26:FX222),"")))</f>
        <v>23</v>
      </c>
      <c r="FZ26" s="13">
        <f>IF('Données projet'!$A$244&gt;35,FZ25+FY26-GH25,IF(A26&lt;'Données projet'!$A$244,$FW$205^A26,IF(A26='Données projet'!$A$244,'Données projet'!$B$244,FZ25+FY26-GH25)))</f>
        <v>194</v>
      </c>
      <c r="GA26" s="18">
        <f>FZ26*VLOOKUP('Données projet'!$B$17,Paramètres!$A$1:$I$89,3,0)*VLOOKUP('Données projet'!$B$17,Paramètres!$A$1:$I$89,5,0)</f>
        <v>85.748000000000019</v>
      </c>
      <c r="GB26" s="14">
        <f t="shared" si="49"/>
        <v>23.536874444180217</v>
      </c>
      <c r="GC26" s="22">
        <f t="shared" si="25"/>
        <v>190.33782299028056</v>
      </c>
      <c r="GD26" s="60">
        <f t="shared" si="26"/>
        <v>483.6711563236139</v>
      </c>
      <c r="GE26" s="60">
        <f ca="1">AVERAGE(OFFSET($GD$3,0,0,'Données projet'!$E$17+1,1))-AVERAGE(OFFSET($H$3,0,0,'Données projet'!$E$17+1,1))</f>
        <v>323.56667371063662</v>
      </c>
      <c r="GF26" s="60">
        <f t="shared" si="50"/>
        <v>275.70373467723385</v>
      </c>
      <c r="GG26" s="16">
        <f>IF(ISNA(VLOOKUP(A26,'Données projet'!$A$243:$I$263,3,0)),0,VLOOKUP(A26,'Données projet'!$A$243:$I$263,3,0))</f>
        <v>1</v>
      </c>
      <c r="GH26" s="16">
        <f>IF(ISNA(VLOOKUP(A26,'Données projet'!$A$243:$I$263,4,0)),0,VLOOKUP(A26,'Données projet'!$A$243:$I$263,4,0))</f>
        <v>63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>
        <f>EXP(-LN(2)/35)*GL25+(1-EXP(-LN(2)/35))/(LN(2)/35)*GH26*GI26*VLOOKUP('Données projet'!$B$17,Paramètres!$A$1:$I$89,3,0)*0.475*44/12</f>
        <v>0</v>
      </c>
      <c r="GM26" s="23">
        <f>EXP(-LN(2)/25)*GM25+(1-EXP(-LN(2)/25))/(LN(2)/25)*Calculateur!GH26*Calculateur!GJ26*VLOOKUP('Données projet'!$B$17,Paramètres!$A$1:$I$89,3,0)*0.475*44/12</f>
        <v>0</v>
      </c>
      <c r="GN26" s="23">
        <f>EXP(-LN(2)/2)*GN25+(1-EXP(-LN(2)/2))/(LN(2)/2)*GH26*GK26*VLOOKUP('Données projet'!$B$17,Paramètres!$A$1:$I$89,3,0)*0.475*44/12</f>
        <v>0</v>
      </c>
      <c r="GO26" s="23">
        <f t="shared" si="27"/>
        <v>0</v>
      </c>
      <c r="GP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0" t="e">
        <f t="shared" si="29"/>
        <v>#N/A</v>
      </c>
      <c r="GZ26" s="60" t="e">
        <f ca="1">AVERAGE(OFFSET($GY$3,0,0,'Données projet'!$E$18+1,1))-AVERAGE(OFFSET($H$3,0,0,'Données projet'!$E$18+1,1))</f>
        <v>#N/A</v>
      </c>
      <c r="HA26" s="60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4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2">
        <f t="shared" si="32"/>
        <v>4.4760006109979766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18.613333333333333</v>
      </c>
      <c r="N27" s="14">
        <f>IF('Données projet'!$A$36&gt;35,N26+M27-V26,IF(A27&lt;'Données projet'!$A$36,$K$205^A27,IF(A27='Données projet'!$A$36,'Données projet'!$B$36,N26+M27-V26)))</f>
        <v>148.54333333333335</v>
      </c>
      <c r="O27" s="14">
        <f>N27*VLOOKUP('Données projet'!$B$9,Paramètres!$A$1:$I$89,3,0)*VLOOKUP('Données projet'!$B$9,Paramètres!$A$1:$I$89,5,0)</f>
        <v>88.828913333333347</v>
      </c>
      <c r="P27" s="14">
        <f t="shared" si="33"/>
        <v>24.282572155728136</v>
      </c>
      <c r="Q27" s="22">
        <f t="shared" si="2"/>
        <v>197.00250389344876</v>
      </c>
      <c r="R27" s="60">
        <f t="shared" si="0"/>
        <v>490.33583722678208</v>
      </c>
      <c r="S27" s="60">
        <f ca="1">AVERAGE(OFFSET($R$3,0,0,'Données projet'!$E$9+1,1))-AVERAGE(OFFSET($H$3,0,0,'Données projet'!$E$9+1,1))</f>
        <v>235.63766249714581</v>
      </c>
      <c r="T27" s="60">
        <f t="shared" si="34"/>
        <v>231.3297293785277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15.954627459461872</v>
      </c>
      <c r="AB27" s="23">
        <f>EXP(-LN(2)/2)*AB26+(1-EXP(-LN(2)/2))/(LN(2)/2)*V27*Y27*VLOOKUP('Données projet'!$B$9,Paramètres!$A$1:$I$89,3,0)*0.475*44/12</f>
        <v>15.043970054265642</v>
      </c>
      <c r="AC27" s="24">
        <f t="shared" si="3"/>
        <v>30.998597513727514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5.6</v>
      </c>
      <c r="AI27" s="14">
        <f>IF('Données projet'!$A$62&gt;35,AI26+AH27-AQ26,IF(A27&lt;'Données projet'!$A$62,$AF$205^A27,IF(A27='Données projet'!$A$62,'Données projet'!$B$62,AI26+AH27-AQ26)))</f>
        <v>64.400000000000006</v>
      </c>
      <c r="AJ27" s="14">
        <f>AI27*VLOOKUP('Données projet'!$B$10,Paramètres!$A$1:$I$89,3,0)*VLOOKUP('Données projet'!$B$10,Paramètres!$A$1:$I$89,5,0)</f>
        <v>65.301600000000008</v>
      </c>
      <c r="AK27" s="14">
        <f t="shared" si="35"/>
        <v>18.502003309535596</v>
      </c>
      <c r="AL27" s="22">
        <f t="shared" si="4"/>
        <v>145.95794243077449</v>
      </c>
      <c r="AM27" s="60">
        <f t="shared" si="5"/>
        <v>439.29127576410781</v>
      </c>
      <c r="AN27" s="60">
        <f ca="1">AVERAGE(OFFSET($AM$3,0,0,'Données projet'!$E$10+1,1))-AVERAGE(OFFSET($H$3,0,0,'Données projet'!$E$10+1,1))</f>
        <v>350.3652766444938</v>
      </c>
      <c r="AO27" s="60">
        <f t="shared" si="36"/>
        <v>197.04549436738586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6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5.6</v>
      </c>
      <c r="BD27" s="13">
        <f>IF('Données projet'!$A$88&gt;35,BD26+BC27-BL26,IF(A27&lt;'Données projet'!$A$88,$BA$205^A27,IF(A27='Données projet'!$A$88,'Données projet'!$B$88,BD26+BC27-BL26)))</f>
        <v>64.400000000000006</v>
      </c>
      <c r="BE27" s="14">
        <f>BD27*VLOOKUP('Données projet'!$B$11,Paramètres!$A$1:$I$89,3,0)*VLOOKUP('Données projet'!$B$11,Paramètres!$A$1:$I$89,5,0)</f>
        <v>62.287680000000009</v>
      </c>
      <c r="BF27" s="14">
        <f t="shared" si="37"/>
        <v>17.745400652396182</v>
      </c>
      <c r="BG27" s="22">
        <f t="shared" si="7"/>
        <v>139.39094880292336</v>
      </c>
      <c r="BH27" s="60">
        <f t="shared" si="8"/>
        <v>432.72428213625665</v>
      </c>
      <c r="BI27" s="60">
        <f ca="1">AVERAGE(OFFSET($BH$3,0,0,'Données projet'!$E$11+1,1))-AVERAGE(OFFSET($H$3,0,0,'Données projet'!$E$11+1,1))</f>
        <v>330.39429528665841</v>
      </c>
      <c r="BJ27" s="60">
        <f t="shared" si="38"/>
        <v>186.45728006007261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8.4615384615384617</v>
      </c>
      <c r="BY27" s="13">
        <f>IF('Données projet'!$A$114&gt;35,BY26+BX27-CG26,IF(A27&lt;'Données projet'!$A$114,$BV$205^A27,IF(A27='Données projet'!$A$114,'Données projet'!$B$114,BY26+BX27-CG26)))</f>
        <v>100.51282051282054</v>
      </c>
      <c r="BZ27" s="14">
        <f>BY27*VLOOKUP('Données projet'!$B$12,Paramètres!$A$1:$I$89,3,0)*VLOOKUP('Données projet'!$B$12,Paramètres!$A$1:$I$89,5,0)</f>
        <v>67.424000000000021</v>
      </c>
      <c r="CA27" s="14">
        <f t="shared" si="39"/>
        <v>19.032356736143235</v>
      </c>
      <c r="CB27" s="22">
        <f t="shared" si="10"/>
        <v>150.57815464878283</v>
      </c>
      <c r="CC27" s="60">
        <f t="shared" si="11"/>
        <v>443.91148798211611</v>
      </c>
      <c r="CD27" s="60">
        <f ca="1">AVERAGE(OFFSET($CC$3,0,0,'Données projet'!$E$12+1,1))-AVERAGE(OFFSET($H$3,0,0,'Données projet'!$E$12+1,1))</f>
        <v>212.33913923444732</v>
      </c>
      <c r="CE27" s="60">
        <f t="shared" si="40"/>
        <v>183.51194426094372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10.6</v>
      </c>
      <c r="CT27" s="13">
        <f>IF('Données projet'!$A$140&gt;35,CT26+CS27-DB26,IF(A27&lt;'Données projet'!$A$140,$CQ$205^A27,IF(A27='Données projet'!$A$140,'Données projet'!$B$140,CT26+CS27-DB26)))</f>
        <v>146.39999999999998</v>
      </c>
      <c r="CU27" s="18">
        <f>CT27*VLOOKUP('Données projet'!$B$13,Paramètres!$A$1:$I$89,3,0)*VLOOKUP('Données projet'!$B$13,Paramètres!$A$1:$I$89,5,0)</f>
        <v>127.89503999999999</v>
      </c>
      <c r="CV27" s="14">
        <f t="shared" si="41"/>
        <v>33.509503727991913</v>
      </c>
      <c r="CW27" s="22">
        <f t="shared" si="13"/>
        <v>281.1129136595859</v>
      </c>
      <c r="CX27" s="60">
        <f t="shared" si="14"/>
        <v>574.44624699291921</v>
      </c>
      <c r="CY27" s="60">
        <f ca="1">AVERAGE(OFFSET($CX$3,0,0,'Données projet'!$E$13+1,1))-AVERAGE(OFFSET($H$3,0,0,'Données projet'!$E$13+1,1))</f>
        <v>228.0393346366489</v>
      </c>
      <c r="CZ27" s="60">
        <f t="shared" si="42"/>
        <v>238.591781509447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5.6</v>
      </c>
      <c r="DO27" s="13">
        <f>IF('Données projet'!$A$166&gt;35,DO26+DN27-DW26,IF(A27&lt;'Données projet'!$A$166,$DL$205^A27,IF(A27='Données projet'!$A$166,'Données projet'!$B$166,DO26+DN27-DW26)))</f>
        <v>64.400000000000006</v>
      </c>
      <c r="DP27" s="18">
        <f>DO27*VLOOKUP('Données projet'!$B$14,Paramètres!$A$1:$I$89,3,0)*VLOOKUP('Données projet'!$B$14,Paramètres!$A$1:$I$89,5,0)</f>
        <v>58.269120000000008</v>
      </c>
      <c r="DQ27" s="14">
        <f t="shared" si="43"/>
        <v>16.729905486873804</v>
      </c>
      <c r="DR27" s="22">
        <f t="shared" si="16"/>
        <v>130.62330272297189</v>
      </c>
      <c r="DS27" s="60">
        <f t="shared" si="17"/>
        <v>423.95663605630523</v>
      </c>
      <c r="DT27" s="60">
        <f ca="1">AVERAGE(OFFSET($DS$3,0,0,'Données projet'!$E$14+1,1))-AVERAGE(OFFSET($H$3,0,0,'Données projet'!$E$14+1,1))</f>
        <v>303.73499739059076</v>
      </c>
      <c r="DU27" s="60">
        <f t="shared" si="44"/>
        <v>172.32171001882188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15.668000000000001</v>
      </c>
      <c r="EJ27" s="13">
        <f>IF('Données projet'!$A$192&gt;35,EJ26+EI27-ER26,IF(A27&lt;'Données projet'!$A$192,$EG$205^A27,IF(A27='Données projet'!$A$192,'Données projet'!$B$192,EJ26+EI27-ER26)))</f>
        <v>108.48600000000002</v>
      </c>
      <c r="EK27" s="18">
        <f>EJ27*VLOOKUP('Données projet'!$B$15,Paramètres!$A$1:$I$89,3,0)*VLOOKUP('Données projet'!$B$15,Paramètres!$A$1:$I$89,5,0)</f>
        <v>64.874628000000016</v>
      </c>
      <c r="EL27" s="14">
        <f t="shared" si="45"/>
        <v>18.395069343973319</v>
      </c>
      <c r="EM27" s="22">
        <f t="shared" si="19"/>
        <v>145.02805620742021</v>
      </c>
      <c r="EN27" s="60">
        <f t="shared" si="20"/>
        <v>438.36138954075352</v>
      </c>
      <c r="EO27" s="60">
        <f ca="1">AVERAGE(OFFSET($EN$3,0,0,'Données projet'!$E$15+1,1))-AVERAGE(OFFSET($H$3,0,0,'Données projet'!$E$15+1,1))</f>
        <v>269.94948820700841</v>
      </c>
      <c r="EP27" s="60">
        <f t="shared" si="46"/>
        <v>183.45158355135192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8.8151652987553391</v>
      </c>
      <c r="EX27" s="23">
        <f>EXP(-LN(2)/2)*EX26+(1-EXP(-LN(2)/2))/(LN(2)/2)*ER27*EU27*VLOOKUP('Données projet'!$B$15,Paramètres!$A$1:$I$89,3,0)*0.475*44/12</f>
        <v>8.871374059647632</v>
      </c>
      <c r="EY27" s="24">
        <f t="shared" si="21"/>
        <v>17.686539358402971</v>
      </c>
      <c r="EZ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3.78125</v>
      </c>
      <c r="FE27" s="13">
        <f>IF('Données projet'!$A$218&gt;35,FE26+FD27-FM26,IF(A27&lt;'Données projet'!$A$218,$FB$205^A27,IF(A27='Données projet'!$A$218,'Données projet'!$B$218,FE26+FD27-FM26)))</f>
        <v>36.482872693909357</v>
      </c>
      <c r="FF27" s="18">
        <f>FE27*VLOOKUP('Données projet'!$B$16,Paramètres!$A$1:$I$89,3,0)*VLOOKUP('Données projet'!$B$16,Paramètres!$A$1:$I$89,5,0)</f>
        <v>21.816757870957797</v>
      </c>
      <c r="FG27" s="14">
        <f t="shared" si="47"/>
        <v>7.022748181311079</v>
      </c>
      <c r="FH27" s="22">
        <f t="shared" si="22"/>
        <v>50.228806374368297</v>
      </c>
      <c r="FI27" s="60">
        <f t="shared" si="23"/>
        <v>343.56213970770159</v>
      </c>
      <c r="FJ27" s="60">
        <f ca="1">AVERAGE(OFFSET($FI$3,0,0,'Données projet'!$E$16+1,1))-AVERAGE(OFFSET($H$3,0,0,'Données projet'!$E$16+1,1))</f>
        <v>111.24788725253484</v>
      </c>
      <c r="FK27" s="60">
        <f t="shared" si="48"/>
        <v>82.434879813357327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projet'!$B$16,Paramètres!$A$1:$I$89,3,0)*0.475*44/12</f>
        <v>0</v>
      </c>
      <c r="FR27" s="23">
        <f>EXP(-LN(2)/25)*FR26+(1-EXP(-LN(2)/25))/(LN(2)/25)*Calculateur!FM27*Calculateur!FO27*VLOOKUP('Données projet'!$B$16,Paramètres!$A$1:$I$89,3,0)*0.475*44/12</f>
        <v>0</v>
      </c>
      <c r="FS27" s="23">
        <f>EXP(-LN(2)/2)*FS26+(1-EXP(-LN(2)/2))/(LN(2)/2)*FM27*FP27*VLOOKUP('Données projet'!$B$16,Paramètres!$A$1:$I$89,3,0)*0.475*44/12</f>
        <v>0</v>
      </c>
      <c r="FT27" s="24">
        <f t="shared" si="24"/>
        <v>0</v>
      </c>
      <c r="FU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27.2</v>
      </c>
      <c r="FZ27" s="13">
        <f>IF('Données projet'!$A$244&gt;35,FZ26+FY27-GH26,IF(A27&lt;'Données projet'!$A$244,$FW$205^A27,IF(A27='Données projet'!$A$244,'Données projet'!$B$244,FZ26+FY27-GH26)))</f>
        <v>158.19999999999999</v>
      </c>
      <c r="GA27" s="18">
        <f>FZ27*VLOOKUP('Données projet'!$B$17,Paramètres!$A$1:$I$89,3,0)*VLOOKUP('Données projet'!$B$17,Paramètres!$A$1:$I$89,5,0)</f>
        <v>69.924399999999991</v>
      </c>
      <c r="GB27" s="14">
        <f t="shared" si="49"/>
        <v>19.654682246357986</v>
      </c>
      <c r="GC27" s="22">
        <f t="shared" si="25"/>
        <v>156.01690157907348</v>
      </c>
      <c r="GD27" s="60">
        <f t="shared" si="26"/>
        <v>449.35023491240679</v>
      </c>
      <c r="GE27" s="60">
        <f ca="1">AVERAGE(OFFSET($GD$3,0,0,'Données projet'!$E$17+1,1))-AVERAGE(OFFSET($H$3,0,0,'Données projet'!$E$17+1,1))</f>
        <v>323.56667371063662</v>
      </c>
      <c r="GF27" s="60">
        <f t="shared" si="50"/>
        <v>275.70373467723385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>
        <f>EXP(-LN(2)/35)*GL26+(1-EXP(-LN(2)/35))/(LN(2)/35)*GH27*GI27*VLOOKUP('Données projet'!$B$17,Paramètres!$A$1:$I$89,3,0)*0.475*44/12</f>
        <v>0</v>
      </c>
      <c r="GM27" s="23">
        <f>EXP(-LN(2)/25)*GM26+(1-EXP(-LN(2)/25))/(LN(2)/25)*Calculateur!GH27*Calculateur!GJ27*VLOOKUP('Données projet'!$B$17,Paramètres!$A$1:$I$89,3,0)*0.475*44/12</f>
        <v>0</v>
      </c>
      <c r="GN27" s="23">
        <f>EXP(-LN(2)/2)*GN26+(1-EXP(-LN(2)/2))/(LN(2)/2)*GH27*GK27*VLOOKUP('Données projet'!$B$17,Paramètres!$A$1:$I$89,3,0)*0.475*44/12</f>
        <v>0</v>
      </c>
      <c r="GO27" s="23">
        <f t="shared" si="27"/>
        <v>0</v>
      </c>
      <c r="GP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0" t="e">
        <f t="shared" si="29"/>
        <v>#N/A</v>
      </c>
      <c r="GZ27" s="60" t="e">
        <f ca="1">AVERAGE(OFFSET($GY$3,0,0,'Données projet'!$E$18+1,1))-AVERAGE(OFFSET($H$3,0,0,'Données projet'!$E$18+1,1))</f>
        <v>#N/A</v>
      </c>
      <c r="HA27" s="60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4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2">
        <f t="shared" si="32"/>
        <v>4.6403984774572109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18.613333333333333</v>
      </c>
      <c r="N28" s="14">
        <f>IF('Données projet'!$A$36&gt;35,N27+M28-V27,IF(A28&lt;'Données projet'!$A$36,$K$205^A28,IF(A28='Données projet'!$A$36,'Données projet'!$B$36,N27+M28-V27)))</f>
        <v>167.15666666666669</v>
      </c>
      <c r="O28" s="14">
        <f>N28*VLOOKUP('Données projet'!$B$9,Paramètres!$A$1:$I$89,3,0)*VLOOKUP('Données projet'!$B$9,Paramètres!$A$1:$I$89,5,0)</f>
        <v>99.959686666666684</v>
      </c>
      <c r="P28" s="14">
        <f t="shared" si="33"/>
        <v>26.952393227223038</v>
      </c>
      <c r="Q28" s="22">
        <f t="shared" si="2"/>
        <v>221.03853914852459</v>
      </c>
      <c r="R28" s="60">
        <f t="shared" si="0"/>
        <v>514.37187248185796</v>
      </c>
      <c r="S28" s="60">
        <f ca="1">AVERAGE(OFFSET($R$3,0,0,'Données projet'!$E$9+1,1))-AVERAGE(OFFSET($H$3,0,0,'Données projet'!$E$9+1,1))</f>
        <v>235.63766249714581</v>
      </c>
      <c r="T28" s="60">
        <f t="shared" si="34"/>
        <v>231.3297293785277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15.518347332565494</v>
      </c>
      <c r="AB28" s="23">
        <f>EXP(-LN(2)/2)*AB27+(1-EXP(-LN(2)/2))/(LN(2)/2)*V28*Y28*VLOOKUP('Données projet'!$B$9,Paramètres!$A$1:$I$89,3,0)*0.475*44/12</f>
        <v>10.637693241338591</v>
      </c>
      <c r="AC28" s="24">
        <f t="shared" si="3"/>
        <v>26.156040573904086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70</v>
      </c>
      <c r="AG28" s="13">
        <f>VLOOKUP(A28,'Données projet'!$A$61:$I$81,9,0)</f>
        <v>5.6</v>
      </c>
      <c r="AH28" s="13">
        <f t="array" ref="AH28">INDEX(AG:AG,MIN(IF(ISNUMBER(AG28:AG224),ROW(AG28:AG224),"")))</f>
        <v>5.6</v>
      </c>
      <c r="AI28" s="14">
        <f>IF('Données projet'!$A$62&gt;35,AI27+AH28-AQ27,IF(A28&lt;'Données projet'!$A$62,$AF$205^A28,IF(A28='Données projet'!$A$62,'Données projet'!$B$62,AI27+AH28-AQ27)))</f>
        <v>70</v>
      </c>
      <c r="AJ28" s="14">
        <f>AI28*VLOOKUP('Données projet'!$B$10,Paramètres!$A$1:$I$89,3,0)*VLOOKUP('Données projet'!$B$10,Paramètres!$A$1:$I$89,5,0)</f>
        <v>70.98</v>
      </c>
      <c r="AK28" s="14">
        <f t="shared" si="35"/>
        <v>19.916628839746853</v>
      </c>
      <c r="AL28" s="22">
        <f t="shared" si="4"/>
        <v>158.31162856255909</v>
      </c>
      <c r="AM28" s="60">
        <f t="shared" si="5"/>
        <v>451.64496189589238</v>
      </c>
      <c r="AN28" s="60">
        <f ca="1">AVERAGE(OFFSET($AM$3,0,0,'Données projet'!$E$10+1,1))-AVERAGE(OFFSET($H$3,0,0,'Données projet'!$E$10+1,1))</f>
        <v>350.3652766444938</v>
      </c>
      <c r="AO28" s="60">
        <f t="shared" si="36"/>
        <v>197.04549436738586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6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>
        <f>VLOOKUP(A28,'Données projet'!$A$87:$I$107,2,0)</f>
        <v>70</v>
      </c>
      <c r="BB28" s="13">
        <f>VLOOKUP(A28,'Données projet'!$A$87:$I$107,9,0)</f>
        <v>5.6</v>
      </c>
      <c r="BC28" s="13">
        <f t="array" ref="BC28">INDEX(BB:BB,MIN(IF(ISNUMBER(BB28:BB224),ROW(BB28:BB224),"")))</f>
        <v>5.6</v>
      </c>
      <c r="BD28" s="13">
        <f>IF('Données projet'!$A$88&gt;35,BD27+BC28-BL27,IF(A28&lt;'Données projet'!$A$88,$BA$205^A28,IF(A28='Données projet'!$A$88,'Données projet'!$B$88,BD27+BC28-BL27)))</f>
        <v>70</v>
      </c>
      <c r="BE28" s="14">
        <f>BD28*VLOOKUP('Données projet'!$B$11,Paramètres!$A$1:$I$89,3,0)*VLOOKUP('Données projet'!$B$11,Paramètres!$A$1:$I$89,5,0)</f>
        <v>67.703999999999994</v>
      </c>
      <c r="BF28" s="14">
        <f t="shared" si="37"/>
        <v>19.102177882771514</v>
      </c>
      <c r="BG28" s="22">
        <f t="shared" si="7"/>
        <v>151.18742647916039</v>
      </c>
      <c r="BH28" s="60">
        <f t="shared" si="8"/>
        <v>444.52075981249368</v>
      </c>
      <c r="BI28" s="60">
        <f ca="1">AVERAGE(OFFSET($BH$3,0,0,'Données projet'!$E$11+1,1))-AVERAGE(OFFSET($H$3,0,0,'Données projet'!$E$11+1,1))</f>
        <v>330.39429528665841</v>
      </c>
      <c r="BJ28" s="60">
        <f t="shared" si="38"/>
        <v>186.45728006007261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>
        <f>VLOOKUP(A28,'Données projet'!$A$113:$I$133,2,0)</f>
        <v>108.97435897435896</v>
      </c>
      <c r="BW28" s="13">
        <f>VLOOKUP(A28,'Données projet'!$A$113:$I$133,9,0)</f>
        <v>8.4615384615384617</v>
      </c>
      <c r="BX28" s="13">
        <f t="array" ref="BX28">INDEX(BW:BW,MIN(IF(ISNUMBER(BW28:BW224),ROW(BW28:BW224),"")))</f>
        <v>8.4615384615384617</v>
      </c>
      <c r="BY28" s="13">
        <f>IF('Données projet'!$A$114&gt;35,BY27+BX28-CG27,IF(A28&lt;'Données projet'!$A$114,$BV$205^A28,IF(A28='Données projet'!$A$114,'Données projet'!$B$114,BY27+BX28-CG27)))</f>
        <v>108.97435897435901</v>
      </c>
      <c r="BZ28" s="14">
        <f>BY28*VLOOKUP('Données projet'!$B$12,Paramètres!$A$1:$I$89,3,0)*VLOOKUP('Données projet'!$B$12,Paramètres!$A$1:$I$89,5,0)</f>
        <v>73.100000000000023</v>
      </c>
      <c r="CA28" s="14">
        <f t="shared" si="39"/>
        <v>20.44134457781275</v>
      </c>
      <c r="CB28" s="22">
        <f t="shared" si="10"/>
        <v>162.91784180635725</v>
      </c>
      <c r="CC28" s="60">
        <f t="shared" si="11"/>
        <v>456.25117513969053</v>
      </c>
      <c r="CD28" s="60">
        <f ca="1">AVERAGE(OFFSET($CC$3,0,0,'Données projet'!$E$12+1,1))-AVERAGE(OFFSET($H$3,0,0,'Données projet'!$E$12+1,1))</f>
        <v>212.33913923444732</v>
      </c>
      <c r="CE28" s="60">
        <f t="shared" si="40"/>
        <v>183.51194426094372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>
        <f>VLOOKUP(A28,'Données projet'!$A$139:$I$159,2,0)</f>
        <v>157</v>
      </c>
      <c r="CR28" s="13">
        <f>VLOOKUP(A28,'Données projet'!$A$139:$I$159,9,0)</f>
        <v>10.6</v>
      </c>
      <c r="CS28" s="13">
        <f t="array" ref="CS28">INDEX(CR:CR,MIN(IF(ISNUMBER(CR28:CR224),ROW(CR28:CR224),"")))</f>
        <v>10.6</v>
      </c>
      <c r="CT28" s="13">
        <f>IF('Données projet'!$A$140&gt;35,CT27+CS28-DB27,IF(A28&lt;'Données projet'!$A$140,$CQ$205^A28,IF(A28='Données projet'!$A$140,'Données projet'!$B$140,CT27+CS28-DB27)))</f>
        <v>156.99999999999997</v>
      </c>
      <c r="CU28" s="18">
        <f>CT28*VLOOKUP('Données projet'!$B$13,Paramètres!$A$1:$I$89,3,0)*VLOOKUP('Données projet'!$B$13,Paramètres!$A$1:$I$89,5,0)</f>
        <v>137.15519999999998</v>
      </c>
      <c r="CV28" s="14">
        <f t="shared" si="41"/>
        <v>35.644525151069693</v>
      </c>
      <c r="CW28" s="22">
        <f t="shared" si="13"/>
        <v>300.95952130477968</v>
      </c>
      <c r="CX28" s="60">
        <f t="shared" si="14"/>
        <v>594.292854638113</v>
      </c>
      <c r="CY28" s="60">
        <f ca="1">AVERAGE(OFFSET($CX$3,0,0,'Données projet'!$E$13+1,1))-AVERAGE(OFFSET($H$3,0,0,'Données projet'!$E$13+1,1))</f>
        <v>228.0393346366489</v>
      </c>
      <c r="CZ28" s="60">
        <f t="shared" si="42"/>
        <v>238.591781509447</v>
      </c>
      <c r="DA28" s="16">
        <f>IF(ISNA(VLOOKUP(A28,'Données projet'!$A$139:$I$159,3,0)),0,VLOOKUP(A28,'Données projet'!$A$139:$I$159,3,0))</f>
        <v>1</v>
      </c>
      <c r="DB28" s="16">
        <f>IF(ISNA(VLOOKUP(A28,'Données projet'!$A$139:$I$159,4,0)),0,VLOOKUP(A28,'Données projet'!$A$139:$I$159,4,0))</f>
        <v>63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>
        <f>VLOOKUP(A28,'Données projet'!$A$165:$I$185,2,0)</f>
        <v>70</v>
      </c>
      <c r="DM28" s="13">
        <f>VLOOKUP(A28,'Données projet'!$A$165:$I$185,9,0)</f>
        <v>5.6</v>
      </c>
      <c r="DN28" s="13">
        <f t="array" ref="DN28">INDEX(DM:DM,MIN(IF(ISNUMBER(DM28:DM224),ROW(DM28:DM224),"")))</f>
        <v>5.6</v>
      </c>
      <c r="DO28" s="13">
        <f>IF('Données projet'!$A$166&gt;35,DO27+DN28-DW27,IF(A28&lt;'Données projet'!$A$166,$DL$205^A28,IF(A28='Données projet'!$A$166,'Données projet'!$B$166,DO27+DN28-DW27)))</f>
        <v>70</v>
      </c>
      <c r="DP28" s="18">
        <f>DO28*VLOOKUP('Données projet'!$B$14,Paramètres!$A$1:$I$89,3,0)*VLOOKUP('Données projet'!$B$14,Paramètres!$A$1:$I$89,5,0)</f>
        <v>63.335999999999991</v>
      </c>
      <c r="DQ28" s="14">
        <f t="shared" si="43"/>
        <v>18.009040022946227</v>
      </c>
      <c r="DR28" s="22">
        <f t="shared" si="16"/>
        <v>141.67594470663133</v>
      </c>
      <c r="DS28" s="60">
        <f t="shared" si="17"/>
        <v>435.00927803996467</v>
      </c>
      <c r="DT28" s="60">
        <f ca="1">AVERAGE(OFFSET($DS$3,0,0,'Données projet'!$E$14+1,1))-AVERAGE(OFFSET($H$3,0,0,'Données projet'!$E$14+1,1))</f>
        <v>303.73499739059076</v>
      </c>
      <c r="DU28" s="60">
        <f t="shared" si="44"/>
        <v>172.32171001882188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15.668000000000001</v>
      </c>
      <c r="EJ28" s="13">
        <f>IF('Données projet'!$A$192&gt;35,EJ27+EI28-ER27,IF(A28&lt;'Données projet'!$A$192,$EG$205^A28,IF(A28='Données projet'!$A$192,'Données projet'!$B$192,EJ27+EI28-ER27)))</f>
        <v>124.15400000000002</v>
      </c>
      <c r="EK28" s="18">
        <f>EJ28*VLOOKUP('Données projet'!$B$15,Paramètres!$A$1:$I$89,3,0)*VLOOKUP('Données projet'!$B$15,Paramètres!$A$1:$I$89,5,0)</f>
        <v>74.244092000000023</v>
      </c>
      <c r="EL28" s="14">
        <f t="shared" si="45"/>
        <v>20.723777454893604</v>
      </c>
      <c r="EM28" s="22">
        <f t="shared" si="19"/>
        <v>165.40237263393973</v>
      </c>
      <c r="EN28" s="60">
        <f t="shared" si="20"/>
        <v>458.73570596727302</v>
      </c>
      <c r="EO28" s="60">
        <f ca="1">AVERAGE(OFFSET($EN$3,0,0,'Données projet'!$E$15+1,1))-AVERAGE(OFFSET($H$3,0,0,'Données projet'!$E$15+1,1))</f>
        <v>269.94948820700841</v>
      </c>
      <c r="EP28" s="60">
        <f t="shared" si="46"/>
        <v>183.45158355135192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8.5741141400914778</v>
      </c>
      <c r="EX28" s="23">
        <f>EXP(-LN(2)/2)*EX27+(1-EXP(-LN(2)/2))/(LN(2)/2)*ER28*EU28*VLOOKUP('Données projet'!$B$15,Paramètres!$A$1:$I$89,3,0)*0.475*44/12</f>
        <v>6.273008756019272</v>
      </c>
      <c r="EY28" s="24">
        <f t="shared" si="21"/>
        <v>14.847122896110751</v>
      </c>
      <c r="EZ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3.78125</v>
      </c>
      <c r="FE28" s="13">
        <f>IF('Données projet'!$A$218&gt;35,FE27+FD28-FM27,IF(A28&lt;'Données projet'!$A$218,$FB$205^A28,IF(A28='Données projet'!$A$218,'Données projet'!$B$218,FE27+FD28-FM27)))</f>
        <v>42.381475311929691</v>
      </c>
      <c r="FF28" s="18">
        <f>FE28*VLOOKUP('Données projet'!$B$16,Paramètres!$A$1:$I$89,3,0)*VLOOKUP('Données projet'!$B$16,Paramètres!$A$1:$I$89,5,0)</f>
        <v>25.344122236533956</v>
      </c>
      <c r="FG28" s="14">
        <f t="shared" si="47"/>
        <v>8.0171130375193496</v>
      </c>
      <c r="FH28" s="22">
        <f t="shared" si="22"/>
        <v>58.104151435642841</v>
      </c>
      <c r="FI28" s="60">
        <f t="shared" si="23"/>
        <v>351.43748476897616</v>
      </c>
      <c r="FJ28" s="60">
        <f ca="1">AVERAGE(OFFSET($FI$3,0,0,'Données projet'!$E$16+1,1))-AVERAGE(OFFSET($H$3,0,0,'Données projet'!$E$16+1,1))</f>
        <v>111.24788725253484</v>
      </c>
      <c r="FK28" s="60">
        <f t="shared" si="48"/>
        <v>82.434879813357327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projet'!$B$16,Paramètres!$A$1:$I$89,3,0)*0.475*44/12</f>
        <v>0</v>
      </c>
      <c r="FR28" s="23">
        <f>EXP(-LN(2)/25)*FR27+(1-EXP(-LN(2)/25))/(LN(2)/25)*Calculateur!FM28*Calculateur!FO28*VLOOKUP('Données projet'!$B$16,Paramètres!$A$1:$I$89,3,0)*0.475*44/12</f>
        <v>0</v>
      </c>
      <c r="FS28" s="23">
        <f>EXP(-LN(2)/2)*FS27+(1-EXP(-LN(2)/2))/(LN(2)/2)*FM28*FP28*VLOOKUP('Données projet'!$B$16,Paramètres!$A$1:$I$89,3,0)*0.475*44/12</f>
        <v>0</v>
      </c>
      <c r="FT28" s="24">
        <f t="shared" si="24"/>
        <v>0</v>
      </c>
      <c r="FU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27.2</v>
      </c>
      <c r="FZ28" s="13">
        <f>IF('Données projet'!$A$244&gt;35,FZ27+FY28-GH27,IF(A28&lt;'Données projet'!$A$244,$FW$205^A28,IF(A28='Données projet'!$A$244,'Données projet'!$B$244,FZ27+FY28-GH27)))</f>
        <v>185.39999999999998</v>
      </c>
      <c r="GA28" s="18">
        <f>FZ28*VLOOKUP('Données projet'!$B$17,Paramètres!$A$1:$I$89,3,0)*VLOOKUP('Données projet'!$B$17,Paramètres!$A$1:$I$89,5,0)</f>
        <v>81.946799999999996</v>
      </c>
      <c r="GB28" s="14">
        <f t="shared" si="49"/>
        <v>22.61251871594532</v>
      </c>
      <c r="GC28" s="22">
        <f t="shared" si="25"/>
        <v>182.10748009693808</v>
      </c>
      <c r="GD28" s="60">
        <f t="shared" si="26"/>
        <v>475.44081343027142</v>
      </c>
      <c r="GE28" s="60">
        <f ca="1">AVERAGE(OFFSET($GD$3,0,0,'Données projet'!$E$17+1,1))-AVERAGE(OFFSET($H$3,0,0,'Données projet'!$E$17+1,1))</f>
        <v>323.56667371063662</v>
      </c>
      <c r="GF28" s="60">
        <f t="shared" si="50"/>
        <v>275.70373467723385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>
        <f>EXP(-LN(2)/35)*GL27+(1-EXP(-LN(2)/35))/(LN(2)/35)*GH28*GI28*VLOOKUP('Données projet'!$B$17,Paramètres!$A$1:$I$89,3,0)*0.475*44/12</f>
        <v>0</v>
      </c>
      <c r="GM28" s="23">
        <f>EXP(-LN(2)/25)*GM27+(1-EXP(-LN(2)/25))/(LN(2)/25)*Calculateur!GH28*Calculateur!GJ28*VLOOKUP('Données projet'!$B$17,Paramètres!$A$1:$I$89,3,0)*0.475*44/12</f>
        <v>0</v>
      </c>
      <c r="GN28" s="23">
        <f>EXP(-LN(2)/2)*GN27+(1-EXP(-LN(2)/2))/(LN(2)/2)*GH28*GK28*VLOOKUP('Données projet'!$B$17,Paramètres!$A$1:$I$89,3,0)*0.475*44/12</f>
        <v>0</v>
      </c>
      <c r="GO28" s="23">
        <f t="shared" si="27"/>
        <v>0</v>
      </c>
      <c r="GP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0" t="e">
        <f t="shared" si="29"/>
        <v>#N/A</v>
      </c>
      <c r="GZ28" s="60" t="e">
        <f ca="1">AVERAGE(OFFSET($GY$3,0,0,'Données projet'!$E$18+1,1))-AVERAGE(OFFSET($H$3,0,0,'Données projet'!$E$18+1,1))</f>
        <v>#N/A</v>
      </c>
      <c r="HA28" s="60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4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2">
        <f t="shared" si="32"/>
        <v>4.8040324714872957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18.613333333333333</v>
      </c>
      <c r="N29" s="14">
        <f>IF('Données projet'!$A$36&gt;35,N28+M29-V28,IF(A29&lt;'Données projet'!$A$36,$K$205^A29,IF(A29='Données projet'!$A$36,'Données projet'!$B$36,N28+M29-V28)))</f>
        <v>185.77000000000004</v>
      </c>
      <c r="O29" s="14">
        <f>N29*VLOOKUP('Données projet'!$B$9,Paramètres!$A$1:$I$89,3,0)*VLOOKUP('Données projet'!$B$9,Paramètres!$A$1:$I$89,5,0)</f>
        <v>111.09046000000004</v>
      </c>
      <c r="P29" s="14">
        <f t="shared" si="33"/>
        <v>29.587757766677999</v>
      </c>
      <c r="Q29" s="22">
        <f t="shared" si="2"/>
        <v>245.01456261029759</v>
      </c>
      <c r="R29" s="60">
        <f t="shared" si="0"/>
        <v>538.34789594363087</v>
      </c>
      <c r="S29" s="60">
        <f ca="1">AVERAGE(OFFSET($R$3,0,0,'Données projet'!$E$9+1,1))-AVERAGE(OFFSET($H$3,0,0,'Données projet'!$E$9+1,1))</f>
        <v>235.63766249714581</v>
      </c>
      <c r="T29" s="60">
        <f t="shared" si="34"/>
        <v>231.3297293785277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15.093997308682072</v>
      </c>
      <c r="AB29" s="23">
        <f>EXP(-LN(2)/2)*AB28+(1-EXP(-LN(2)/2))/(LN(2)/2)*V29*Y29*VLOOKUP('Données projet'!$B$9,Paramètres!$A$1:$I$89,3,0)*0.475*44/12</f>
        <v>7.521985027132823</v>
      </c>
      <c r="AC29" s="24">
        <f t="shared" si="3"/>
        <v>22.615982335814895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77</v>
      </c>
      <c r="AJ29" s="14">
        <f>AI29*VLOOKUP('Données projet'!$B$10,Paramètres!$A$1:$I$89,3,0)*VLOOKUP('Données projet'!$B$10,Paramètres!$A$1:$I$89,5,0)</f>
        <v>78.078000000000003</v>
      </c>
      <c r="AK29" s="14">
        <f t="shared" si="35"/>
        <v>21.666582091642084</v>
      </c>
      <c r="AL29" s="22">
        <f t="shared" si="4"/>
        <v>173.72181380960993</v>
      </c>
      <c r="AM29" s="60">
        <f t="shared" si="5"/>
        <v>467.05514714294327</v>
      </c>
      <c r="AN29" s="60">
        <f ca="1">AVERAGE(OFFSET($AM$3,0,0,'Données projet'!$E$10+1,1))-AVERAGE(OFFSET($H$3,0,0,'Données projet'!$E$10+1,1))</f>
        <v>350.3652766444938</v>
      </c>
      <c r="AO29" s="60">
        <f t="shared" si="36"/>
        <v>197.04549436738586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6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7</v>
      </c>
      <c r="BD29" s="13">
        <f>IF('Données projet'!$A$88&gt;35,BD28+BC29-BL28,IF(A29&lt;'Données projet'!$A$88,$BA$205^A29,IF(A29='Données projet'!$A$88,'Données projet'!$B$88,BD28+BC29-BL28)))</f>
        <v>77</v>
      </c>
      <c r="BE29" s="14">
        <f>BD29*VLOOKUP('Données projet'!$B$11,Paramètres!$A$1:$I$89,3,0)*VLOOKUP('Données projet'!$B$11,Paramètres!$A$1:$I$89,5,0)</f>
        <v>74.474400000000003</v>
      </c>
      <c r="BF29" s="14">
        <f t="shared" si="37"/>
        <v>20.780570274034375</v>
      </c>
      <c r="BG29" s="22">
        <f t="shared" si="7"/>
        <v>165.90240656060988</v>
      </c>
      <c r="BH29" s="60">
        <f t="shared" si="8"/>
        <v>459.23573989394322</v>
      </c>
      <c r="BI29" s="60">
        <f ca="1">AVERAGE(OFFSET($BH$3,0,0,'Données projet'!$E$11+1,1))-AVERAGE(OFFSET($H$3,0,0,'Données projet'!$E$11+1,1))</f>
        <v>330.39429528665841</v>
      </c>
      <c r="BJ29" s="60">
        <f t="shared" si="38"/>
        <v>186.45728006007261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8.0769230769230802</v>
      </c>
      <c r="BY29" s="13">
        <f>IF('Données projet'!$A$114&gt;35,BY28+BX29-CG28,IF(A29&lt;'Données projet'!$A$114,$BV$205^A29,IF(A29='Données projet'!$A$114,'Données projet'!$B$114,BY28+BX29-CG28)))</f>
        <v>117.05128205128209</v>
      </c>
      <c r="BZ29" s="14">
        <f>BY29*VLOOKUP('Données projet'!$B$12,Paramètres!$A$1:$I$89,3,0)*VLOOKUP('Données projet'!$B$12,Paramètres!$A$1:$I$89,5,0)</f>
        <v>78.518000000000029</v>
      </c>
      <c r="CA29" s="14">
        <f t="shared" si="39"/>
        <v>21.774434027551713</v>
      </c>
      <c r="CB29" s="22">
        <f t="shared" si="10"/>
        <v>174.6759892646526</v>
      </c>
      <c r="CC29" s="60">
        <f t="shared" si="11"/>
        <v>468.00932259798594</v>
      </c>
      <c r="CD29" s="60">
        <f ca="1">AVERAGE(OFFSET($CC$3,0,0,'Données projet'!$E$12+1,1))-AVERAGE(OFFSET($H$3,0,0,'Données projet'!$E$12+1,1))</f>
        <v>212.33913923444732</v>
      </c>
      <c r="CE29" s="60">
        <f t="shared" si="40"/>
        <v>183.51194426094372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10</v>
      </c>
      <c r="CT29" s="13">
        <f>IF('Données projet'!$A$140&gt;35,CT28+CS29-DB28,IF(A29&lt;'Données projet'!$A$140,$CQ$205^A29,IF(A29='Données projet'!$A$140,'Données projet'!$B$140,CT28+CS29-DB28)))</f>
        <v>103.99999999999997</v>
      </c>
      <c r="CU29" s="18">
        <f>CT29*VLOOKUP('Données projet'!$B$13,Paramètres!$A$1:$I$89,3,0)*VLOOKUP('Données projet'!$B$13,Paramètres!$A$1:$I$89,5,0)</f>
        <v>90.854399999999984</v>
      </c>
      <c r="CV29" s="14">
        <f t="shared" si="41"/>
        <v>24.771172249191263</v>
      </c>
      <c r="CW29" s="22">
        <f t="shared" si="13"/>
        <v>201.38120500067475</v>
      </c>
      <c r="CX29" s="60">
        <f t="shared" si="14"/>
        <v>494.71453833400807</v>
      </c>
      <c r="CY29" s="60">
        <f ca="1">AVERAGE(OFFSET($CX$3,0,0,'Données projet'!$E$13+1,1))-AVERAGE(OFFSET($H$3,0,0,'Données projet'!$E$13+1,1))</f>
        <v>228.0393346366489</v>
      </c>
      <c r="CZ29" s="60">
        <f t="shared" si="42"/>
        <v>238.591781509447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7</v>
      </c>
      <c r="DO29" s="13">
        <f>IF('Données projet'!$A$166&gt;35,DO28+DN29-DW28,IF(A29&lt;'Données projet'!$A$166,$DL$205^A29,IF(A29='Données projet'!$A$166,'Données projet'!$B$166,DO28+DN29-DW28)))</f>
        <v>77</v>
      </c>
      <c r="DP29" s="18">
        <f>DO29*VLOOKUP('Données projet'!$B$14,Paramètres!$A$1:$I$89,3,0)*VLOOKUP('Données projet'!$B$14,Paramètres!$A$1:$I$89,5,0)</f>
        <v>69.669600000000003</v>
      </c>
      <c r="DQ29" s="14">
        <f t="shared" si="43"/>
        <v>19.591385027476957</v>
      </c>
      <c r="DR29" s="22">
        <f t="shared" si="16"/>
        <v>155.46288225618903</v>
      </c>
      <c r="DS29" s="60">
        <f t="shared" si="17"/>
        <v>448.79621558952238</v>
      </c>
      <c r="DT29" s="60">
        <f ca="1">AVERAGE(OFFSET($DS$3,0,0,'Données projet'!$E$14+1,1))-AVERAGE(OFFSET($H$3,0,0,'Données projet'!$E$14+1,1))</f>
        <v>303.73499739059076</v>
      </c>
      <c r="DU29" s="60">
        <f t="shared" si="44"/>
        <v>172.32171001882188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15.668000000000001</v>
      </c>
      <c r="EJ29" s="13">
        <f>IF('Données projet'!$A$192&gt;35,EJ28+EI29-ER28,IF(A29&lt;'Données projet'!$A$192,$EG$205^A29,IF(A29='Données projet'!$A$192,'Données projet'!$B$192,EJ28+EI29-ER28)))</f>
        <v>139.82200000000003</v>
      </c>
      <c r="EK29" s="18">
        <f>EJ29*VLOOKUP('Données projet'!$B$15,Paramètres!$A$1:$I$89,3,0)*VLOOKUP('Données projet'!$B$15,Paramètres!$A$1:$I$89,5,0)</f>
        <v>83.613556000000031</v>
      </c>
      <c r="EL29" s="14">
        <f t="shared" si="45"/>
        <v>23.018432804124302</v>
      </c>
      <c r="EM29" s="22">
        <f t="shared" si="19"/>
        <v>185.71738050051655</v>
      </c>
      <c r="EN29" s="60">
        <f t="shared" si="20"/>
        <v>479.05071383384984</v>
      </c>
      <c r="EO29" s="60">
        <f ca="1">AVERAGE(OFFSET($EN$3,0,0,'Données projet'!$E$15+1,1))-AVERAGE(OFFSET($H$3,0,0,'Données projet'!$E$15+1,1))</f>
        <v>269.94948820700841</v>
      </c>
      <c r="EP29" s="60">
        <f t="shared" si="46"/>
        <v>183.45158355135192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8.3396545380376104</v>
      </c>
      <c r="EX29" s="23">
        <f>EXP(-LN(2)/2)*EX28+(1-EXP(-LN(2)/2))/(LN(2)/2)*ER29*EU29*VLOOKUP('Données projet'!$B$15,Paramètres!$A$1:$I$89,3,0)*0.475*44/12</f>
        <v>4.435687029823816</v>
      </c>
      <c r="EY29" s="24">
        <f t="shared" si="21"/>
        <v>12.775341567861426</v>
      </c>
      <c r="EZ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3.78125</v>
      </c>
      <c r="FE29" s="13">
        <f>IF('Données projet'!$A$218&gt;35,FE28+FD29-FM28,IF(A29&lt;'Données projet'!$A$218,$FB$205^A29,IF(A29='Données projet'!$A$218,'Données projet'!$B$218,FE28+FD29-FM28)))</f>
        <v>49.233772370002292</v>
      </c>
      <c r="FF29" s="18">
        <f>FE29*VLOOKUP('Données projet'!$B$16,Paramètres!$A$1:$I$89,3,0)*VLOOKUP('Données projet'!$B$16,Paramètres!$A$1:$I$89,5,0)</f>
        <v>29.441795877261374</v>
      </c>
      <c r="FG29" s="14">
        <f t="shared" si="47"/>
        <v>9.152271987682667</v>
      </c>
      <c r="FH29" s="22">
        <f t="shared" si="22"/>
        <v>67.218001531444202</v>
      </c>
      <c r="FI29" s="60">
        <f t="shared" si="23"/>
        <v>360.55133486477752</v>
      </c>
      <c r="FJ29" s="60">
        <f ca="1">AVERAGE(OFFSET($FI$3,0,0,'Données projet'!$E$16+1,1))-AVERAGE(OFFSET($H$3,0,0,'Données projet'!$E$16+1,1))</f>
        <v>111.24788725253484</v>
      </c>
      <c r="FK29" s="60">
        <f t="shared" si="48"/>
        <v>82.434879813357327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projet'!$B$16,Paramètres!$A$1:$I$89,3,0)*0.475*44/12</f>
        <v>0</v>
      </c>
      <c r="FR29" s="23">
        <f>EXP(-LN(2)/25)*FR28+(1-EXP(-LN(2)/25))/(LN(2)/25)*Calculateur!FM29*Calculateur!FO29*VLOOKUP('Données projet'!$B$16,Paramètres!$A$1:$I$89,3,0)*0.475*44/12</f>
        <v>0</v>
      </c>
      <c r="FS29" s="23">
        <f>EXP(-LN(2)/2)*FS28+(1-EXP(-LN(2)/2))/(LN(2)/2)*FM29*FP29*VLOOKUP('Données projet'!$B$16,Paramètres!$A$1:$I$89,3,0)*0.475*44/12</f>
        <v>0</v>
      </c>
      <c r="FT29" s="24">
        <f t="shared" si="24"/>
        <v>0</v>
      </c>
      <c r="FU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27.2</v>
      </c>
      <c r="FZ29" s="13">
        <f>IF('Données projet'!$A$244&gt;35,FZ28+FY29-GH28,IF(A29&lt;'Données projet'!$A$244,$FW$205^A29,IF(A29='Données projet'!$A$244,'Données projet'!$B$244,FZ28+FY29-GH28)))</f>
        <v>212.59999999999997</v>
      </c>
      <c r="GA29" s="18">
        <f>FZ29*VLOOKUP('Données projet'!$B$17,Paramètres!$A$1:$I$89,3,0)*VLOOKUP('Données projet'!$B$17,Paramètres!$A$1:$I$89,5,0)</f>
        <v>93.969199999999987</v>
      </c>
      <c r="GB29" s="14">
        <f t="shared" si="49"/>
        <v>25.520082779226129</v>
      </c>
      <c r="GC29" s="22">
        <f t="shared" si="25"/>
        <v>208.11050084048546</v>
      </c>
      <c r="GD29" s="60">
        <f t="shared" si="26"/>
        <v>501.4438341738188</v>
      </c>
      <c r="GE29" s="60">
        <f ca="1">AVERAGE(OFFSET($GD$3,0,0,'Données projet'!$E$17+1,1))-AVERAGE(OFFSET($H$3,0,0,'Données projet'!$E$17+1,1))</f>
        <v>323.56667371063662</v>
      </c>
      <c r="GF29" s="60">
        <f t="shared" si="50"/>
        <v>275.70373467723385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>
        <f>EXP(-LN(2)/35)*GL28+(1-EXP(-LN(2)/35))/(LN(2)/35)*GH29*GI29*VLOOKUP('Données projet'!$B$17,Paramètres!$A$1:$I$89,3,0)*0.475*44/12</f>
        <v>0</v>
      </c>
      <c r="GM29" s="23">
        <f>EXP(-LN(2)/25)*GM28+(1-EXP(-LN(2)/25))/(LN(2)/25)*Calculateur!GH29*Calculateur!GJ29*VLOOKUP('Données projet'!$B$17,Paramètres!$A$1:$I$89,3,0)*0.475*44/12</f>
        <v>0</v>
      </c>
      <c r="GN29" s="23">
        <f>EXP(-LN(2)/2)*GN28+(1-EXP(-LN(2)/2))/(LN(2)/2)*GH29*GK29*VLOOKUP('Données projet'!$B$17,Paramètres!$A$1:$I$89,3,0)*0.475*44/12</f>
        <v>0</v>
      </c>
      <c r="GO29" s="23">
        <f t="shared" si="27"/>
        <v>0</v>
      </c>
      <c r="GP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0" t="e">
        <f t="shared" si="29"/>
        <v>#N/A</v>
      </c>
      <c r="GZ29" s="60" t="e">
        <f ca="1">AVERAGE(OFFSET($GY$3,0,0,'Données projet'!$E$18+1,1))-AVERAGE(OFFSET($H$3,0,0,'Données projet'!$E$18+1,1))</f>
        <v>#N/A</v>
      </c>
      <c r="HA29" s="60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4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2">
        <f t="shared" si="32"/>
        <v>4.9669353357224146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18.613333333333333</v>
      </c>
      <c r="N30" s="14">
        <f>IF('Données projet'!$A$36&gt;35,N29+M30-V29,IF(A30&lt;'Données projet'!$A$36,$K$205^A30,IF(A30='Données projet'!$A$36,'Données projet'!$B$36,N29+M30-V29)))</f>
        <v>204.38333333333338</v>
      </c>
      <c r="O30" s="14">
        <f>N30*VLOOKUP('Données projet'!$B$9,Paramètres!$A$1:$I$89,3,0)*VLOOKUP('Données projet'!$B$9,Paramètres!$A$1:$I$89,5,0)</f>
        <v>122.22123333333337</v>
      </c>
      <c r="P30" s="14">
        <f t="shared" si="33"/>
        <v>32.192511187778997</v>
      </c>
      <c r="Q30" s="22">
        <f t="shared" si="2"/>
        <v>268.937271707604</v>
      </c>
      <c r="R30" s="60">
        <f t="shared" si="0"/>
        <v>562.27060504093731</v>
      </c>
      <c r="S30" s="60">
        <f ca="1">AVERAGE(OFFSET($R$3,0,0,'Données projet'!$E$9+1,1))-AVERAGE(OFFSET($H$3,0,0,'Données projet'!$E$9+1,1))</f>
        <v>235.63766249714581</v>
      </c>
      <c r="T30" s="60">
        <f t="shared" si="34"/>
        <v>231.3297293785277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14.681251158517339</v>
      </c>
      <c r="AB30" s="23">
        <f>EXP(-LN(2)/2)*AB29+(1-EXP(-LN(2)/2))/(LN(2)/2)*V30*Y30*VLOOKUP('Données projet'!$B$9,Paramètres!$A$1:$I$89,3,0)*0.475*44/12</f>
        <v>5.3188466206692961</v>
      </c>
      <c r="AC30" s="24">
        <f t="shared" si="3"/>
        <v>20.000097779186635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84</v>
      </c>
      <c r="AJ30" s="14">
        <f>AI30*VLOOKUP('Données projet'!$B$10,Paramètres!$A$1:$I$89,3,0)*VLOOKUP('Données projet'!$B$10,Paramètres!$A$1:$I$89,5,0)</f>
        <v>85.176000000000002</v>
      </c>
      <c r="AK30" s="14">
        <f t="shared" si="35"/>
        <v>23.398088487656441</v>
      </c>
      <c r="AL30" s="22">
        <f t="shared" si="4"/>
        <v>189.09987078266829</v>
      </c>
      <c r="AM30" s="60">
        <f t="shared" si="5"/>
        <v>482.4332041160016</v>
      </c>
      <c r="AN30" s="60">
        <f ca="1">AVERAGE(OFFSET($AM$3,0,0,'Données projet'!$E$10+1,1))-AVERAGE(OFFSET($H$3,0,0,'Données projet'!$E$10+1,1))</f>
        <v>350.3652766444938</v>
      </c>
      <c r="AO30" s="60">
        <f t="shared" si="36"/>
        <v>197.04549436738586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6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7</v>
      </c>
      <c r="BD30" s="13">
        <f>IF('Données projet'!$A$88&gt;35,BD29+BC30-BL29,IF(A30&lt;'Données projet'!$A$88,$BA$205^A30,IF(A30='Données projet'!$A$88,'Données projet'!$B$88,BD29+BC30-BL29)))</f>
        <v>84</v>
      </c>
      <c r="BE30" s="14">
        <f>BD30*VLOOKUP('Données projet'!$B$11,Paramètres!$A$1:$I$89,3,0)*VLOOKUP('Données projet'!$B$11,Paramètres!$A$1:$I$89,5,0)</f>
        <v>81.244799999999998</v>
      </c>
      <c r="BF30" s="14">
        <f t="shared" si="37"/>
        <v>22.441270156928962</v>
      </c>
      <c r="BG30" s="22">
        <f t="shared" si="7"/>
        <v>180.58657218998462</v>
      </c>
      <c r="BH30" s="60">
        <f t="shared" si="8"/>
        <v>473.91990552331794</v>
      </c>
      <c r="BI30" s="60">
        <f ca="1">AVERAGE(OFFSET($BH$3,0,0,'Données projet'!$E$11+1,1))-AVERAGE(OFFSET($H$3,0,0,'Données projet'!$E$11+1,1))</f>
        <v>330.39429528665841</v>
      </c>
      <c r="BJ30" s="60">
        <f t="shared" si="38"/>
        <v>186.45728006007261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8.0769230769230802</v>
      </c>
      <c r="BY30" s="13">
        <f>IF('Données projet'!$A$114&gt;35,BY29+BX30-CG29,IF(A30&lt;'Données projet'!$A$114,$BV$205^A30,IF(A30='Données projet'!$A$114,'Données projet'!$B$114,BY29+BX30-CG29)))</f>
        <v>125.12820512820517</v>
      </c>
      <c r="BZ30" s="14">
        <f>BY30*VLOOKUP('Données projet'!$B$12,Paramètres!$A$1:$I$89,3,0)*VLOOKUP('Données projet'!$B$12,Paramètres!$A$1:$I$89,5,0)</f>
        <v>83.936000000000021</v>
      </c>
      <c r="CA30" s="14">
        <f t="shared" si="39"/>
        <v>23.096850074431298</v>
      </c>
      <c r="CB30" s="22">
        <f t="shared" si="10"/>
        <v>186.41554721296791</v>
      </c>
      <c r="CC30" s="60">
        <f t="shared" si="11"/>
        <v>479.74888054630122</v>
      </c>
      <c r="CD30" s="60">
        <f ca="1">AVERAGE(OFFSET($CC$3,0,0,'Données projet'!$E$12+1,1))-AVERAGE(OFFSET($H$3,0,0,'Données projet'!$E$12+1,1))</f>
        <v>212.33913923444732</v>
      </c>
      <c r="CE30" s="60">
        <f t="shared" si="40"/>
        <v>183.51194426094372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10</v>
      </c>
      <c r="CT30" s="13">
        <f>IF('Données projet'!$A$140&gt;35,CT29+CS30-DB29,IF(A30&lt;'Données projet'!$A$140,$CQ$205^A30,IF(A30='Données projet'!$A$140,'Données projet'!$B$140,CT29+CS30-DB29)))</f>
        <v>113.99999999999997</v>
      </c>
      <c r="CU30" s="18">
        <f>CT30*VLOOKUP('Données projet'!$B$13,Paramètres!$A$1:$I$89,3,0)*VLOOKUP('Données projet'!$B$13,Paramètres!$A$1:$I$89,5,0)</f>
        <v>99.590399999999988</v>
      </c>
      <c r="CV30" s="14">
        <f t="shared" si="41"/>
        <v>26.864392698869324</v>
      </c>
      <c r="CW30" s="22">
        <f t="shared" si="13"/>
        <v>220.24209728386404</v>
      </c>
      <c r="CX30" s="60">
        <f t="shared" si="14"/>
        <v>513.5754306171973</v>
      </c>
      <c r="CY30" s="60">
        <f ca="1">AVERAGE(OFFSET($CX$3,0,0,'Données projet'!$E$13+1,1))-AVERAGE(OFFSET($H$3,0,0,'Données projet'!$E$13+1,1))</f>
        <v>228.0393346366489</v>
      </c>
      <c r="CZ30" s="60">
        <f t="shared" si="42"/>
        <v>238.591781509447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7</v>
      </c>
      <c r="DO30" s="13">
        <f>IF('Données projet'!$A$166&gt;35,DO29+DN30-DW29,IF(A30&lt;'Données projet'!$A$166,$DL$205^A30,IF(A30='Données projet'!$A$166,'Données projet'!$B$166,DO29+DN30-DW29)))</f>
        <v>84</v>
      </c>
      <c r="DP30" s="18">
        <f>DO30*VLOOKUP('Données projet'!$B$14,Paramètres!$A$1:$I$89,3,0)*VLOOKUP('Données projet'!$B$14,Paramètres!$A$1:$I$89,5,0)</f>
        <v>76.003200000000007</v>
      </c>
      <c r="DQ30" s="14">
        <f t="shared" si="43"/>
        <v>21.157049992000456</v>
      </c>
      <c r="DR30" s="22">
        <f t="shared" si="16"/>
        <v>169.22076873606747</v>
      </c>
      <c r="DS30" s="60">
        <f t="shared" si="17"/>
        <v>462.55410206940076</v>
      </c>
      <c r="DT30" s="60">
        <f ca="1">AVERAGE(OFFSET($DS$3,0,0,'Données projet'!$E$14+1,1))-AVERAGE(OFFSET($H$3,0,0,'Données projet'!$E$14+1,1))</f>
        <v>303.73499739059076</v>
      </c>
      <c r="DU30" s="60">
        <f t="shared" si="44"/>
        <v>172.32171001882188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>
        <f>VLOOKUP(A30,'Données projet'!$A$191:$I$211,2,0)</f>
        <v>155.49</v>
      </c>
      <c r="EH30" s="13">
        <f>VLOOKUP(A30,'Données projet'!$A$191:$I$211,9,0)</f>
        <v>15.668000000000001</v>
      </c>
      <c r="EI30" s="13">
        <f t="array" ref="EI30">INDEX(EH:EH,MIN(IF(ISNUMBER(EH30:EH226),ROW(EH30:EH226),"")))</f>
        <v>15.668000000000001</v>
      </c>
      <c r="EJ30" s="13">
        <f>IF('Données projet'!$A$192&gt;35,EJ29+EI30-ER29,IF(A30&lt;'Données projet'!$A$192,$EG$205^A30,IF(A30='Données projet'!$A$192,'Données projet'!$B$192,EJ29+EI30-ER29)))</f>
        <v>155.49000000000004</v>
      </c>
      <c r="EK30" s="18">
        <f>EJ30*VLOOKUP('Données projet'!$B$15,Paramètres!$A$1:$I$89,3,0)*VLOOKUP('Données projet'!$B$15,Paramètres!$A$1:$I$89,5,0)</f>
        <v>92.983020000000025</v>
      </c>
      <c r="EL30" s="14">
        <f t="shared" si="45"/>
        <v>25.283286610692258</v>
      </c>
      <c r="EM30" s="22">
        <f t="shared" si="19"/>
        <v>205.98048401362237</v>
      </c>
      <c r="EN30" s="60">
        <f t="shared" si="20"/>
        <v>499.31381734695572</v>
      </c>
      <c r="EO30" s="60">
        <f ca="1">AVERAGE(OFFSET($EN$3,0,0,'Données projet'!$E$15+1,1))-AVERAGE(OFFSET($H$3,0,0,'Données projet'!$E$15+1,1))</f>
        <v>269.94948820700841</v>
      </c>
      <c r="EP30" s="60">
        <f t="shared" si="46"/>
        <v>183.45158355135192</v>
      </c>
      <c r="EQ30" s="16">
        <f>IF(ISNA(VLOOKUP(A30,'Données projet'!$A$191:$I$211,3,0)),0,VLOOKUP(A30,'Données projet'!$A$191:$I$211,3,0))</f>
        <v>2</v>
      </c>
      <c r="ER30" s="16">
        <f>IF(ISNA(VLOOKUP(A30,'Données projet'!$A$191:$I$211,4,0)),0,VLOOKUP(A30,'Données projet'!$A$191:$I$211,4,0))</f>
        <v>37.840000000000003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0.22500000000000001</v>
      </c>
      <c r="EU30" s="17">
        <f>IF(ISNA(VLOOKUP(A30,'Données projet'!$A$191:$I$211,7,0)),0%,VLOOKUP(A30,'Données projet'!$A$191:$I$211,7,0))</f>
        <v>0.5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14.839046168851716</v>
      </c>
      <c r="EX30" s="23">
        <f>EXP(-LN(2)/2)*EX29+(1-EXP(-LN(2)/2))/(LN(2)/2)*ER30*EU30*VLOOKUP('Données projet'!$B$15,Paramètres!$A$1:$I$89,3,0)*0.475*44/12</f>
        <v>15.946761749391674</v>
      </c>
      <c r="EY30" s="24">
        <f t="shared" si="21"/>
        <v>30.785807918243393</v>
      </c>
      <c r="EZ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3.78125</v>
      </c>
      <c r="FE30" s="13">
        <f>IF('Données projet'!$A$218&gt;35,FE29+FD30-FM29,IF(A30&lt;'Données projet'!$A$218,$FB$205^A30,IF(A30='Données projet'!$A$218,'Données projet'!$B$218,FE29+FD30-FM29)))</f>
        <v>57.193958538269555</v>
      </c>
      <c r="FF30" s="18">
        <f>FE30*VLOOKUP('Données projet'!$B$16,Paramètres!$A$1:$I$89,3,0)*VLOOKUP('Données projet'!$B$16,Paramètres!$A$1:$I$89,5,0)</f>
        <v>34.201987205885196</v>
      </c>
      <c r="FG30" s="14">
        <f t="shared" si="47"/>
        <v>10.448160347061673</v>
      </c>
      <c r="FH30" s="22">
        <f t="shared" si="22"/>
        <v>77.765673654715798</v>
      </c>
      <c r="FI30" s="60">
        <f t="shared" si="23"/>
        <v>371.0990069880491</v>
      </c>
      <c r="FJ30" s="60">
        <f ca="1">AVERAGE(OFFSET($FI$3,0,0,'Données projet'!$E$16+1,1))-AVERAGE(OFFSET($H$3,0,0,'Données projet'!$E$16+1,1))</f>
        <v>111.24788725253484</v>
      </c>
      <c r="FK30" s="60">
        <f t="shared" si="48"/>
        <v>82.434879813357327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projet'!$B$16,Paramètres!$A$1:$I$89,3,0)*0.475*44/12</f>
        <v>0</v>
      </c>
      <c r="FR30" s="23">
        <f>EXP(-LN(2)/25)*FR29+(1-EXP(-LN(2)/25))/(LN(2)/25)*Calculateur!FM30*Calculateur!FO30*VLOOKUP('Données projet'!$B$16,Paramètres!$A$1:$I$89,3,0)*0.475*44/12</f>
        <v>0</v>
      </c>
      <c r="FS30" s="23">
        <f>EXP(-LN(2)/2)*FS29+(1-EXP(-LN(2)/2))/(LN(2)/2)*FM30*FP30*VLOOKUP('Données projet'!$B$16,Paramètres!$A$1:$I$89,3,0)*0.475*44/12</f>
        <v>0</v>
      </c>
      <c r="FT30" s="24">
        <f t="shared" si="24"/>
        <v>0</v>
      </c>
      <c r="FU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27.2</v>
      </c>
      <c r="FZ30" s="13">
        <f>IF('Données projet'!$A$244&gt;35,FZ29+FY30-GH29,IF(A30&lt;'Données projet'!$A$244,$FW$205^A30,IF(A30='Données projet'!$A$244,'Données projet'!$B$244,FZ29+FY30-GH29)))</f>
        <v>239.79999999999995</v>
      </c>
      <c r="GA30" s="18">
        <f>FZ30*VLOOKUP('Données projet'!$B$17,Paramètres!$A$1:$I$89,3,0)*VLOOKUP('Données projet'!$B$17,Paramètres!$A$1:$I$89,5,0)</f>
        <v>105.99160000000001</v>
      </c>
      <c r="GB30" s="14">
        <f t="shared" si="49"/>
        <v>28.384543658820601</v>
      </c>
      <c r="GC30" s="22">
        <f t="shared" si="25"/>
        <v>234.03845020577921</v>
      </c>
      <c r="GD30" s="60">
        <f t="shared" si="26"/>
        <v>527.37178353911258</v>
      </c>
      <c r="GE30" s="60">
        <f ca="1">AVERAGE(OFFSET($GD$3,0,0,'Données projet'!$E$17+1,1))-AVERAGE(OFFSET($H$3,0,0,'Données projet'!$E$17+1,1))</f>
        <v>323.56667371063662</v>
      </c>
      <c r="GF30" s="60">
        <f t="shared" si="50"/>
        <v>275.70373467723385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>
        <f>EXP(-LN(2)/35)*GL29+(1-EXP(-LN(2)/35))/(LN(2)/35)*GH30*GI30*VLOOKUP('Données projet'!$B$17,Paramètres!$A$1:$I$89,3,0)*0.475*44/12</f>
        <v>0</v>
      </c>
      <c r="GM30" s="23">
        <f>EXP(-LN(2)/25)*GM29+(1-EXP(-LN(2)/25))/(LN(2)/25)*Calculateur!GH30*Calculateur!GJ30*VLOOKUP('Données projet'!$B$17,Paramètres!$A$1:$I$89,3,0)*0.475*44/12</f>
        <v>0</v>
      </c>
      <c r="GN30" s="23">
        <f>EXP(-LN(2)/2)*GN29+(1-EXP(-LN(2)/2))/(LN(2)/2)*GH30*GK30*VLOOKUP('Données projet'!$B$17,Paramètres!$A$1:$I$89,3,0)*0.475*44/12</f>
        <v>0</v>
      </c>
      <c r="GO30" s="23">
        <f t="shared" si="27"/>
        <v>0</v>
      </c>
      <c r="GP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0" t="e">
        <f t="shared" si="29"/>
        <v>#N/A</v>
      </c>
      <c r="GZ30" s="60" t="e">
        <f ca="1">AVERAGE(OFFSET($GY$3,0,0,'Données projet'!$E$18+1,1))-AVERAGE(OFFSET($H$3,0,0,'Données projet'!$E$18+1,1))</f>
        <v>#N/A</v>
      </c>
      <c r="HA30" s="60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4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2">
        <f t="shared" si="32"/>
        <v>5.1291372499950274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18.613333333333333</v>
      </c>
      <c r="N31" s="14">
        <f>IF('Données projet'!$A$36&gt;35,N30+M31-V30,IF(A31&lt;'Données projet'!$A$36,$K$205^A31,IF(A31='Données projet'!$A$36,'Données projet'!$B$36,N30+M31-V30)))</f>
        <v>222.99666666666673</v>
      </c>
      <c r="O31" s="14">
        <f>N31*VLOOKUP('Données projet'!$B$9,Paramètres!$A$1:$I$89,3,0)*VLOOKUP('Données projet'!$B$9,Paramètres!$A$1:$I$89,5,0)</f>
        <v>133.35200666666671</v>
      </c>
      <c r="P31" s="14">
        <f t="shared" si="33"/>
        <v>34.769758316414304</v>
      </c>
      <c r="Q31" s="22">
        <f t="shared" si="2"/>
        <v>292.81207401219939</v>
      </c>
      <c r="R31" s="60">
        <f t="shared" si="0"/>
        <v>586.1454073455327</v>
      </c>
      <c r="S31" s="60">
        <f ca="1">AVERAGE(OFFSET($R$3,0,0,'Données projet'!$E$9+1,1))-AVERAGE(OFFSET($H$3,0,0,'Données projet'!$E$9+1,1))</f>
        <v>235.63766249714581</v>
      </c>
      <c r="T31" s="60">
        <f t="shared" si="34"/>
        <v>231.3297293785277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14.279791573534238</v>
      </c>
      <c r="AB31" s="23">
        <f>EXP(-LN(2)/2)*AB30+(1-EXP(-LN(2)/2))/(LN(2)/2)*V31*Y31*VLOOKUP('Données projet'!$B$9,Paramètres!$A$1:$I$89,3,0)*0.475*44/12</f>
        <v>3.760992513566412</v>
      </c>
      <c r="AC31" s="24">
        <f t="shared" si="3"/>
        <v>18.040784087100651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91</v>
      </c>
      <c r="AJ31" s="14">
        <f>AI31*VLOOKUP('Données projet'!$B$10,Paramètres!$A$1:$I$89,3,0)*VLOOKUP('Données projet'!$B$10,Paramètres!$A$1:$I$89,5,0)</f>
        <v>92.274000000000001</v>
      </c>
      <c r="AK31" s="14">
        <f t="shared" si="35"/>
        <v>25.112860036087575</v>
      </c>
      <c r="AL31" s="22">
        <f t="shared" si="4"/>
        <v>204.4487812295192</v>
      </c>
      <c r="AM31" s="60">
        <f t="shared" si="5"/>
        <v>497.78211456285248</v>
      </c>
      <c r="AN31" s="60">
        <f ca="1">AVERAGE(OFFSET($AM$3,0,0,'Données projet'!$E$10+1,1))-AVERAGE(OFFSET($H$3,0,0,'Données projet'!$E$10+1,1))</f>
        <v>350.3652766444938</v>
      </c>
      <c r="AO31" s="60">
        <f t="shared" si="36"/>
        <v>197.04549436738586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6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7</v>
      </c>
      <c r="BD31" s="13">
        <f>IF('Données projet'!$A$88&gt;35,BD30+BC31-BL30,IF(A31&lt;'Données projet'!$A$88,$BA$205^A31,IF(A31='Données projet'!$A$88,'Données projet'!$B$88,BD30+BC31-BL30)))</f>
        <v>91</v>
      </c>
      <c r="BE31" s="14">
        <f>BD31*VLOOKUP('Données projet'!$B$11,Paramètres!$A$1:$I$89,3,0)*VLOOKUP('Données projet'!$B$11,Paramètres!$A$1:$I$89,5,0)</f>
        <v>88.015200000000007</v>
      </c>
      <c r="BF31" s="14">
        <f t="shared" si="37"/>
        <v>24.085919530575829</v>
      </c>
      <c r="BG31" s="22">
        <f t="shared" si="7"/>
        <v>195.24278318241954</v>
      </c>
      <c r="BH31" s="60">
        <f t="shared" si="8"/>
        <v>488.57611651575286</v>
      </c>
      <c r="BI31" s="60">
        <f ca="1">AVERAGE(OFFSET($BH$3,0,0,'Données projet'!$E$11+1,1))-AVERAGE(OFFSET($H$3,0,0,'Données projet'!$E$11+1,1))</f>
        <v>330.39429528665841</v>
      </c>
      <c r="BJ31" s="60">
        <f t="shared" si="38"/>
        <v>186.45728006007261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8.0769230769230802</v>
      </c>
      <c r="BY31" s="13">
        <f>IF('Données projet'!$A$114&gt;35,BY30+BX31-CG30,IF(A31&lt;'Données projet'!$A$114,$BV$205^A31,IF(A31='Données projet'!$A$114,'Données projet'!$B$114,BY30+BX31-CG30)))</f>
        <v>133.20512820512823</v>
      </c>
      <c r="BZ31" s="14">
        <f>BY31*VLOOKUP('Données projet'!$B$12,Paramètres!$A$1:$I$89,3,0)*VLOOKUP('Données projet'!$B$12,Paramètres!$A$1:$I$89,5,0)</f>
        <v>89.354000000000013</v>
      </c>
      <c r="CA31" s="14">
        <f t="shared" si="39"/>
        <v>24.40936009026365</v>
      </c>
      <c r="CB31" s="22">
        <f t="shared" si="10"/>
        <v>198.13785215720918</v>
      </c>
      <c r="CC31" s="60">
        <f t="shared" si="11"/>
        <v>491.4711854905425</v>
      </c>
      <c r="CD31" s="60">
        <f ca="1">AVERAGE(OFFSET($CC$3,0,0,'Données projet'!$E$12+1,1))-AVERAGE(OFFSET($H$3,0,0,'Données projet'!$E$12+1,1))</f>
        <v>212.33913923444732</v>
      </c>
      <c r="CE31" s="60">
        <f t="shared" si="40"/>
        <v>183.51194426094372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10</v>
      </c>
      <c r="CT31" s="13">
        <f>IF('Données projet'!$A$140&gt;35,CT30+CS31-DB30,IF(A31&lt;'Données projet'!$A$140,$CQ$205^A31,IF(A31='Données projet'!$A$140,'Données projet'!$B$140,CT30+CS31-DB30)))</f>
        <v>123.99999999999997</v>
      </c>
      <c r="CU31" s="18">
        <f>CT31*VLOOKUP('Données projet'!$B$13,Paramètres!$A$1:$I$89,3,0)*VLOOKUP('Données projet'!$B$13,Paramètres!$A$1:$I$89,5,0)</f>
        <v>108.32640000000001</v>
      </c>
      <c r="CV31" s="14">
        <f t="shared" si="41"/>
        <v>28.936320206966883</v>
      </c>
      <c r="CW31" s="22">
        <f t="shared" si="13"/>
        <v>239.06590436046736</v>
      </c>
      <c r="CX31" s="60">
        <f t="shared" si="14"/>
        <v>532.39923769380061</v>
      </c>
      <c r="CY31" s="60">
        <f ca="1">AVERAGE(OFFSET($CX$3,0,0,'Données projet'!$E$13+1,1))-AVERAGE(OFFSET($H$3,0,0,'Données projet'!$E$13+1,1))</f>
        <v>228.0393346366489</v>
      </c>
      <c r="CZ31" s="60">
        <f t="shared" si="42"/>
        <v>238.591781509447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7</v>
      </c>
      <c r="DO31" s="13">
        <f>IF('Données projet'!$A$166&gt;35,DO30+DN31-DW30,IF(A31&lt;'Données projet'!$A$166,$DL$205^A31,IF(A31='Données projet'!$A$166,'Données projet'!$B$166,DO30+DN31-DW30)))</f>
        <v>91</v>
      </c>
      <c r="DP31" s="18">
        <f>DO31*VLOOKUP('Données projet'!$B$14,Paramètres!$A$1:$I$89,3,0)*VLOOKUP('Données projet'!$B$14,Paramètres!$A$1:$I$89,5,0)</f>
        <v>82.336799999999997</v>
      </c>
      <c r="DQ31" s="14">
        <f t="shared" si="43"/>
        <v>22.707582950885364</v>
      </c>
      <c r="DR31" s="22">
        <f t="shared" si="16"/>
        <v>182.95230030612535</v>
      </c>
      <c r="DS31" s="60">
        <f t="shared" si="17"/>
        <v>476.28563363945864</v>
      </c>
      <c r="DT31" s="60">
        <f ca="1">AVERAGE(OFFSET($DS$3,0,0,'Données projet'!$E$14+1,1))-AVERAGE(OFFSET($H$3,0,0,'Données projet'!$E$14+1,1))</f>
        <v>303.73499739059076</v>
      </c>
      <c r="DU31" s="60">
        <f t="shared" si="44"/>
        <v>172.32171001882188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16.614999999999998</v>
      </c>
      <c r="EJ31" s="13">
        <f>IF('Données projet'!$A$192&gt;35,EJ30+EI31-ER30,IF(A31&lt;'Données projet'!$A$192,$EG$205^A31,IF(A31='Données projet'!$A$192,'Données projet'!$B$192,EJ30+EI31-ER30)))</f>
        <v>134.26500000000004</v>
      </c>
      <c r="EK31" s="18">
        <f>EJ31*VLOOKUP('Données projet'!$B$15,Paramètres!$A$1:$I$89,3,0)*VLOOKUP('Données projet'!$B$15,Paramètres!$A$1:$I$89,5,0)</f>
        <v>80.290470000000042</v>
      </c>
      <c r="EL31" s="14">
        <f t="shared" si="45"/>
        <v>22.20819056593842</v>
      </c>
      <c r="EM31" s="22">
        <f t="shared" si="19"/>
        <v>178.51850048567619</v>
      </c>
      <c r="EN31" s="60">
        <f t="shared" si="20"/>
        <v>471.85183381900947</v>
      </c>
      <c r="EO31" s="60">
        <f ca="1">AVERAGE(OFFSET($EN$3,0,0,'Données projet'!$E$15+1,1))-AVERAGE(OFFSET($H$3,0,0,'Données projet'!$E$15+1,1))</f>
        <v>269.94948820700841</v>
      </c>
      <c r="EP31" s="60">
        <f t="shared" si="46"/>
        <v>183.45158355135192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14.433271671012943</v>
      </c>
      <c r="EX31" s="23">
        <f>EXP(-LN(2)/2)*EX30+(1-EXP(-LN(2)/2))/(LN(2)/2)*ER31*EU31*VLOOKUP('Données projet'!$B$15,Paramètres!$A$1:$I$89,3,0)*0.475*44/12</f>
        <v>11.276063370961106</v>
      </c>
      <c r="EY31" s="24">
        <f t="shared" si="21"/>
        <v>25.70933504197405</v>
      </c>
      <c r="EZ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3.78125</v>
      </c>
      <c r="FE31" s="13">
        <f>IF('Données projet'!$A$218&gt;35,FE30+FD31-FM30,IF(A31&lt;'Données projet'!$A$218,$FB$205^A31,IF(A31='Données projet'!$A$218,'Données projet'!$B$218,FE30+FD31-FM30)))</f>
        <v>66.44115889990951</v>
      </c>
      <c r="FF31" s="18">
        <f>FE31*VLOOKUP('Données projet'!$B$16,Paramètres!$A$1:$I$89,3,0)*VLOOKUP('Données projet'!$B$16,Paramètres!$A$1:$I$89,5,0)</f>
        <v>39.731813022145886</v>
      </c>
      <c r="FG31" s="14">
        <f t="shared" si="47"/>
        <v>11.927536111779386</v>
      </c>
      <c r="FH31" s="22">
        <f t="shared" si="22"/>
        <v>89.973366408253185</v>
      </c>
      <c r="FI31" s="60">
        <f t="shared" si="23"/>
        <v>383.3066997415865</v>
      </c>
      <c r="FJ31" s="60">
        <f ca="1">AVERAGE(OFFSET($FI$3,0,0,'Données projet'!$E$16+1,1))-AVERAGE(OFFSET($H$3,0,0,'Données projet'!$E$16+1,1))</f>
        <v>111.24788725253484</v>
      </c>
      <c r="FK31" s="60">
        <f t="shared" si="48"/>
        <v>82.434879813357327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projet'!$B$16,Paramètres!$A$1:$I$89,3,0)*0.475*44/12</f>
        <v>0</v>
      </c>
      <c r="FR31" s="23">
        <f>EXP(-LN(2)/25)*FR30+(1-EXP(-LN(2)/25))/(LN(2)/25)*Calculateur!FM31*Calculateur!FO31*VLOOKUP('Données projet'!$B$16,Paramètres!$A$1:$I$89,3,0)*0.475*44/12</f>
        <v>0</v>
      </c>
      <c r="FS31" s="23">
        <f>EXP(-LN(2)/2)*FS30+(1-EXP(-LN(2)/2))/(LN(2)/2)*FM31*FP31*VLOOKUP('Données projet'!$B$16,Paramètres!$A$1:$I$89,3,0)*0.475*44/12</f>
        <v>0</v>
      </c>
      <c r="FT31" s="24">
        <f t="shared" si="24"/>
        <v>0</v>
      </c>
      <c r="FU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>
        <f>VLOOKUP(A31,'Données projet'!$A$243:$I$263,2,0)</f>
        <v>267</v>
      </c>
      <c r="FX31" s="13">
        <f>VLOOKUP(A31,'Données projet'!$A$243:$I$263,9,0)</f>
        <v>27.2</v>
      </c>
      <c r="FY31" s="13">
        <f t="array" ref="FY31">INDEX(FX:FX,MIN(IF(ISNUMBER(FX31:FX227),ROW(FX31:FX227),"")))</f>
        <v>27.2</v>
      </c>
      <c r="FZ31" s="13">
        <f>IF('Données projet'!$A$244&gt;35,FZ30+FY31-GH30,IF(A31&lt;'Données projet'!$A$244,$FW$205^A31,IF(A31='Données projet'!$A$244,'Données projet'!$B$244,FZ30+FY31-GH30)))</f>
        <v>266.99999999999994</v>
      </c>
      <c r="GA31" s="18">
        <f>FZ31*VLOOKUP('Données projet'!$B$17,Paramètres!$A$1:$I$89,3,0)*VLOOKUP('Données projet'!$B$17,Paramètres!$A$1:$I$89,5,0)</f>
        <v>118.01399999999998</v>
      </c>
      <c r="GB31" s="14">
        <f t="shared" si="49"/>
        <v>31.211348475126677</v>
      </c>
      <c r="GC31" s="22">
        <f t="shared" si="25"/>
        <v>259.9008152608456</v>
      </c>
      <c r="GD31" s="60">
        <f t="shared" si="26"/>
        <v>553.23414859417892</v>
      </c>
      <c r="GE31" s="60">
        <f ca="1">AVERAGE(OFFSET($GD$3,0,0,'Données projet'!$E$17+1,1))-AVERAGE(OFFSET($H$3,0,0,'Données projet'!$E$17+1,1))</f>
        <v>323.56667371063662</v>
      </c>
      <c r="GF31" s="60">
        <f t="shared" si="50"/>
        <v>275.70373467723385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>
        <f>EXP(-LN(2)/35)*GL30+(1-EXP(-LN(2)/35))/(LN(2)/35)*GH31*GI31*VLOOKUP('Données projet'!$B$17,Paramètres!$A$1:$I$89,3,0)*0.475*44/12</f>
        <v>0</v>
      </c>
      <c r="GM31" s="23">
        <f>EXP(-LN(2)/25)*GM30+(1-EXP(-LN(2)/25))/(LN(2)/25)*Calculateur!GH31*Calculateur!GJ31*VLOOKUP('Données projet'!$B$17,Paramètres!$A$1:$I$89,3,0)*0.475*44/12</f>
        <v>0</v>
      </c>
      <c r="GN31" s="23">
        <f>EXP(-LN(2)/2)*GN30+(1-EXP(-LN(2)/2))/(LN(2)/2)*GH31*GK31*VLOOKUP('Données projet'!$B$17,Paramètres!$A$1:$I$89,3,0)*0.475*44/12</f>
        <v>0</v>
      </c>
      <c r="GO31" s="23">
        <f t="shared" si="27"/>
        <v>0</v>
      </c>
      <c r="GP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0" t="e">
        <f t="shared" si="29"/>
        <v>#N/A</v>
      </c>
      <c r="GZ31" s="60" t="e">
        <f ca="1">AVERAGE(OFFSET($GY$3,0,0,'Données projet'!$E$18+1,1))-AVERAGE(OFFSET($H$3,0,0,'Données projet'!$E$18+1,1))</f>
        <v>#N/A</v>
      </c>
      <c r="HA31" s="60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4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2">
        <f t="shared" si="32"/>
        <v>5.2906661162322051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>
        <f>VLOOKUP(A32,'Données projet'!$A$35:$I$55,2,0)</f>
        <v>241.61</v>
      </c>
      <c r="L32" s="13">
        <f>VLOOKUP(A32,'Données projet'!$A$35:$I$55,9,0)</f>
        <v>18.613333333333333</v>
      </c>
      <c r="M32" s="13">
        <f t="array" ref="M32">INDEX(L:L,MIN(IF(ISNUMBER(L32:L228),ROW(L32:L228),"")))</f>
        <v>18.613333333333333</v>
      </c>
      <c r="N32" s="14">
        <f>IF('Données projet'!$A$36&gt;35,N31+M32-V31,IF(A32&lt;'Données projet'!$A$36,$K$205^A32,IF(A32='Données projet'!$A$36,'Données projet'!$B$36,N31+M32-V31)))</f>
        <v>241.61000000000007</v>
      </c>
      <c r="O32" s="14">
        <f>N32*VLOOKUP('Données projet'!$B$9,Paramètres!$A$1:$I$89,3,0)*VLOOKUP('Données projet'!$B$9,Paramètres!$A$1:$I$89,5,0)</f>
        <v>144.48278000000005</v>
      </c>
      <c r="P32" s="14">
        <f t="shared" si="33"/>
        <v>37.322056105193219</v>
      </c>
      <c r="Q32" s="22">
        <f t="shared" si="2"/>
        <v>316.6434228832116</v>
      </c>
      <c r="R32" s="60">
        <f t="shared" si="0"/>
        <v>609.97675621654491</v>
      </c>
      <c r="S32" s="60">
        <f ca="1">AVERAGE(OFFSET($R$3,0,0,'Données projet'!$E$9+1,1))-AVERAGE(OFFSET($H$3,0,0,'Données projet'!$E$9+1,1))</f>
        <v>235.63766249714581</v>
      </c>
      <c r="T32" s="60">
        <f t="shared" si="34"/>
        <v>231.3297293785277</v>
      </c>
      <c r="U32" s="16">
        <f>IF(ISNA(VLOOKUP(A32,'Données projet'!$A$35:$I$55,3,0)),0,VLOOKUP(A32,'Données projet'!$A$35:$I$55,3,0))</f>
        <v>3</v>
      </c>
      <c r="V32" s="16">
        <f>IF(ISNA(VLOOKUP(A32,'Données projet'!$A$35:$I$55,4,0)),0,VLOOKUP(A32,'Données projet'!$A$35:$I$55,4,0))</f>
        <v>54.64</v>
      </c>
      <c r="W32" s="17">
        <f>IF(ISNA(VLOOKUP(A32,'Données projet'!$A$35:$I$55,5,0)),0%,VLOOKUP(A32,'Données projet'!$A$35:$I$55,5,0)*VLOOKUP('Données projet'!$B$9,Paramètres!$A$1:$I$89,7,0))</f>
        <v>0.27</v>
      </c>
      <c r="X32" s="17">
        <f>IF(ISNA(VLOOKUP(A32,'Données projet'!$A$35:$I$55,6,0)),0%,VLOOKUP(A32,'Données projet'!$A$35:$I$55,6,0)*VLOOKUP('Données projet'!$B$9,Paramètres!$A$1:$I$89,7,0))</f>
        <v>9.0000000000000011E-2</v>
      </c>
      <c r="Y32" s="17">
        <f>IF(ISNA(VLOOKUP(A32,'Données projet'!$A$35:$I$55,7,0)),0%,VLOOKUP(A32,'Données projet'!$A$35:$I$55,7,0))</f>
        <v>0.2</v>
      </c>
      <c r="Z32" s="23">
        <f>EXP(-LN(2)/35)*Z31+(1-EXP(-LN(2)/35))/(LN(2)/35)*V32*W32*VLOOKUP('Données projet'!$B$9,Paramètres!$A$1:$I$89,3,0)*0.475*44/12</f>
        <v>11.703182978728654</v>
      </c>
      <c r="AA32" s="23">
        <f>EXP(-LN(2)/25)*AA31+(1-EXP(-LN(2)/25))/(LN(2)/25)*Calculateur!V32*Calculateur!X32*VLOOKUP('Données projet'!$B$9,Paramètres!$A$1:$I$89,3,0)*0.475*44/12</f>
        <v>17.775010951374039</v>
      </c>
      <c r="AB32" s="23">
        <f>EXP(-LN(2)/2)*AB31+(1-EXP(-LN(2)/2))/(LN(2)/2)*V32*Y32*VLOOKUP('Données projet'!$B$9,Paramètres!$A$1:$I$89,3,0)*0.475*44/12</f>
        <v>10.058497969661442</v>
      </c>
      <c r="AC32" s="24">
        <f t="shared" si="3"/>
        <v>39.536691899764136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98</v>
      </c>
      <c r="AJ32" s="14">
        <f>AI32*VLOOKUP('Données projet'!$B$10,Paramètres!$A$1:$I$89,3,0)*VLOOKUP('Données projet'!$B$10,Paramètres!$A$1:$I$89,5,0)</f>
        <v>99.372000000000014</v>
      </c>
      <c r="AK32" s="14">
        <f t="shared" si="35"/>
        <v>26.812330397327713</v>
      </c>
      <c r="AL32" s="22">
        <f t="shared" si="4"/>
        <v>219.7710421086791</v>
      </c>
      <c r="AM32" s="60">
        <f t="shared" si="5"/>
        <v>513.10437544201238</v>
      </c>
      <c r="AN32" s="60">
        <f ca="1">AVERAGE(OFFSET($AM$3,0,0,'Données projet'!$E$10+1,1))-AVERAGE(OFFSET($H$3,0,0,'Données projet'!$E$10+1,1))</f>
        <v>350.3652766444938</v>
      </c>
      <c r="AO32" s="60">
        <f t="shared" si="36"/>
        <v>197.04549436738586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6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7</v>
      </c>
      <c r="BD32" s="13">
        <f>IF('Données projet'!$A$88&gt;35,BD31+BC32-BL31,IF(A32&lt;'Données projet'!$A$88,$BA$205^A32,IF(A32='Données projet'!$A$88,'Données projet'!$B$88,BD31+BC32-BL31)))</f>
        <v>98</v>
      </c>
      <c r="BE32" s="14">
        <f>BD32*VLOOKUP('Données projet'!$B$11,Paramètres!$A$1:$I$89,3,0)*VLOOKUP('Données projet'!$B$11,Paramètres!$A$1:$I$89,5,0)</f>
        <v>94.785600000000002</v>
      </c>
      <c r="BF32" s="14">
        <f t="shared" si="37"/>
        <v>25.715893428674526</v>
      </c>
      <c r="BG32" s="22">
        <f t="shared" si="7"/>
        <v>209.87343438827483</v>
      </c>
      <c r="BH32" s="60">
        <f t="shared" si="8"/>
        <v>503.20676772160812</v>
      </c>
      <c r="BI32" s="60">
        <f ca="1">AVERAGE(OFFSET($BH$3,0,0,'Données projet'!$E$11+1,1))-AVERAGE(OFFSET($H$3,0,0,'Données projet'!$E$11+1,1))</f>
        <v>330.39429528665841</v>
      </c>
      <c r="BJ32" s="60">
        <f t="shared" si="38"/>
        <v>186.45728006007261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8.0769230769230802</v>
      </c>
      <c r="BY32" s="13">
        <f>IF('Données projet'!$A$114&gt;35,BY31+BX32-CG31,IF(A32&lt;'Données projet'!$A$114,$BV$205^A32,IF(A32='Données projet'!$A$114,'Données projet'!$B$114,BY31+BX32-CG31)))</f>
        <v>141.28205128205133</v>
      </c>
      <c r="BZ32" s="14">
        <f>BY32*VLOOKUP('Données projet'!$B$12,Paramètres!$A$1:$I$89,3,0)*VLOOKUP('Données projet'!$B$12,Paramètres!$A$1:$I$89,5,0)</f>
        <v>94.772000000000034</v>
      </c>
      <c r="CA32" s="14">
        <f t="shared" si="39"/>
        <v>25.712633129183839</v>
      </c>
      <c r="CB32" s="22">
        <f t="shared" si="10"/>
        <v>209.8440693666619</v>
      </c>
      <c r="CC32" s="60">
        <f t="shared" si="11"/>
        <v>503.17740269999524</v>
      </c>
      <c r="CD32" s="60">
        <f ca="1">AVERAGE(OFFSET($CC$3,0,0,'Données projet'!$E$12+1,1))-AVERAGE(OFFSET($H$3,0,0,'Données projet'!$E$12+1,1))</f>
        <v>212.33913923444732</v>
      </c>
      <c r="CE32" s="60">
        <f t="shared" si="40"/>
        <v>183.51194426094372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10</v>
      </c>
      <c r="CT32" s="13">
        <f>IF('Données projet'!$A$140&gt;35,CT31+CS32-DB31,IF(A32&lt;'Données projet'!$A$140,$CQ$205^A32,IF(A32='Données projet'!$A$140,'Données projet'!$B$140,CT31+CS32-DB31)))</f>
        <v>133.99999999999997</v>
      </c>
      <c r="CU32" s="18">
        <f>CT32*VLOOKUP('Données projet'!$B$13,Paramètres!$A$1:$I$89,3,0)*VLOOKUP('Données projet'!$B$13,Paramètres!$A$1:$I$89,5,0)</f>
        <v>117.0624</v>
      </c>
      <c r="CV32" s="14">
        <f t="shared" si="41"/>
        <v>30.988867171899152</v>
      </c>
      <c r="CW32" s="22">
        <f t="shared" si="13"/>
        <v>257.85595699105767</v>
      </c>
      <c r="CX32" s="60">
        <f t="shared" si="14"/>
        <v>551.18929032439098</v>
      </c>
      <c r="CY32" s="60">
        <f ca="1">AVERAGE(OFFSET($CX$3,0,0,'Données projet'!$E$13+1,1))-AVERAGE(OFFSET($H$3,0,0,'Données projet'!$E$13+1,1))</f>
        <v>228.0393346366489</v>
      </c>
      <c r="CZ32" s="60">
        <f t="shared" si="42"/>
        <v>238.591781509447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7</v>
      </c>
      <c r="DO32" s="13">
        <f>IF('Données projet'!$A$166&gt;35,DO31+DN32-DW31,IF(A32&lt;'Données projet'!$A$166,$DL$205^A32,IF(A32='Données projet'!$A$166,'Données projet'!$B$166,DO31+DN32-DW31)))</f>
        <v>98</v>
      </c>
      <c r="DP32" s="18">
        <f>DO32*VLOOKUP('Données projet'!$B$14,Paramètres!$A$1:$I$89,3,0)*VLOOKUP('Données projet'!$B$14,Paramètres!$A$1:$I$89,5,0)</f>
        <v>88.670400000000001</v>
      </c>
      <c r="DQ32" s="14">
        <f t="shared" si="43"/>
        <v>24.244280250395512</v>
      </c>
      <c r="DR32" s="22">
        <f t="shared" si="16"/>
        <v>196.65973476943884</v>
      </c>
      <c r="DS32" s="60">
        <f t="shared" si="17"/>
        <v>489.99306810277216</v>
      </c>
      <c r="DT32" s="60">
        <f ca="1">AVERAGE(OFFSET($DS$3,0,0,'Données projet'!$E$14+1,1))-AVERAGE(OFFSET($H$3,0,0,'Données projet'!$E$14+1,1))</f>
        <v>303.73499739059076</v>
      </c>
      <c r="DU32" s="60">
        <f t="shared" si="44"/>
        <v>172.32171001882188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16.614999999999998</v>
      </c>
      <c r="EJ32" s="13">
        <f>IF('Données projet'!$A$192&gt;35,EJ31+EI32-ER31,IF(A32&lt;'Données projet'!$A$192,$EG$205^A32,IF(A32='Données projet'!$A$192,'Données projet'!$B$192,EJ31+EI32-ER31)))</f>
        <v>150.88000000000005</v>
      </c>
      <c r="EK32" s="18">
        <f>EJ32*VLOOKUP('Données projet'!$B$15,Paramètres!$A$1:$I$89,3,0)*VLOOKUP('Données projet'!$B$15,Paramètres!$A$1:$I$89,5,0)</f>
        <v>90.226240000000033</v>
      </c>
      <c r="EL32" s="14">
        <f t="shared" si="45"/>
        <v>24.619780658757104</v>
      </c>
      <c r="EM32" s="22">
        <f t="shared" si="19"/>
        <v>200.02348598066865</v>
      </c>
      <c r="EN32" s="60">
        <f t="shared" si="20"/>
        <v>493.356819314002</v>
      </c>
      <c r="EO32" s="60">
        <f ca="1">AVERAGE(OFFSET($EN$3,0,0,'Données projet'!$E$15+1,1))-AVERAGE(OFFSET($H$3,0,0,'Données projet'!$E$15+1,1))</f>
        <v>269.94948820700841</v>
      </c>
      <c r="EP32" s="60">
        <f t="shared" si="46"/>
        <v>183.45158355135192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14.038593098156325</v>
      </c>
      <c r="EX32" s="23">
        <f>EXP(-LN(2)/2)*EX31+(1-EXP(-LN(2)/2))/(LN(2)/2)*ER32*EU32*VLOOKUP('Données projet'!$B$15,Paramètres!$A$1:$I$89,3,0)*0.475*44/12</f>
        <v>7.973380874695839</v>
      </c>
      <c r="EY32" s="24">
        <f t="shared" si="21"/>
        <v>22.011973972852164</v>
      </c>
      <c r="EZ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3.78125</v>
      </c>
      <c r="FE32" s="13">
        <f>IF('Données projet'!$A$218&gt;35,FE31+FD32-FM31,IF(A32&lt;'Données projet'!$A$218,$FB$205^A32,IF(A32='Données projet'!$A$218,'Données projet'!$B$218,FE31+FD32-FM31)))</f>
        <v>77.183459735686043</v>
      </c>
      <c r="FF32" s="18">
        <f>FE32*VLOOKUP('Données projet'!$B$16,Paramètres!$A$1:$I$89,3,0)*VLOOKUP('Données projet'!$B$16,Paramètres!$A$1:$I$89,5,0)</f>
        <v>46.15570892194026</v>
      </c>
      <c r="FG32" s="14">
        <f t="shared" si="47"/>
        <v>13.616379627807939</v>
      </c>
      <c r="FH32" s="22">
        <f t="shared" si="22"/>
        <v>104.10305422414478</v>
      </c>
      <c r="FI32" s="60">
        <f t="shared" si="23"/>
        <v>397.4363875574781</v>
      </c>
      <c r="FJ32" s="60">
        <f ca="1">AVERAGE(OFFSET($FI$3,0,0,'Données projet'!$E$16+1,1))-AVERAGE(OFFSET($H$3,0,0,'Données projet'!$E$16+1,1))</f>
        <v>111.24788725253484</v>
      </c>
      <c r="FK32" s="60">
        <f t="shared" si="48"/>
        <v>82.434879813357327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projet'!$B$16,Paramètres!$A$1:$I$89,3,0)*0.475*44/12</f>
        <v>0</v>
      </c>
      <c r="FR32" s="23">
        <f>EXP(-LN(2)/25)*FR31+(1-EXP(-LN(2)/25))/(LN(2)/25)*Calculateur!FM32*Calculateur!FO32*VLOOKUP('Données projet'!$B$16,Paramètres!$A$1:$I$89,3,0)*0.475*44/12</f>
        <v>0</v>
      </c>
      <c r="FS32" s="23">
        <f>EXP(-LN(2)/2)*FS31+(1-EXP(-LN(2)/2))/(LN(2)/2)*FM32*FP32*VLOOKUP('Données projet'!$B$16,Paramètres!$A$1:$I$89,3,0)*0.475*44/12</f>
        <v>0</v>
      </c>
      <c r="FT32" s="24">
        <f t="shared" si="24"/>
        <v>0</v>
      </c>
      <c r="FU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28.4</v>
      </c>
      <c r="FZ32" s="13">
        <f>IF('Données projet'!$A$244&gt;35,FZ31+FY32-GH31,IF(A32&lt;'Données projet'!$A$244,$FW$205^A32,IF(A32='Données projet'!$A$244,'Données projet'!$B$244,FZ31+FY32-GH31)))</f>
        <v>295.39999999999992</v>
      </c>
      <c r="GA32" s="18">
        <f>FZ32*VLOOKUP('Données projet'!$B$17,Paramètres!$A$1:$I$89,3,0)*VLOOKUP('Données projet'!$B$17,Paramètres!$A$1:$I$89,5,0)</f>
        <v>130.56679999999997</v>
      </c>
      <c r="GB32" s="14">
        <f t="shared" si="49"/>
        <v>34.127296990378362</v>
      </c>
      <c r="GC32" s="22">
        <f t="shared" si="25"/>
        <v>286.84221892490893</v>
      </c>
      <c r="GD32" s="60">
        <f t="shared" si="26"/>
        <v>580.17555225824231</v>
      </c>
      <c r="GE32" s="60">
        <f ca="1">AVERAGE(OFFSET($GD$3,0,0,'Données projet'!$E$17+1,1))-AVERAGE(OFFSET($H$3,0,0,'Données projet'!$E$17+1,1))</f>
        <v>323.56667371063662</v>
      </c>
      <c r="GF32" s="60">
        <f t="shared" si="50"/>
        <v>275.70373467723385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>
        <f>EXP(-LN(2)/35)*GL31+(1-EXP(-LN(2)/35))/(LN(2)/35)*GH32*GI32*VLOOKUP('Données projet'!$B$17,Paramètres!$A$1:$I$89,3,0)*0.475*44/12</f>
        <v>0</v>
      </c>
      <c r="GM32" s="23">
        <f>EXP(-LN(2)/25)*GM31+(1-EXP(-LN(2)/25))/(LN(2)/25)*Calculateur!GH32*Calculateur!GJ32*VLOOKUP('Données projet'!$B$17,Paramètres!$A$1:$I$89,3,0)*0.475*44/12</f>
        <v>0</v>
      </c>
      <c r="GN32" s="23">
        <f>EXP(-LN(2)/2)*GN31+(1-EXP(-LN(2)/2))/(LN(2)/2)*GH32*GK32*VLOOKUP('Données projet'!$B$17,Paramètres!$A$1:$I$89,3,0)*0.475*44/12</f>
        <v>0</v>
      </c>
      <c r="GO32" s="23">
        <f t="shared" si="27"/>
        <v>0</v>
      </c>
      <c r="GP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0" t="e">
        <f t="shared" si="29"/>
        <v>#N/A</v>
      </c>
      <c r="GZ32" s="60" t="e">
        <f ca="1">AVERAGE(OFFSET($GY$3,0,0,'Données projet'!$E$18+1,1))-AVERAGE(OFFSET($H$3,0,0,'Données projet'!$E$18+1,1))</f>
        <v>#N/A</v>
      </c>
      <c r="HA32" s="60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4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2">
        <f t="shared" si="32"/>
        <v>5.4515478029518807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17.737142857142853</v>
      </c>
      <c r="N33" s="14">
        <f>IF('Données projet'!$A$36&gt;35,N32+M33-V32,IF(A33&lt;'Données projet'!$A$36,$K$205^A33,IF(A33='Données projet'!$A$36,'Données projet'!$B$36,N32+M33-V32)))</f>
        <v>204.70714285714291</v>
      </c>
      <c r="O33" s="14">
        <f>N33*VLOOKUP('Données projet'!$B$9,Paramètres!$A$1:$I$89,3,0)*VLOOKUP('Données projet'!$B$9,Paramètres!$A$1:$I$89,5,0)</f>
        <v>122.41487142857147</v>
      </c>
      <c r="P33" s="14">
        <f t="shared" si="33"/>
        <v>32.237573625209684</v>
      </c>
      <c r="Q33" s="22">
        <f t="shared" si="2"/>
        <v>269.35300846866886</v>
      </c>
      <c r="R33" s="60">
        <f t="shared" si="0"/>
        <v>562.68634180200218</v>
      </c>
      <c r="S33" s="60">
        <f ca="1">AVERAGE(OFFSET($R$3,0,0,'Données projet'!$E$9+1,1))-AVERAGE(OFFSET($H$3,0,0,'Données projet'!$E$9+1,1))</f>
        <v>235.63766249714581</v>
      </c>
      <c r="T33" s="60">
        <f t="shared" si="34"/>
        <v>231.3297293785277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11.473690698752559</v>
      </c>
      <c r="AA33" s="23">
        <f>EXP(-LN(2)/25)*AA32+(1-EXP(-LN(2)/25))/(LN(2)/25)*Calculateur!V33*Calculateur!X33*VLOOKUP('Données projet'!$B$9,Paramètres!$A$1:$I$89,3,0)*0.475*44/12</f>
        <v>17.288952342161515</v>
      </c>
      <c r="AB33" s="23">
        <f>EXP(-LN(2)/2)*AB32+(1-EXP(-LN(2)/2))/(LN(2)/2)*V33*Y33*VLOOKUP('Données projet'!$B$9,Paramètres!$A$1:$I$89,3,0)*0.475*44/12</f>
        <v>7.112432122898726</v>
      </c>
      <c r="AC33" s="24">
        <f t="shared" si="3"/>
        <v>35.875075163812802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105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105</v>
      </c>
      <c r="AJ33" s="14">
        <f>AI33*VLOOKUP('Données projet'!$B$10,Paramètres!$A$1:$I$89,3,0)*VLOOKUP('Données projet'!$B$10,Paramètres!$A$1:$I$89,5,0)</f>
        <v>106.47</v>
      </c>
      <c r="AK33" s="14">
        <f t="shared" si="35"/>
        <v>28.49771681771891</v>
      </c>
      <c r="AL33" s="22">
        <f t="shared" si="4"/>
        <v>235.06877345752704</v>
      </c>
      <c r="AM33" s="60">
        <f t="shared" si="5"/>
        <v>528.40210679086033</v>
      </c>
      <c r="AN33" s="60">
        <f ca="1">AVERAGE(OFFSET($AM$3,0,0,'Données projet'!$E$10+1,1))-AVERAGE(OFFSET($H$3,0,0,'Données projet'!$E$10+1,1))</f>
        <v>350.3652766444938</v>
      </c>
      <c r="AO33" s="60">
        <f t="shared" si="36"/>
        <v>197.04549436738586</v>
      </c>
      <c r="AP33" s="16">
        <f>IF(ISNA(VLOOKUP(A33,'Données projet'!$A$61:$I$81,3,0)),0,VLOOKUP(A33,'Données projet'!$A$61:$I$81,3,0))</f>
        <v>1</v>
      </c>
      <c r="AQ33" s="16">
        <f>IF(ISNA(VLOOKUP(A33,'Données projet'!$A$61:$I$81,4,0)),0,VLOOKUP(A33,'Données projet'!$A$61:$I$81,4,0))</f>
        <v>29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6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105</v>
      </c>
      <c r="BB33" s="13">
        <f>VLOOKUP(A33,'Données projet'!$A$87:$I$107,9,0)</f>
        <v>7</v>
      </c>
      <c r="BC33" s="13">
        <f t="array" ref="BC33">INDEX(BB:BB,MIN(IF(ISNUMBER(BB33:BB229),ROW(BB33:BB229),"")))</f>
        <v>7</v>
      </c>
      <c r="BD33" s="13">
        <f>IF('Données projet'!$A$88&gt;35,BD32+BC33-BL32,IF(A33&lt;'Données projet'!$A$88,$BA$205^A33,IF(A33='Données projet'!$A$88,'Données projet'!$B$88,BD32+BC33-BL32)))</f>
        <v>105</v>
      </c>
      <c r="BE33" s="14">
        <f>BD33*VLOOKUP('Données projet'!$B$11,Paramètres!$A$1:$I$89,3,0)*VLOOKUP('Données projet'!$B$11,Paramètres!$A$1:$I$89,5,0)</f>
        <v>101.556</v>
      </c>
      <c r="BF33" s="14">
        <f t="shared" si="37"/>
        <v>27.332359320696909</v>
      </c>
      <c r="BG33" s="22">
        <f t="shared" si="7"/>
        <v>224.48055915021379</v>
      </c>
      <c r="BH33" s="60">
        <f t="shared" si="8"/>
        <v>517.81389248354708</v>
      </c>
      <c r="BI33" s="60">
        <f ca="1">AVERAGE(OFFSET($BH$3,0,0,'Données projet'!$E$11+1,1))-AVERAGE(OFFSET($H$3,0,0,'Données projet'!$E$11+1,1))</f>
        <v>330.39429528665841</v>
      </c>
      <c r="BJ33" s="60">
        <f t="shared" si="38"/>
        <v>186.45728006007261</v>
      </c>
      <c r="BK33" s="16">
        <f>IF(ISNA(VLOOKUP(A33,'Données projet'!$A$87:$I$107,3,0)),0,VLOOKUP(A33,'Données projet'!$A$87:$I$107,3,0))</f>
        <v>1</v>
      </c>
      <c r="BL33" s="16">
        <f>IF(ISNA(VLOOKUP(A33,'Données projet'!$A$87:$I$107,4,0)),0,VLOOKUP(A33,'Données projet'!$A$87:$I$107,4,0))</f>
        <v>29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149.35897435897436</v>
      </c>
      <c r="BW33" s="13">
        <f>VLOOKUP(A33,'Données projet'!$A$113:$I$133,9,0)</f>
        <v>8.0769230769230802</v>
      </c>
      <c r="BX33" s="13">
        <f t="array" ref="BX33">INDEX(BW:BW,MIN(IF(ISNUMBER(BW33:BW229),ROW(BW33:BW229),"")))</f>
        <v>8.0769230769230802</v>
      </c>
      <c r="BY33" s="13">
        <f>IF('Données projet'!$A$114&gt;35,BY32+BX33-CG32,IF(A33&lt;'Données projet'!$A$114,$BV$205^A33,IF(A33='Données projet'!$A$114,'Données projet'!$B$114,BY32+BX33-CG32)))</f>
        <v>149.35897435897442</v>
      </c>
      <c r="BZ33" s="14">
        <f>BY33*VLOOKUP('Données projet'!$B$12,Paramètres!$A$1:$I$89,3,0)*VLOOKUP('Données projet'!$B$12,Paramètres!$A$1:$I$89,5,0)</f>
        <v>100.19000000000005</v>
      </c>
      <c r="CA33" s="14">
        <f t="shared" si="39"/>
        <v>27.007257426460161</v>
      </c>
      <c r="CB33" s="22">
        <f t="shared" si="10"/>
        <v>221.53522335108485</v>
      </c>
      <c r="CC33" s="60">
        <f t="shared" si="11"/>
        <v>514.86855668441819</v>
      </c>
      <c r="CD33" s="60">
        <f ca="1">AVERAGE(OFFSET($CC$3,0,0,'Données projet'!$E$12+1,1))-AVERAGE(OFFSET($H$3,0,0,'Données projet'!$E$12+1,1))</f>
        <v>212.33913923444732</v>
      </c>
      <c r="CE33" s="60">
        <f t="shared" si="40"/>
        <v>183.51194426094372</v>
      </c>
      <c r="CF33" s="16">
        <f>IF(ISNA(VLOOKUP(A33,'Données projet'!$A$113:$I$133,3,0)),0,VLOOKUP(A33,'Données projet'!$A$113:$I$133,3,0))</f>
        <v>2</v>
      </c>
      <c r="CG33" s="16">
        <f>IF(ISNA(VLOOKUP(A33,'Données projet'!$A$113:$I$133,4,0)),0,VLOOKUP(A33,'Données projet'!$A$113:$I$133,4,0))</f>
        <v>32.692307692307693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144</v>
      </c>
      <c r="CR33" s="13">
        <f>VLOOKUP(A33,'Données projet'!$A$139:$I$159,9,0)</f>
        <v>10</v>
      </c>
      <c r="CS33" s="13">
        <f t="array" ref="CS33">INDEX(CR:CR,MIN(IF(ISNUMBER(CR33:CR229),ROW(CR33:CR229),"")))</f>
        <v>10</v>
      </c>
      <c r="CT33" s="13">
        <f>IF('Données projet'!$A$140&gt;35,CT32+CS33-DB32,IF(A33&lt;'Données projet'!$A$140,$CQ$205^A33,IF(A33='Données projet'!$A$140,'Données projet'!$B$140,CT32+CS33-DB32)))</f>
        <v>143.99999999999997</v>
      </c>
      <c r="CU33" s="18">
        <f>CT33*VLOOKUP('Données projet'!$B$13,Paramètres!$A$1:$I$89,3,0)*VLOOKUP('Données projet'!$B$13,Paramètres!$A$1:$I$89,5,0)</f>
        <v>125.79839999999999</v>
      </c>
      <c r="CV33" s="14">
        <f t="shared" si="41"/>
        <v>33.023644363399924</v>
      </c>
      <c r="CW33" s="22">
        <f t="shared" si="13"/>
        <v>276.61506059958816</v>
      </c>
      <c r="CX33" s="60">
        <f t="shared" si="14"/>
        <v>569.94839393292148</v>
      </c>
      <c r="CY33" s="60">
        <f ca="1">AVERAGE(OFFSET($CX$3,0,0,'Données projet'!$E$13+1,1))-AVERAGE(OFFSET($H$3,0,0,'Données projet'!$E$13+1,1))</f>
        <v>228.0393346366489</v>
      </c>
      <c r="CZ33" s="60">
        <f t="shared" si="42"/>
        <v>238.591781509447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105</v>
      </c>
      <c r="DM33" s="13">
        <f>VLOOKUP(A33,'Données projet'!$A$165:$I$185,9,0)</f>
        <v>7</v>
      </c>
      <c r="DN33" s="13">
        <f t="array" ref="DN33">INDEX(DM:DM,MIN(IF(ISNUMBER(DM33:DM229),ROW(DM33:DM229),"")))</f>
        <v>7</v>
      </c>
      <c r="DO33" s="13">
        <f>IF('Données projet'!$A$166&gt;35,DO32+DN33-DW32,IF(A33&lt;'Données projet'!$A$166,$DL$205^A33,IF(A33='Données projet'!$A$166,'Données projet'!$B$166,DO32+DN33-DW32)))</f>
        <v>105</v>
      </c>
      <c r="DP33" s="18">
        <f>DO33*VLOOKUP('Données projet'!$B$14,Paramètres!$A$1:$I$89,3,0)*VLOOKUP('Données projet'!$B$14,Paramètres!$A$1:$I$89,5,0)</f>
        <v>95.004000000000005</v>
      </c>
      <c r="DQ33" s="14">
        <f t="shared" si="43"/>
        <v>25.768242550600785</v>
      </c>
      <c r="DR33" s="22">
        <f t="shared" si="16"/>
        <v>210.34498910896306</v>
      </c>
      <c r="DS33" s="60">
        <f t="shared" si="17"/>
        <v>503.67832244229635</v>
      </c>
      <c r="DT33" s="60">
        <f ca="1">AVERAGE(OFFSET($DS$3,0,0,'Données projet'!$E$14+1,1))-AVERAGE(OFFSET($H$3,0,0,'Données projet'!$E$14+1,1))</f>
        <v>303.73499739059076</v>
      </c>
      <c r="DU33" s="60">
        <f t="shared" si="44"/>
        <v>172.32171001882188</v>
      </c>
      <c r="DV33" s="16">
        <f>IF(ISNA(VLOOKUP(A33,'Données projet'!$A$165:$I$185,3,0)),0,VLOOKUP(A33,'Données projet'!$A$165:$I$185,3,0))</f>
        <v>1</v>
      </c>
      <c r="DW33" s="16">
        <f>IF(ISNA(VLOOKUP(A33,'Données projet'!$A$165:$I$185,4,0)),0,VLOOKUP(A33,'Données projet'!$A$165:$I$185,4,0))</f>
        <v>29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16.614999999999998</v>
      </c>
      <c r="EJ33" s="13">
        <f>IF('Données projet'!$A$192&gt;35,EJ32+EI33-ER32,IF(A33&lt;'Données projet'!$A$192,$EG$205^A33,IF(A33='Données projet'!$A$192,'Données projet'!$B$192,EJ32+EI33-ER32)))</f>
        <v>167.49500000000006</v>
      </c>
      <c r="EK33" s="18">
        <f>EJ33*VLOOKUP('Données projet'!$B$15,Paramètres!$A$1:$I$89,3,0)*VLOOKUP('Données projet'!$B$15,Paramètres!$A$1:$I$89,5,0)</f>
        <v>100.16201000000005</v>
      </c>
      <c r="EL33" s="14">
        <f t="shared" si="45"/>
        <v>27.000590559708908</v>
      </c>
      <c r="EM33" s="22">
        <f t="shared" si="19"/>
        <v>221.4748626414931</v>
      </c>
      <c r="EN33" s="60">
        <f t="shared" si="20"/>
        <v>514.80819597482639</v>
      </c>
      <c r="EO33" s="60">
        <f ca="1">AVERAGE(OFFSET($EN$3,0,0,'Données projet'!$E$15+1,1))-AVERAGE(OFFSET($H$3,0,0,'Données projet'!$E$15+1,1))</f>
        <v>269.94948820700841</v>
      </c>
      <c r="EP33" s="60">
        <f t="shared" si="46"/>
        <v>183.45158355135192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13.654707031629714</v>
      </c>
      <c r="EX33" s="23">
        <f>EXP(-LN(2)/2)*EX32+(1-EXP(-LN(2)/2))/(LN(2)/2)*ER33*EU33*VLOOKUP('Données projet'!$B$15,Paramètres!$A$1:$I$89,3,0)*0.475*44/12</f>
        <v>5.6380316854805539</v>
      </c>
      <c r="EY33" s="24">
        <f t="shared" si="21"/>
        <v>19.292738717110268</v>
      </c>
      <c r="EZ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3.78125</v>
      </c>
      <c r="FE33" s="13">
        <f>IF('Données projet'!$A$218&gt;35,FE32+FD33-FM32,IF(A33&lt;'Données projet'!$A$218,$FB$205^A33,IF(A33='Données projet'!$A$218,'Données projet'!$B$218,FE32+FD33-FM32)))</f>
        <v>89.66259101146386</v>
      </c>
      <c r="FF33" s="18">
        <f>FE33*VLOOKUP('Données projet'!$B$16,Paramètres!$A$1:$I$89,3,0)*VLOOKUP('Données projet'!$B$16,Paramètres!$A$1:$I$89,5,0)</f>
        <v>53.618229424855393</v>
      </c>
      <c r="FG33" s="14">
        <f t="shared" si="47"/>
        <v>15.544349849880573</v>
      </c>
      <c r="FH33" s="22">
        <f t="shared" si="22"/>
        <v>120.45815890349847</v>
      </c>
      <c r="FI33" s="60">
        <f t="shared" si="23"/>
        <v>413.7914922368318</v>
      </c>
      <c r="FJ33" s="60">
        <f ca="1">AVERAGE(OFFSET($FI$3,0,0,'Données projet'!$E$16+1,1))-AVERAGE(OFFSET($H$3,0,0,'Données projet'!$E$16+1,1))</f>
        <v>111.24788725253484</v>
      </c>
      <c r="FK33" s="60">
        <f t="shared" si="48"/>
        <v>82.434879813357327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projet'!$B$16,Paramètres!$A$1:$I$89,3,0)*0.475*44/12</f>
        <v>0</v>
      </c>
      <c r="FR33" s="23">
        <f>EXP(-LN(2)/25)*FR32+(1-EXP(-LN(2)/25))/(LN(2)/25)*Calculateur!FM33*Calculateur!FO33*VLOOKUP('Données projet'!$B$16,Paramètres!$A$1:$I$89,3,0)*0.475*44/12</f>
        <v>0</v>
      </c>
      <c r="FS33" s="23">
        <f>EXP(-LN(2)/2)*FS32+(1-EXP(-LN(2)/2))/(LN(2)/2)*FM33*FP33*VLOOKUP('Données projet'!$B$16,Paramètres!$A$1:$I$89,3,0)*0.475*44/12</f>
        <v>0</v>
      </c>
      <c r="FT33" s="24">
        <f t="shared" si="24"/>
        <v>0</v>
      </c>
      <c r="FU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28.4</v>
      </c>
      <c r="FZ33" s="13">
        <f>IF('Données projet'!$A$244&gt;35,FZ32+FY33-GH32,IF(A33&lt;'Données projet'!$A$244,$FW$205^A33,IF(A33='Données projet'!$A$244,'Données projet'!$B$244,FZ32+FY33-GH32)))</f>
        <v>323.7999999999999</v>
      </c>
      <c r="GA33" s="18">
        <f>FZ33*VLOOKUP('Données projet'!$B$17,Paramètres!$A$1:$I$89,3,0)*VLOOKUP('Données projet'!$B$17,Paramètres!$A$1:$I$89,5,0)</f>
        <v>143.11959999999996</v>
      </c>
      <c r="GB33" s="14">
        <f t="shared" si="49"/>
        <v>37.010742832942597</v>
      </c>
      <c r="GC33" s="22">
        <f t="shared" si="25"/>
        <v>313.72701376737501</v>
      </c>
      <c r="GD33" s="60">
        <f t="shared" si="26"/>
        <v>607.06034710070833</v>
      </c>
      <c r="GE33" s="60">
        <f ca="1">AVERAGE(OFFSET($GD$3,0,0,'Données projet'!$E$17+1,1))-AVERAGE(OFFSET($H$3,0,0,'Données projet'!$E$17+1,1))</f>
        <v>323.56667371063662</v>
      </c>
      <c r="GF33" s="60">
        <f t="shared" si="50"/>
        <v>275.70373467723385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>
        <f>EXP(-LN(2)/35)*GL32+(1-EXP(-LN(2)/35))/(LN(2)/35)*GH33*GI33*VLOOKUP('Données projet'!$B$17,Paramètres!$A$1:$I$89,3,0)*0.475*44/12</f>
        <v>0</v>
      </c>
      <c r="GM33" s="23">
        <f>EXP(-LN(2)/25)*GM32+(1-EXP(-LN(2)/25))/(LN(2)/25)*Calculateur!GH33*Calculateur!GJ33*VLOOKUP('Données projet'!$B$17,Paramètres!$A$1:$I$89,3,0)*0.475*44/12</f>
        <v>0</v>
      </c>
      <c r="GN33" s="23">
        <f>EXP(-LN(2)/2)*GN32+(1-EXP(-LN(2)/2))/(LN(2)/2)*GH33*GK33*VLOOKUP('Données projet'!$B$17,Paramètres!$A$1:$I$89,3,0)*0.475*44/12</f>
        <v>0</v>
      </c>
      <c r="GO33" s="23">
        <f t="shared" si="27"/>
        <v>0</v>
      </c>
      <c r="GP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0" t="e">
        <f t="shared" si="29"/>
        <v>#N/A</v>
      </c>
      <c r="GZ33" s="60" t="e">
        <f ca="1">AVERAGE(OFFSET($GY$3,0,0,'Données projet'!$E$18+1,1))-AVERAGE(OFFSET($H$3,0,0,'Données projet'!$E$18+1,1))</f>
        <v>#N/A</v>
      </c>
      <c r="HA33" s="60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4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2">
        <f t="shared" si="32"/>
        <v>5.6118063562438518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17.737142857142853</v>
      </c>
      <c r="N34" s="14">
        <f>IF('Données projet'!$A$36&gt;35,N33+M34-V33,IF(A34&lt;'Données projet'!$A$36,$K$205^A34,IF(A34='Données projet'!$A$36,'Données projet'!$B$36,N33+M34-V33)))</f>
        <v>222.44428571428577</v>
      </c>
      <c r="O34" s="14">
        <f>N34*VLOOKUP('Données projet'!$B$9,Paramètres!$A$1:$I$89,3,0)*VLOOKUP('Données projet'!$B$9,Paramètres!$A$1:$I$89,5,0)</f>
        <v>133.02168285714291</v>
      </c>
      <c r="P34" s="14">
        <f t="shared" si="33"/>
        <v>34.693645048951552</v>
      </c>
      <c r="Q34" s="22">
        <f t="shared" si="2"/>
        <v>292.10419610311448</v>
      </c>
      <c r="R34" s="60">
        <f t="shared" si="0"/>
        <v>585.43752943644779</v>
      </c>
      <c r="S34" s="60">
        <f ca="1">AVERAGE(OFFSET($R$3,0,0,'Données projet'!$E$9+1,1))-AVERAGE(OFFSET($H$3,0,0,'Données projet'!$E$9+1,1))</f>
        <v>235.63766249714581</v>
      </c>
      <c r="T34" s="60">
        <f t="shared" si="34"/>
        <v>231.3297293785277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11.248698622410327</v>
      </c>
      <c r="AA34" s="23">
        <f>EXP(-LN(2)/25)*AA33+(1-EXP(-LN(2)/25))/(LN(2)/25)*Calculateur!V34*Calculateur!X34*VLOOKUP('Données projet'!$B$9,Paramètres!$A$1:$I$89,3,0)*0.475*44/12</f>
        <v>16.81618503117862</v>
      </c>
      <c r="AB34" s="23">
        <f>EXP(-LN(2)/2)*AB33+(1-EXP(-LN(2)/2))/(LN(2)/2)*V34*Y34*VLOOKUP('Données projet'!$B$9,Paramètres!$A$1:$I$89,3,0)*0.475*44/12</f>
        <v>5.0292489848307218</v>
      </c>
      <c r="AC34" s="24">
        <f t="shared" si="3"/>
        <v>33.094132638419666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8</v>
      </c>
      <c r="AI34" s="14">
        <f>IF('Données projet'!$A$62&gt;35,AI33+AH34-AQ33,IF(A34&lt;'Données projet'!$A$62,$AF$205^A34,IF(A34='Données projet'!$A$62,'Données projet'!$B$62,AI33+AH34-AQ33)))</f>
        <v>84</v>
      </c>
      <c r="AJ34" s="14">
        <f>AI34*VLOOKUP('Données projet'!$B$10,Paramètres!$A$1:$I$89,3,0)*VLOOKUP('Données projet'!$B$10,Paramètres!$A$1:$I$89,5,0)</f>
        <v>85.176000000000002</v>
      </c>
      <c r="AK34" s="14">
        <f t="shared" si="35"/>
        <v>23.398088487656441</v>
      </c>
      <c r="AL34" s="22">
        <f t="shared" si="4"/>
        <v>189.09987078266829</v>
      </c>
      <c r="AM34" s="60">
        <f t="shared" si="5"/>
        <v>482.4332041160016</v>
      </c>
      <c r="AN34" s="60">
        <f ca="1">AVERAGE(OFFSET($AM$3,0,0,'Données projet'!$E$10+1,1))-AVERAGE(OFFSET($H$3,0,0,'Données projet'!$E$10+1,1))</f>
        <v>350.3652766444938</v>
      </c>
      <c r="AO34" s="60">
        <f t="shared" si="36"/>
        <v>197.04549436738586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6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8</v>
      </c>
      <c r="BD34" s="13">
        <f>IF('Données projet'!$A$88&gt;35,BD33+BC34-BL33,IF(A34&lt;'Données projet'!$A$88,$BA$205^A34,IF(A34='Données projet'!$A$88,'Données projet'!$B$88,BD33+BC34-BL33)))</f>
        <v>84</v>
      </c>
      <c r="BE34" s="14">
        <f>BD34*VLOOKUP('Données projet'!$B$11,Paramètres!$A$1:$I$89,3,0)*VLOOKUP('Données projet'!$B$11,Paramètres!$A$1:$I$89,5,0)</f>
        <v>81.244799999999998</v>
      </c>
      <c r="BF34" s="14">
        <f t="shared" si="37"/>
        <v>22.441270156928962</v>
      </c>
      <c r="BG34" s="22">
        <f t="shared" si="7"/>
        <v>180.58657218998462</v>
      </c>
      <c r="BH34" s="60">
        <f t="shared" si="8"/>
        <v>473.91990552331794</v>
      </c>
      <c r="BI34" s="60">
        <f ca="1">AVERAGE(OFFSET($BH$3,0,0,'Données projet'!$E$11+1,1))-AVERAGE(OFFSET($H$3,0,0,'Données projet'!$E$11+1,1))</f>
        <v>330.39429528665841</v>
      </c>
      <c r="BJ34" s="60">
        <f t="shared" si="38"/>
        <v>186.45728006007261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7.6923076923076881</v>
      </c>
      <c r="BY34" s="13">
        <f>IF('Données projet'!$A$114&gt;35,BY33+BX34-CG33,IF(A34&lt;'Données projet'!$A$114,$BV$205^A34,IF(A34='Données projet'!$A$114,'Données projet'!$B$114,BY33+BX34-CG33)))</f>
        <v>124.35897435897441</v>
      </c>
      <c r="BZ34" s="14">
        <f>BY34*VLOOKUP('Données projet'!$B$12,Paramètres!$A$1:$I$89,3,0)*VLOOKUP('Données projet'!$B$12,Paramètres!$A$1:$I$89,5,0)</f>
        <v>83.42000000000003</v>
      </c>
      <c r="CA34" s="14">
        <f t="shared" si="39"/>
        <v>22.971343750654679</v>
      </c>
      <c r="CB34" s="22">
        <f t="shared" si="10"/>
        <v>185.2982570323903</v>
      </c>
      <c r="CC34" s="60">
        <f t="shared" si="11"/>
        <v>478.63159036572358</v>
      </c>
      <c r="CD34" s="60">
        <f ca="1">AVERAGE(OFFSET($CC$3,0,0,'Données projet'!$E$12+1,1))-AVERAGE(OFFSET($H$3,0,0,'Données projet'!$E$12+1,1))</f>
        <v>212.33913923444732</v>
      </c>
      <c r="CE34" s="60">
        <f t="shared" si="40"/>
        <v>183.51194426094372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9.1999999999999993</v>
      </c>
      <c r="CT34" s="13">
        <f>IF('Données projet'!$A$140&gt;35,CT33+CS34-DB33,IF(A34&lt;'Données projet'!$A$140,$CQ$205^A34,IF(A34='Données projet'!$A$140,'Données projet'!$B$140,CT33+CS34-DB33)))</f>
        <v>153.19999999999996</v>
      </c>
      <c r="CU34" s="18">
        <f>CT34*VLOOKUP('Données projet'!$B$13,Paramètres!$A$1:$I$89,3,0)*VLOOKUP('Données projet'!$B$13,Paramètres!$A$1:$I$89,5,0)</f>
        <v>133.83551999999997</v>
      </c>
      <c r="CV34" s="14">
        <f t="shared" si="41"/>
        <v>34.881129989958559</v>
      </c>
      <c r="CW34" s="22">
        <f t="shared" si="13"/>
        <v>293.84816539917779</v>
      </c>
      <c r="CX34" s="60">
        <f t="shared" si="14"/>
        <v>587.18149873251105</v>
      </c>
      <c r="CY34" s="60">
        <f ca="1">AVERAGE(OFFSET($CX$3,0,0,'Données projet'!$E$13+1,1))-AVERAGE(OFFSET($H$3,0,0,'Données projet'!$E$13+1,1))</f>
        <v>228.0393346366489</v>
      </c>
      <c r="CZ34" s="60">
        <f t="shared" si="42"/>
        <v>238.591781509447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8</v>
      </c>
      <c r="DO34" s="13">
        <f>IF('Données projet'!$A$166&gt;35,DO33+DN34-DW33,IF(A34&lt;'Données projet'!$A$166,$DL$205^A34,IF(A34='Données projet'!$A$166,'Données projet'!$B$166,DO33+DN34-DW33)))</f>
        <v>84</v>
      </c>
      <c r="DP34" s="18">
        <f>DO34*VLOOKUP('Données projet'!$B$14,Paramètres!$A$1:$I$89,3,0)*VLOOKUP('Données projet'!$B$14,Paramètres!$A$1:$I$89,5,0)</f>
        <v>76.003200000000007</v>
      </c>
      <c r="DQ34" s="14">
        <f t="shared" si="43"/>
        <v>21.157049992000456</v>
      </c>
      <c r="DR34" s="22">
        <f t="shared" si="16"/>
        <v>169.22076873606747</v>
      </c>
      <c r="DS34" s="60">
        <f t="shared" si="17"/>
        <v>462.55410206940076</v>
      </c>
      <c r="DT34" s="60">
        <f ca="1">AVERAGE(OFFSET($DS$3,0,0,'Données projet'!$E$14+1,1))-AVERAGE(OFFSET($H$3,0,0,'Données projet'!$E$14+1,1))</f>
        <v>303.73499739059076</v>
      </c>
      <c r="DU34" s="60">
        <f t="shared" si="44"/>
        <v>172.32171001882188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16.614999999999998</v>
      </c>
      <c r="EJ34" s="13">
        <f>IF('Données projet'!$A$192&gt;35,EJ33+EI34-ER33,IF(A34&lt;'Données projet'!$A$192,$EG$205^A34,IF(A34='Données projet'!$A$192,'Données projet'!$B$192,EJ33+EI34-ER33)))</f>
        <v>184.11000000000007</v>
      </c>
      <c r="EK34" s="18">
        <f>EJ34*VLOOKUP('Données projet'!$B$15,Paramètres!$A$1:$I$89,3,0)*VLOOKUP('Données projet'!$B$15,Paramètres!$A$1:$I$89,5,0)</f>
        <v>110.09778000000004</v>
      </c>
      <c r="EL34" s="14">
        <f t="shared" si="45"/>
        <v>29.354021111763256</v>
      </c>
      <c r="EM34" s="22">
        <f t="shared" si="19"/>
        <v>242.87855360298772</v>
      </c>
      <c r="EN34" s="60">
        <f t="shared" si="20"/>
        <v>536.21188693632098</v>
      </c>
      <c r="EO34" s="60">
        <f ca="1">AVERAGE(OFFSET($EN$3,0,0,'Données projet'!$E$15+1,1))-AVERAGE(OFFSET($H$3,0,0,'Données projet'!$E$15+1,1))</f>
        <v>269.94948820700841</v>
      </c>
      <c r="EP34" s="60">
        <f t="shared" si="46"/>
        <v>183.45158355135192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13.281318349779966</v>
      </c>
      <c r="EX34" s="23">
        <f>EXP(-LN(2)/2)*EX33+(1-EXP(-LN(2)/2))/(LN(2)/2)*ER34*EU34*VLOOKUP('Données projet'!$B$15,Paramètres!$A$1:$I$89,3,0)*0.475*44/12</f>
        <v>3.9866904373479199</v>
      </c>
      <c r="EY34" s="24">
        <f t="shared" si="21"/>
        <v>17.268008787127886</v>
      </c>
      <c r="EZ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3.78125</v>
      </c>
      <c r="FE34" s="13">
        <f>IF('Données projet'!$A$218&gt;35,FE33+FD34-FM33,IF(A34&lt;'Données projet'!$A$218,$FB$205^A34,IF(A34='Données projet'!$A$218,'Données projet'!$B$218,FE33+FD34-FM33)))</f>
        <v>104.15936593694833</v>
      </c>
      <c r="FF34" s="18">
        <f>FE34*VLOOKUP('Données projet'!$B$16,Paramètres!$A$1:$I$89,3,0)*VLOOKUP('Données projet'!$B$16,Paramètres!$A$1:$I$89,5,0)</f>
        <v>62.287300830295109</v>
      </c>
      <c r="FG34" s="14">
        <f t="shared" si="47"/>
        <v>17.74530520300873</v>
      </c>
      <c r="FH34" s="22">
        <f t="shared" si="22"/>
        <v>139.39012217467084</v>
      </c>
      <c r="FI34" s="60">
        <f t="shared" si="23"/>
        <v>432.72345550800412</v>
      </c>
      <c r="FJ34" s="60">
        <f ca="1">AVERAGE(OFFSET($FI$3,0,0,'Données projet'!$E$16+1,1))-AVERAGE(OFFSET($H$3,0,0,'Données projet'!$E$16+1,1))</f>
        <v>111.24788725253484</v>
      </c>
      <c r="FK34" s="60">
        <f t="shared" si="48"/>
        <v>82.434879813357327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projet'!$B$16,Paramètres!$A$1:$I$89,3,0)*0.475*44/12</f>
        <v>0</v>
      </c>
      <c r="FR34" s="23">
        <f>EXP(-LN(2)/25)*FR33+(1-EXP(-LN(2)/25))/(LN(2)/25)*Calculateur!FM34*Calculateur!FO34*VLOOKUP('Données projet'!$B$16,Paramètres!$A$1:$I$89,3,0)*0.475*44/12</f>
        <v>0</v>
      </c>
      <c r="FS34" s="23">
        <f>EXP(-LN(2)/2)*FS33+(1-EXP(-LN(2)/2))/(LN(2)/2)*FM34*FP34*VLOOKUP('Données projet'!$B$16,Paramètres!$A$1:$I$89,3,0)*0.475*44/12</f>
        <v>0</v>
      </c>
      <c r="FT34" s="24">
        <f t="shared" si="24"/>
        <v>0</v>
      </c>
      <c r="FU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28.4</v>
      </c>
      <c r="FZ34" s="13">
        <f>IF('Données projet'!$A$244&gt;35,FZ33+FY34-GH33,IF(A34&lt;'Données projet'!$A$244,$FW$205^A34,IF(A34='Données projet'!$A$244,'Données projet'!$B$244,FZ33+FY34-GH33)))</f>
        <v>352.19999999999987</v>
      </c>
      <c r="GA34" s="18">
        <f>FZ34*VLOOKUP('Données projet'!$B$17,Paramètres!$A$1:$I$89,3,0)*VLOOKUP('Données projet'!$B$17,Paramètres!$A$1:$I$89,5,0)</f>
        <v>155.67239999999995</v>
      </c>
      <c r="GB34" s="14">
        <f t="shared" si="49"/>
        <v>39.86486091051038</v>
      </c>
      <c r="GC34" s="22">
        <f t="shared" si="25"/>
        <v>340.5607294191388</v>
      </c>
      <c r="GD34" s="60">
        <f t="shared" si="26"/>
        <v>633.89406275247211</v>
      </c>
      <c r="GE34" s="60">
        <f ca="1">AVERAGE(OFFSET($GD$3,0,0,'Données projet'!$E$17+1,1))-AVERAGE(OFFSET($H$3,0,0,'Données projet'!$E$17+1,1))</f>
        <v>323.56667371063662</v>
      </c>
      <c r="GF34" s="60">
        <f t="shared" si="50"/>
        <v>275.70373467723385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>
        <f>EXP(-LN(2)/35)*GL33+(1-EXP(-LN(2)/35))/(LN(2)/35)*GH34*GI34*VLOOKUP('Données projet'!$B$17,Paramètres!$A$1:$I$89,3,0)*0.475*44/12</f>
        <v>0</v>
      </c>
      <c r="GM34" s="23">
        <f>EXP(-LN(2)/25)*GM33+(1-EXP(-LN(2)/25))/(LN(2)/25)*Calculateur!GH34*Calculateur!GJ34*VLOOKUP('Données projet'!$B$17,Paramètres!$A$1:$I$89,3,0)*0.475*44/12</f>
        <v>0</v>
      </c>
      <c r="GN34" s="23">
        <f>EXP(-LN(2)/2)*GN33+(1-EXP(-LN(2)/2))/(LN(2)/2)*GH34*GK34*VLOOKUP('Données projet'!$B$17,Paramètres!$A$1:$I$89,3,0)*0.475*44/12</f>
        <v>0</v>
      </c>
      <c r="GO34" s="23">
        <f t="shared" si="27"/>
        <v>0</v>
      </c>
      <c r="GP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0" t="e">
        <f t="shared" si="29"/>
        <v>#N/A</v>
      </c>
      <c r="GZ34" s="60" t="e">
        <f ca="1">AVERAGE(OFFSET($GY$3,0,0,'Données projet'!$E$18+1,1))-AVERAGE(OFFSET($H$3,0,0,'Données projet'!$E$18+1,1))</f>
        <v>#N/A</v>
      </c>
      <c r="HA34" s="60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4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2">
        <f t="shared" si="32"/>
        <v>5.7714641827626956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17.737142857142853</v>
      </c>
      <c r="N35" s="14">
        <f>IF('Données projet'!$A$36&gt;35,N34+M35-V34,IF(A35&lt;'Données projet'!$A$36,$K$205^A35,IF(A35='Données projet'!$A$36,'Données projet'!$B$36,N34+M35-V34)))</f>
        <v>240.18142857142863</v>
      </c>
      <c r="O35" s="14">
        <f>N35*VLOOKUP('Données projet'!$B$9,Paramètres!$A$1:$I$89,3,0)*VLOOKUP('Données projet'!$B$9,Paramètres!$A$1:$I$89,5,0)</f>
        <v>143.62849428571434</v>
      </c>
      <c r="P35" s="14">
        <f t="shared" si="33"/>
        <v>37.127000660847131</v>
      </c>
      <c r="Q35" s="22">
        <f t="shared" ref="Q35:Q66" si="53">(O35+P35)*0.475*44/12</f>
        <v>314.81582036526123</v>
      </c>
      <c r="R35" s="60">
        <f t="shared" si="0"/>
        <v>608.14915369859455</v>
      </c>
      <c r="S35" s="60">
        <f ca="1">AVERAGE(OFFSET($R$3,0,0,'Données projet'!$E$9+1,1))-AVERAGE(OFFSET($H$3,0,0,'Données projet'!$E$9+1,1))</f>
        <v>235.63766249714581</v>
      </c>
      <c r="T35" s="60">
        <f t="shared" si="34"/>
        <v>231.3297293785277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11.02811850345355</v>
      </c>
      <c r="AA35" s="23">
        <f>EXP(-LN(2)/25)*AA34+(1-EXP(-LN(2)/25))/(LN(2)/25)*Calculateur!V35*Calculateur!X35*VLOOKUP('Données projet'!$B$9,Paramètres!$A$1:$I$89,3,0)*0.475*44/12</f>
        <v>16.356345567176305</v>
      </c>
      <c r="AB35" s="23">
        <f>EXP(-LN(2)/2)*AB34+(1-EXP(-LN(2)/2))/(LN(2)/2)*V35*Y35*VLOOKUP('Données projet'!$B$9,Paramètres!$A$1:$I$89,3,0)*0.475*44/12</f>
        <v>3.5562160614493639</v>
      </c>
      <c r="AC35" s="24">
        <f t="shared" si="3"/>
        <v>30.940680132079216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8</v>
      </c>
      <c r="AI35" s="14">
        <f>IF('Données projet'!$A$62&gt;35,AI34+AH35-AQ34,IF(A35&lt;'Données projet'!$A$62,$AF$205^A35,IF(A35='Données projet'!$A$62,'Données projet'!$B$62,AI34+AH35-AQ34)))</f>
        <v>92</v>
      </c>
      <c r="AJ35" s="14">
        <f>AI35*VLOOKUP('Données projet'!$B$10,Paramètres!$A$1:$I$89,3,0)*VLOOKUP('Données projet'!$B$10,Paramètres!$A$1:$I$89,5,0)</f>
        <v>93.288000000000011</v>
      </c>
      <c r="AK35" s="14">
        <f t="shared" si="35"/>
        <v>25.356547829040977</v>
      </c>
      <c r="AL35" s="22">
        <f t="shared" si="4"/>
        <v>206.63925413557971</v>
      </c>
      <c r="AM35" s="60">
        <f t="shared" si="5"/>
        <v>499.97258746891305</v>
      </c>
      <c r="AN35" s="60">
        <f ca="1">AVERAGE(OFFSET($AM$3,0,0,'Données projet'!$E$10+1,1))-AVERAGE(OFFSET($H$3,0,0,'Données projet'!$E$10+1,1))</f>
        <v>350.3652766444938</v>
      </c>
      <c r="AO35" s="60">
        <f t="shared" si="36"/>
        <v>197.04549436738586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6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8</v>
      </c>
      <c r="BD35" s="13">
        <f>IF('Données projet'!$A$88&gt;35,BD34+BC35-BL34,IF(A35&lt;'Données projet'!$A$88,$BA$205^A35,IF(A35='Données projet'!$A$88,'Données projet'!$B$88,BD34+BC35-BL34)))</f>
        <v>92</v>
      </c>
      <c r="BE35" s="14">
        <f>BD35*VLOOKUP('Données projet'!$B$11,Paramètres!$A$1:$I$89,3,0)*VLOOKUP('Données projet'!$B$11,Paramètres!$A$1:$I$89,5,0)</f>
        <v>88.982399999999998</v>
      </c>
      <c r="BF35" s="14">
        <f t="shared" si="37"/>
        <v>24.31964219550628</v>
      </c>
      <c r="BG35" s="22">
        <f t="shared" si="7"/>
        <v>197.3343901571734</v>
      </c>
      <c r="BH35" s="60">
        <f t="shared" si="8"/>
        <v>490.66772349050672</v>
      </c>
      <c r="BI35" s="60">
        <f ca="1">AVERAGE(OFFSET($BH$3,0,0,'Données projet'!$E$11+1,1))-AVERAGE(OFFSET($H$3,0,0,'Données projet'!$E$11+1,1))</f>
        <v>330.39429528665841</v>
      </c>
      <c r="BJ35" s="60">
        <f t="shared" si="38"/>
        <v>186.45728006007261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7.6923076923076881</v>
      </c>
      <c r="BY35" s="13">
        <f>IF('Données projet'!$A$114&gt;35,BY34+BX35-CG34,IF(A35&lt;'Données projet'!$A$114,$BV$205^A35,IF(A35='Données projet'!$A$114,'Données projet'!$B$114,BY34+BX35-CG34)))</f>
        <v>132.0512820512821</v>
      </c>
      <c r="BZ35" s="14">
        <f>BY35*VLOOKUP('Données projet'!$B$12,Paramètres!$A$1:$I$89,3,0)*VLOOKUP('Données projet'!$B$12,Paramètres!$A$1:$I$89,5,0)</f>
        <v>88.580000000000041</v>
      </c>
      <c r="CA35" s="14">
        <f t="shared" si="39"/>
        <v>24.222438846820232</v>
      </c>
      <c r="CB35" s="22">
        <f t="shared" si="10"/>
        <v>196.46424765821197</v>
      </c>
      <c r="CC35" s="60">
        <f t="shared" si="11"/>
        <v>489.79758099154526</v>
      </c>
      <c r="CD35" s="60">
        <f ca="1">AVERAGE(OFFSET($CC$3,0,0,'Données projet'!$E$12+1,1))-AVERAGE(OFFSET($H$3,0,0,'Données projet'!$E$12+1,1))</f>
        <v>212.33913923444732</v>
      </c>
      <c r="CE35" s="60">
        <f t="shared" si="40"/>
        <v>183.51194426094372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9.1999999999999993</v>
      </c>
      <c r="CT35" s="13">
        <f>IF('Données projet'!$A$140&gt;35,CT34+CS35-DB34,IF(A35&lt;'Données projet'!$A$140,$CQ$205^A35,IF(A35='Données projet'!$A$140,'Données projet'!$B$140,CT34+CS35-DB34)))</f>
        <v>162.39999999999995</v>
      </c>
      <c r="CU35" s="18">
        <f>CT35*VLOOKUP('Données projet'!$B$13,Paramètres!$A$1:$I$89,3,0)*VLOOKUP('Données projet'!$B$13,Paramètres!$A$1:$I$89,5,0)</f>
        <v>141.87263999999996</v>
      </c>
      <c r="CV35" s="14">
        <f t="shared" si="41"/>
        <v>36.72566870742078</v>
      </c>
      <c r="CW35" s="22">
        <f t="shared" si="13"/>
        <v>311.05872099875779</v>
      </c>
      <c r="CX35" s="60">
        <f t="shared" si="14"/>
        <v>604.39205433209111</v>
      </c>
      <c r="CY35" s="60">
        <f ca="1">AVERAGE(OFFSET($CX$3,0,0,'Données projet'!$E$13+1,1))-AVERAGE(OFFSET($H$3,0,0,'Données projet'!$E$13+1,1))</f>
        <v>228.0393346366489</v>
      </c>
      <c r="CZ35" s="60">
        <f t="shared" si="42"/>
        <v>238.591781509447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8</v>
      </c>
      <c r="DO35" s="13">
        <f>IF('Données projet'!$A$166&gt;35,DO34+DN35-DW34,IF(A35&lt;'Données projet'!$A$166,$DL$205^A35,IF(A35='Données projet'!$A$166,'Données projet'!$B$166,DO34+DN35-DW34)))</f>
        <v>92</v>
      </c>
      <c r="DP35" s="18">
        <f>DO35*VLOOKUP('Données projet'!$B$14,Paramètres!$A$1:$I$89,3,0)*VLOOKUP('Données projet'!$B$14,Paramètres!$A$1:$I$89,5,0)</f>
        <v>83.241600000000005</v>
      </c>
      <c r="DQ35" s="14">
        <f t="shared" si="43"/>
        <v>22.927930643846508</v>
      </c>
      <c r="DR35" s="22">
        <f t="shared" si="16"/>
        <v>184.91193253803269</v>
      </c>
      <c r="DS35" s="60">
        <f t="shared" si="17"/>
        <v>478.24526587136597</v>
      </c>
      <c r="DT35" s="60">
        <f ca="1">AVERAGE(OFFSET($DS$3,0,0,'Données projet'!$E$14+1,1))-AVERAGE(OFFSET($H$3,0,0,'Données projet'!$E$14+1,1))</f>
        <v>303.73499739059076</v>
      </c>
      <c r="DU35" s="60">
        <f t="shared" si="44"/>
        <v>172.32171001882188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16.614999999999998</v>
      </c>
      <c r="EJ35" s="13">
        <f>IF('Données projet'!$A$192&gt;35,EJ34+EI35-ER34,IF(A35&lt;'Données projet'!$A$192,$EG$205^A35,IF(A35='Données projet'!$A$192,'Données projet'!$B$192,EJ34+EI35-ER34)))</f>
        <v>200.72500000000008</v>
      </c>
      <c r="EK35" s="18">
        <f>EJ35*VLOOKUP('Données projet'!$B$15,Paramètres!$A$1:$I$89,3,0)*VLOOKUP('Données projet'!$B$15,Paramètres!$A$1:$I$89,5,0)</f>
        <v>120.03355000000006</v>
      </c>
      <c r="EL35" s="14">
        <f t="shared" si="45"/>
        <v>31.682824153356549</v>
      </c>
      <c r="EM35" s="22">
        <f t="shared" si="19"/>
        <v>264.2393516504294</v>
      </c>
      <c r="EN35" s="60">
        <f t="shared" si="20"/>
        <v>557.57268498376266</v>
      </c>
      <c r="EO35" s="60">
        <f ca="1">AVERAGE(OFFSET($EN$3,0,0,'Données projet'!$E$15+1,1))-AVERAGE(OFFSET($H$3,0,0,'Données projet'!$E$15+1,1))</f>
        <v>269.94948820700841</v>
      </c>
      <c r="EP35" s="60">
        <f t="shared" si="46"/>
        <v>183.45158355135192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12.918140001071055</v>
      </c>
      <c r="EX35" s="23">
        <f>EXP(-LN(2)/2)*EX34+(1-EXP(-LN(2)/2))/(LN(2)/2)*ER35*EU35*VLOOKUP('Données projet'!$B$15,Paramètres!$A$1:$I$89,3,0)*0.475*44/12</f>
        <v>2.8190158427402774</v>
      </c>
      <c r="EY35" s="24">
        <f t="shared" si="21"/>
        <v>15.737155843811333</v>
      </c>
      <c r="EZ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>
        <f>VLOOKUP(A35,'Données projet'!$A$217:$I$237,2,0)</f>
        <v>121</v>
      </c>
      <c r="FC35" s="13">
        <f>VLOOKUP(A35,'Données projet'!$A$217:$I$237,9,0)</f>
        <v>3.78125</v>
      </c>
      <c r="FD35" s="13">
        <f t="array" ref="FD35">INDEX(FC:FC,MIN(IF(ISNUMBER(FC35:FC231),ROW(FC35:FC231),"")))</f>
        <v>3.78125</v>
      </c>
      <c r="FE35" s="13">
        <f>IF('Données projet'!$A$218&gt;35,FE34+FD35-FM34,IF(A35&lt;'Données projet'!$A$218,$FB$205^A35,IF(A35='Données projet'!$A$218,'Données projet'!$B$218,FE34+FD35-FM34)))</f>
        <v>121</v>
      </c>
      <c r="FF35" s="18">
        <f>FE35*VLOOKUP('Données projet'!$B$16,Paramètres!$A$1:$I$89,3,0)*VLOOKUP('Données projet'!$B$16,Paramètres!$A$1:$I$89,5,0)</f>
        <v>72.358000000000004</v>
      </c>
      <c r="FG35" s="14">
        <f t="shared" si="47"/>
        <v>20.257898193815318</v>
      </c>
      <c r="FH35" s="22">
        <f t="shared" si="22"/>
        <v>161.30602268756169</v>
      </c>
      <c r="FI35" s="60">
        <f t="shared" si="23"/>
        <v>454.63935602089498</v>
      </c>
      <c r="FJ35" s="60">
        <f ca="1">AVERAGE(OFFSET($FI$3,0,0,'Données projet'!$E$16+1,1))-AVERAGE(OFFSET($H$3,0,0,'Données projet'!$E$16+1,1))</f>
        <v>111.24788725253484</v>
      </c>
      <c r="FK35" s="60">
        <f t="shared" si="48"/>
        <v>82.434879813357327</v>
      </c>
      <c r="FL35" s="16">
        <f>IF(ISNA(VLOOKUP(A35,'Données projet'!$A$217:$I$237,3,0)),0,VLOOKUP(A35,'Données projet'!$A$217:$I$237,3,0))</f>
        <v>1</v>
      </c>
      <c r="FM35" s="16">
        <f>IF(ISNA(VLOOKUP(A35,'Données projet'!$A$217:$I$237,4,0)),0,VLOOKUP(A35,'Données projet'!$A$217:$I$237,4,0))</f>
        <v>46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projet'!$B$16,Paramètres!$A$1:$I$89,3,0)*0.475*44/12</f>
        <v>0</v>
      </c>
      <c r="FR35" s="23">
        <f>EXP(-LN(2)/25)*FR34+(1-EXP(-LN(2)/25))/(LN(2)/25)*Calculateur!FM35*Calculateur!FO35*VLOOKUP('Données projet'!$B$16,Paramètres!$A$1:$I$89,3,0)*0.475*44/12</f>
        <v>0</v>
      </c>
      <c r="FS35" s="23">
        <f>EXP(-LN(2)/2)*FS34+(1-EXP(-LN(2)/2))/(LN(2)/2)*FM35*FP35*VLOOKUP('Données projet'!$B$16,Paramètres!$A$1:$I$89,3,0)*0.475*44/12</f>
        <v>0</v>
      </c>
      <c r="FT35" s="24">
        <f t="shared" si="24"/>
        <v>0</v>
      </c>
      <c r="FU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28.4</v>
      </c>
      <c r="FZ35" s="13">
        <f>IF('Données projet'!$A$244&gt;35,FZ34+FY35-GH34,IF(A35&lt;'Données projet'!$A$244,$FW$205^A35,IF(A35='Données projet'!$A$244,'Données projet'!$B$244,FZ34+FY35-GH34)))</f>
        <v>380.59999999999985</v>
      </c>
      <c r="GA35" s="18">
        <f>FZ35*VLOOKUP('Données projet'!$B$17,Paramètres!$A$1:$I$89,3,0)*VLOOKUP('Données projet'!$B$17,Paramètres!$A$1:$I$89,5,0)</f>
        <v>168.22519999999997</v>
      </c>
      <c r="GB35" s="14">
        <f t="shared" si="49"/>
        <v>42.69228495978895</v>
      </c>
      <c r="GC35" s="22">
        <f t="shared" si="25"/>
        <v>367.34795297163237</v>
      </c>
      <c r="GD35" s="60">
        <f t="shared" si="26"/>
        <v>660.68128630496562</v>
      </c>
      <c r="GE35" s="60">
        <f ca="1">AVERAGE(OFFSET($GD$3,0,0,'Données projet'!$E$17+1,1))-AVERAGE(OFFSET($H$3,0,0,'Données projet'!$E$17+1,1))</f>
        <v>323.56667371063662</v>
      </c>
      <c r="GF35" s="60">
        <f t="shared" si="50"/>
        <v>275.70373467723385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>
        <f>EXP(-LN(2)/35)*GL34+(1-EXP(-LN(2)/35))/(LN(2)/35)*GH35*GI35*VLOOKUP('Données projet'!$B$17,Paramètres!$A$1:$I$89,3,0)*0.475*44/12</f>
        <v>0</v>
      </c>
      <c r="GM35" s="23">
        <f>EXP(-LN(2)/25)*GM34+(1-EXP(-LN(2)/25))/(LN(2)/25)*Calculateur!GH35*Calculateur!GJ35*VLOOKUP('Données projet'!$B$17,Paramètres!$A$1:$I$89,3,0)*0.475*44/12</f>
        <v>0</v>
      </c>
      <c r="GN35" s="23">
        <f>EXP(-LN(2)/2)*GN34+(1-EXP(-LN(2)/2))/(LN(2)/2)*GH35*GK35*VLOOKUP('Données projet'!$B$17,Paramètres!$A$1:$I$89,3,0)*0.475*44/12</f>
        <v>0</v>
      </c>
      <c r="GO35" s="23">
        <f t="shared" si="27"/>
        <v>0</v>
      </c>
      <c r="GP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0" t="e">
        <f t="shared" si="29"/>
        <v>#N/A</v>
      </c>
      <c r="GZ35" s="60" t="e">
        <f ca="1">AVERAGE(OFFSET($GY$3,0,0,'Données projet'!$E$18+1,1))-AVERAGE(OFFSET($H$3,0,0,'Données projet'!$E$18+1,1))</f>
        <v>#N/A</v>
      </c>
      <c r="HA35" s="60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4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2">
        <f t="shared" si="32"/>
        <v>5.9305422092039777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17.737142857142853</v>
      </c>
      <c r="N36" s="14">
        <f>IF('Données projet'!$A$36&gt;35,N35+M36-V35,IF(A36&lt;'Données projet'!$A$36,$K$205^A36,IF(A36='Données projet'!$A$36,'Données projet'!$B$36,N35+M36-V35)))</f>
        <v>257.91857142857145</v>
      </c>
      <c r="O36" s="14">
        <f>N36*VLOOKUP('Données projet'!$B$9,Paramètres!$A$1:$I$89,3,0)*VLOOKUP('Données projet'!$B$9,Paramètres!$A$1:$I$89,5,0)</f>
        <v>154.23530571428574</v>
      </c>
      <c r="P36" s="14">
        <f t="shared" si="33"/>
        <v>39.539508761330566</v>
      </c>
      <c r="Q36" s="22">
        <f t="shared" si="53"/>
        <v>337.49113521169841</v>
      </c>
      <c r="R36" s="60">
        <f t="shared" si="0"/>
        <v>630.82446854503178</v>
      </c>
      <c r="S36" s="60">
        <f ca="1">AVERAGE(OFFSET($R$3,0,0,'Données projet'!$E$9+1,1))-AVERAGE(OFFSET($H$3,0,0,'Données projet'!$E$9+1,1))</f>
        <v>235.63766249714581</v>
      </c>
      <c r="T36" s="60">
        <f t="shared" si="34"/>
        <v>231.3297293785277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10.811863826088928</v>
      </c>
      <c r="AA36" s="23">
        <f>EXP(-LN(2)/25)*AA35+(1-EXP(-LN(2)/25))/(LN(2)/25)*Calculateur!V36*Calculateur!X36*VLOOKUP('Données projet'!$B$9,Paramètres!$A$1:$I$89,3,0)*0.475*44/12</f>
        <v>15.909080437499039</v>
      </c>
      <c r="AB36" s="23">
        <f>EXP(-LN(2)/2)*AB35+(1-EXP(-LN(2)/2))/(LN(2)/2)*V36*Y36*VLOOKUP('Données projet'!$B$9,Paramètres!$A$1:$I$89,3,0)*0.475*44/12</f>
        <v>2.5146244924153613</v>
      </c>
      <c r="AC36" s="24">
        <f t="shared" si="3"/>
        <v>29.235568756003328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8</v>
      </c>
      <c r="AI36" s="14">
        <f>IF('Données projet'!$A$62&gt;35,AI35+AH36-AQ35,IF(A36&lt;'Données projet'!$A$62,$AF$205^A36,IF(A36='Données projet'!$A$62,'Données projet'!$B$62,AI35+AH36-AQ35)))</f>
        <v>100</v>
      </c>
      <c r="AJ36" s="14">
        <f>AI36*VLOOKUP('Données projet'!$B$10,Paramètres!$A$1:$I$89,3,0)*VLOOKUP('Données projet'!$B$10,Paramètres!$A$1:$I$89,5,0)</f>
        <v>101.4</v>
      </c>
      <c r="AK36" s="14">
        <f t="shared" si="35"/>
        <v>27.295257887453797</v>
      </c>
      <c r="AL36" s="22">
        <f t="shared" si="4"/>
        <v>224.14424082064872</v>
      </c>
      <c r="AM36" s="60">
        <f t="shared" si="5"/>
        <v>517.477574153982</v>
      </c>
      <c r="AN36" s="60">
        <f ca="1">AVERAGE(OFFSET($AM$3,0,0,'Données projet'!$E$10+1,1))-AVERAGE(OFFSET($H$3,0,0,'Données projet'!$E$10+1,1))</f>
        <v>350.3652766444938</v>
      </c>
      <c r="AO36" s="60">
        <f t="shared" si="36"/>
        <v>197.04549436738586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6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8</v>
      </c>
      <c r="BD36" s="13">
        <f>IF('Données projet'!$A$88&gt;35,BD35+BC36-BL35,IF(A36&lt;'Données projet'!$A$88,$BA$205^A36,IF(A36='Données projet'!$A$88,'Données projet'!$B$88,BD35+BC36-BL35)))</f>
        <v>100</v>
      </c>
      <c r="BE36" s="14">
        <f>BD36*VLOOKUP('Données projet'!$B$11,Paramètres!$A$1:$I$89,3,0)*VLOOKUP('Données projet'!$B$11,Paramètres!$A$1:$I$89,5,0)</f>
        <v>96.72</v>
      </c>
      <c r="BF36" s="14">
        <f t="shared" si="37"/>
        <v>26.179072558792139</v>
      </c>
      <c r="BG36" s="22">
        <f t="shared" si="7"/>
        <v>214.04921803989632</v>
      </c>
      <c r="BH36" s="60">
        <f t="shared" si="8"/>
        <v>507.3825513732296</v>
      </c>
      <c r="BI36" s="60">
        <f ca="1">AVERAGE(OFFSET($BH$3,0,0,'Données projet'!$E$11+1,1))-AVERAGE(OFFSET($H$3,0,0,'Données projet'!$E$11+1,1))</f>
        <v>330.39429528665841</v>
      </c>
      <c r="BJ36" s="60">
        <f t="shared" si="38"/>
        <v>186.45728006007261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7.6923076923076881</v>
      </c>
      <c r="BY36" s="13">
        <f>IF('Données projet'!$A$114&gt;35,BY35+BX36-CG35,IF(A36&lt;'Données projet'!$A$114,$BV$205^A36,IF(A36='Données projet'!$A$114,'Données projet'!$B$114,BY35+BX36-CG35)))</f>
        <v>139.74358974358978</v>
      </c>
      <c r="BZ36" s="14">
        <f>BY36*VLOOKUP('Données projet'!$B$12,Paramètres!$A$1:$I$89,3,0)*VLOOKUP('Données projet'!$B$12,Paramètres!$A$1:$I$89,5,0)</f>
        <v>93.740000000000023</v>
      </c>
      <c r="CA36" s="14">
        <f t="shared" si="39"/>
        <v>25.465074435109123</v>
      </c>
      <c r="CB36" s="22">
        <f t="shared" si="10"/>
        <v>207.61550464114839</v>
      </c>
      <c r="CC36" s="60">
        <f t="shared" si="11"/>
        <v>500.94883797448171</v>
      </c>
      <c r="CD36" s="60">
        <f ca="1">AVERAGE(OFFSET($CC$3,0,0,'Données projet'!$E$12+1,1))-AVERAGE(OFFSET($H$3,0,0,'Données projet'!$E$12+1,1))</f>
        <v>212.33913923444732</v>
      </c>
      <c r="CE36" s="60">
        <f t="shared" si="40"/>
        <v>183.51194426094372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9.1999999999999993</v>
      </c>
      <c r="CT36" s="13">
        <f>IF('Données projet'!$A$140&gt;35,CT35+CS36-DB35,IF(A36&lt;'Données projet'!$A$140,$CQ$205^A36,IF(A36='Données projet'!$A$140,'Données projet'!$B$140,CT35+CS36-DB35)))</f>
        <v>171.59999999999994</v>
      </c>
      <c r="CU36" s="18">
        <f>CT36*VLOOKUP('Données projet'!$B$13,Paramètres!$A$1:$I$89,3,0)*VLOOKUP('Données projet'!$B$13,Paramètres!$A$1:$I$89,5,0)</f>
        <v>149.90975999999998</v>
      </c>
      <c r="CV36" s="14">
        <f t="shared" si="41"/>
        <v>38.558077538852132</v>
      </c>
      <c r="CW36" s="22">
        <f t="shared" si="13"/>
        <v>328.24815038016737</v>
      </c>
      <c r="CX36" s="60">
        <f t="shared" si="14"/>
        <v>621.58148371350069</v>
      </c>
      <c r="CY36" s="60">
        <f ca="1">AVERAGE(OFFSET($CX$3,0,0,'Données projet'!$E$13+1,1))-AVERAGE(OFFSET($H$3,0,0,'Données projet'!$E$13+1,1))</f>
        <v>228.0393346366489</v>
      </c>
      <c r="CZ36" s="60">
        <f t="shared" si="42"/>
        <v>238.591781509447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8</v>
      </c>
      <c r="DO36" s="13">
        <f>IF('Données projet'!$A$166&gt;35,DO35+DN36-DW35,IF(A36&lt;'Données projet'!$A$166,$DL$205^A36,IF(A36='Données projet'!$A$166,'Données projet'!$B$166,DO35+DN36-DW35)))</f>
        <v>100</v>
      </c>
      <c r="DP36" s="18">
        <f>DO36*VLOOKUP('Données projet'!$B$14,Paramètres!$A$1:$I$89,3,0)*VLOOKUP('Données projet'!$B$14,Paramètres!$A$1:$I$89,5,0)</f>
        <v>90.47999999999999</v>
      </c>
      <c r="DQ36" s="14">
        <f t="shared" si="43"/>
        <v>24.680953573367994</v>
      </c>
      <c r="DR36" s="22">
        <f t="shared" si="16"/>
        <v>200.57199414028256</v>
      </c>
      <c r="DS36" s="60">
        <f t="shared" si="17"/>
        <v>493.9053274736159</v>
      </c>
      <c r="DT36" s="60">
        <f ca="1">AVERAGE(OFFSET($DS$3,0,0,'Données projet'!$E$14+1,1))-AVERAGE(OFFSET($H$3,0,0,'Données projet'!$E$14+1,1))</f>
        <v>303.73499739059076</v>
      </c>
      <c r="DU36" s="60">
        <f t="shared" si="44"/>
        <v>172.32171001882188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>
        <f>VLOOKUP(A36,'Données projet'!$A$191:$I$211,2,0)</f>
        <v>217.34</v>
      </c>
      <c r="EH36" s="13">
        <f>VLOOKUP(A36,'Données projet'!$A$191:$I$211,9,0)</f>
        <v>16.614999999999998</v>
      </c>
      <c r="EI36" s="13">
        <f t="array" ref="EI36">INDEX(EH:EH,MIN(IF(ISNUMBER(EH36:EH232),ROW(EH36:EH232),"")))</f>
        <v>16.614999999999998</v>
      </c>
      <c r="EJ36" s="13">
        <f>IF('Données projet'!$A$192&gt;35,EJ35+EI36-ER35,IF(A36&lt;'Données projet'!$A$192,$EG$205^A36,IF(A36='Données projet'!$A$192,'Données projet'!$B$192,EJ35+EI36-ER35)))</f>
        <v>217.34000000000009</v>
      </c>
      <c r="EK36" s="18">
        <f>EJ36*VLOOKUP('Données projet'!$B$15,Paramètres!$A$1:$I$89,3,0)*VLOOKUP('Données projet'!$B$15,Paramètres!$A$1:$I$89,5,0)</f>
        <v>129.96932000000007</v>
      </c>
      <c r="EL36" s="14">
        <f t="shared" si="45"/>
        <v>33.989269987755954</v>
      </c>
      <c r="EM36" s="22">
        <f t="shared" si="19"/>
        <v>285.56121089534173</v>
      </c>
      <c r="EN36" s="60">
        <f t="shared" si="20"/>
        <v>578.89454422867504</v>
      </c>
      <c r="EO36" s="60">
        <f ca="1">AVERAGE(OFFSET($EN$3,0,0,'Données projet'!$E$15+1,1))-AVERAGE(OFFSET($H$3,0,0,'Données projet'!$E$15+1,1))</f>
        <v>269.94948820700841</v>
      </c>
      <c r="EP36" s="60">
        <f t="shared" si="46"/>
        <v>183.45158355135192</v>
      </c>
      <c r="EQ36" s="16">
        <f>IF(ISNA(VLOOKUP(A36,'Données projet'!$A$191:$I$211,3,0)),0,VLOOKUP(A36,'Données projet'!$A$191:$I$211,3,0))</f>
        <v>3</v>
      </c>
      <c r="ER36" s="16">
        <f>IF(ISNA(VLOOKUP(A36,'Données projet'!$A$191:$I$211,4,0)),0,VLOOKUP(A36,'Données projet'!$A$191:$I$211,4,0))</f>
        <v>50.41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12.564892783406309</v>
      </c>
      <c r="EX36" s="23">
        <f>EXP(-LN(2)/2)*EX35+(1-EXP(-LN(2)/2))/(LN(2)/2)*ER36*EU36*VLOOKUP('Données projet'!$B$15,Paramètres!$A$1:$I$89,3,0)*0.475*44/12</f>
        <v>1.9933452186739604</v>
      </c>
      <c r="EY36" s="24">
        <f t="shared" si="21"/>
        <v>14.55823800208027</v>
      </c>
      <c r="EZ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9.5</v>
      </c>
      <c r="FE36" s="13">
        <f>IF('Données projet'!$A$218&gt;35,FE35+FD36-FM35,IF(A36&lt;'Données projet'!$A$218,$FB$205^A36,IF(A36='Données projet'!$A$218,'Données projet'!$B$218,FE35+FD36-FM35)))</f>
        <v>84.5</v>
      </c>
      <c r="FF36" s="18">
        <f>FE36*VLOOKUP('Données projet'!$B$16,Paramètres!$A$1:$I$89,3,0)*VLOOKUP('Données projet'!$B$16,Paramètres!$A$1:$I$89,5,0)</f>
        <v>50.531000000000006</v>
      </c>
      <c r="FG36" s="14">
        <f t="shared" si="47"/>
        <v>14.750808302375741</v>
      </c>
      <c r="FH36" s="22">
        <f t="shared" si="22"/>
        <v>113.69914945997108</v>
      </c>
      <c r="FI36" s="60">
        <f t="shared" si="23"/>
        <v>407.03248279330438</v>
      </c>
      <c r="FJ36" s="60">
        <f ca="1">AVERAGE(OFFSET($FI$3,0,0,'Données projet'!$E$16+1,1))-AVERAGE(OFFSET($H$3,0,0,'Données projet'!$E$16+1,1))</f>
        <v>111.24788725253484</v>
      </c>
      <c r="FK36" s="60">
        <f t="shared" si="48"/>
        <v>82.434879813357327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projet'!$B$16,Paramètres!$A$1:$I$89,3,0)*0.475*44/12</f>
        <v>0</v>
      </c>
      <c r="FR36" s="23">
        <f>EXP(-LN(2)/25)*FR35+(1-EXP(-LN(2)/25))/(LN(2)/25)*Calculateur!FM36*Calculateur!FO36*VLOOKUP('Données projet'!$B$16,Paramètres!$A$1:$I$89,3,0)*0.475*44/12</f>
        <v>0</v>
      </c>
      <c r="FS36" s="23">
        <f>EXP(-LN(2)/2)*FS35+(1-EXP(-LN(2)/2))/(LN(2)/2)*FM36*FP36*VLOOKUP('Données projet'!$B$16,Paramètres!$A$1:$I$89,3,0)*0.475*44/12</f>
        <v>0</v>
      </c>
      <c r="FT36" s="24">
        <f t="shared" si="24"/>
        <v>0</v>
      </c>
      <c r="FU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>
        <f>VLOOKUP(A36,'Données projet'!$A$243:$I$263,2,0)</f>
        <v>409</v>
      </c>
      <c r="FX36" s="13">
        <f>VLOOKUP(A36,'Données projet'!$A$243:$I$263,9,0)</f>
        <v>28.4</v>
      </c>
      <c r="FY36" s="13">
        <f t="array" ref="FY36">INDEX(FX:FX,MIN(IF(ISNUMBER(FX36:FX232),ROW(FX36:FX232),"")))</f>
        <v>28.4</v>
      </c>
      <c r="FZ36" s="13">
        <f>IF('Données projet'!$A$244&gt;35,FZ35+FY36-GH35,IF(A36&lt;'Données projet'!$A$244,$FW$205^A36,IF(A36='Données projet'!$A$244,'Données projet'!$B$244,FZ35+FY36-GH35)))</f>
        <v>408.99999999999983</v>
      </c>
      <c r="GA36" s="18">
        <f>FZ36*VLOOKUP('Données projet'!$B$17,Paramètres!$A$1:$I$89,3,0)*VLOOKUP('Données projet'!$B$17,Paramètres!$A$1:$I$89,5,0)</f>
        <v>180.77799999999993</v>
      </c>
      <c r="GB36" s="14">
        <f t="shared" si="49"/>
        <v>45.495233361104816</v>
      </c>
      <c r="GC36" s="22">
        <f t="shared" si="25"/>
        <v>394.09254810392412</v>
      </c>
      <c r="GD36" s="60">
        <f t="shared" si="26"/>
        <v>687.42588143725743</v>
      </c>
      <c r="GE36" s="60">
        <f ca="1">AVERAGE(OFFSET($GD$3,0,0,'Données projet'!$E$17+1,1))-AVERAGE(OFFSET($H$3,0,0,'Données projet'!$E$17+1,1))</f>
        <v>323.56667371063662</v>
      </c>
      <c r="GF36" s="60">
        <f t="shared" si="50"/>
        <v>275.70373467723385</v>
      </c>
      <c r="GG36" s="16">
        <f>IF(ISNA(VLOOKUP(A36,'Données projet'!$A$243:$I$263,3,0)),0,VLOOKUP(A36,'Données projet'!$A$243:$I$263,3,0))</f>
        <v>2</v>
      </c>
      <c r="GH36" s="16">
        <f>IF(ISNA(VLOOKUP(A36,'Données projet'!$A$243:$I$263,4,0)),0,VLOOKUP(A36,'Données projet'!$A$243:$I$263,4,0))</f>
        <v>126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>
        <f>EXP(-LN(2)/35)*GL35+(1-EXP(-LN(2)/35))/(LN(2)/35)*GH36*GI36*VLOOKUP('Données projet'!$B$17,Paramètres!$A$1:$I$89,3,0)*0.475*44/12</f>
        <v>0</v>
      </c>
      <c r="GM36" s="23">
        <f>EXP(-LN(2)/25)*GM35+(1-EXP(-LN(2)/25))/(LN(2)/25)*Calculateur!GH36*Calculateur!GJ36*VLOOKUP('Données projet'!$B$17,Paramètres!$A$1:$I$89,3,0)*0.475*44/12</f>
        <v>0</v>
      </c>
      <c r="GN36" s="23">
        <f>EXP(-LN(2)/2)*GN35+(1-EXP(-LN(2)/2))/(LN(2)/2)*GH36*GK36*VLOOKUP('Données projet'!$B$17,Paramètres!$A$1:$I$89,3,0)*0.475*44/12</f>
        <v>0</v>
      </c>
      <c r="GO36" s="23">
        <f t="shared" si="27"/>
        <v>0</v>
      </c>
      <c r="GP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0" t="e">
        <f t="shared" si="29"/>
        <v>#N/A</v>
      </c>
      <c r="GZ36" s="60" t="e">
        <f ca="1">AVERAGE(OFFSET($GY$3,0,0,'Données projet'!$E$18+1,1))-AVERAGE(OFFSET($H$3,0,0,'Données projet'!$E$18+1,1))</f>
        <v>#N/A</v>
      </c>
      <c r="HA36" s="60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4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2">
        <f t="shared" si="32"/>
        <v>6.0890600219069135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17.737142857142853</v>
      </c>
      <c r="N37" s="14">
        <f>IF('Données projet'!$A$36&gt;35,N36+M37-V36,IF(A37&lt;'Données projet'!$A$36,$K$205^A37,IF(A37='Données projet'!$A$36,'Données projet'!$B$36,N36+M37-V36)))</f>
        <v>275.65571428571428</v>
      </c>
      <c r="O37" s="14">
        <f>N37*VLOOKUP('Données projet'!$B$9,Paramètres!$A$1:$I$89,3,0)*VLOOKUP('Données projet'!$B$9,Paramètres!$A$1:$I$89,5,0)</f>
        <v>164.84211714285715</v>
      </c>
      <c r="P37" s="14">
        <f t="shared" si="33"/>
        <v>41.932766136496305</v>
      </c>
      <c r="Q37" s="22">
        <f t="shared" si="53"/>
        <v>360.13292171154058</v>
      </c>
      <c r="R37" s="60">
        <f t="shared" si="0"/>
        <v>653.46625504487383</v>
      </c>
      <c r="S37" s="60">
        <f ca="1">AVERAGE(OFFSET($R$3,0,0,'Données projet'!$E$9+1,1))-AVERAGE(OFFSET($H$3,0,0,'Données projet'!$E$9+1,1))</f>
        <v>235.63766249714581</v>
      </c>
      <c r="T37" s="60">
        <f t="shared" si="34"/>
        <v>231.3297293785277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10.599849771045097</v>
      </c>
      <c r="AA37" s="23">
        <f>EXP(-LN(2)/25)*AA36+(1-EXP(-LN(2)/25))/(LN(2)/25)*Calculateur!V37*Calculateur!X37*VLOOKUP('Données projet'!$B$9,Paramètres!$A$1:$I$89,3,0)*0.475*44/12</f>
        <v>15.474045796313449</v>
      </c>
      <c r="AB37" s="23">
        <f>EXP(-LN(2)/2)*AB36+(1-EXP(-LN(2)/2))/(LN(2)/2)*V37*Y37*VLOOKUP('Données projet'!$B$9,Paramètres!$A$1:$I$89,3,0)*0.475*44/12</f>
        <v>1.7781080307246822</v>
      </c>
      <c r="AC37" s="24">
        <f t="shared" si="3"/>
        <v>27.852003598083229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8</v>
      </c>
      <c r="AI37" s="14">
        <f>IF('Données projet'!$A$62&gt;35,AI36+AH37-AQ36,IF(A37&lt;'Données projet'!$A$62,$AF$205^A37,IF(A37='Données projet'!$A$62,'Données projet'!$B$62,AI36+AH37-AQ36)))</f>
        <v>108</v>
      </c>
      <c r="AJ37" s="14">
        <f>AI37*VLOOKUP('Données projet'!$B$10,Paramètres!$A$1:$I$89,3,0)*VLOOKUP('Données projet'!$B$10,Paramètres!$A$1:$I$89,5,0)</f>
        <v>109.51200000000001</v>
      </c>
      <c r="AK37" s="14">
        <f t="shared" si="35"/>
        <v>29.215978230632555</v>
      </c>
      <c r="AL37" s="22">
        <f t="shared" si="4"/>
        <v>241.61789541835174</v>
      </c>
      <c r="AM37" s="60">
        <f t="shared" si="5"/>
        <v>534.95122875168499</v>
      </c>
      <c r="AN37" s="60">
        <f ca="1">AVERAGE(OFFSET($AM$3,0,0,'Données projet'!$E$10+1,1))-AVERAGE(OFFSET($H$3,0,0,'Données projet'!$E$10+1,1))</f>
        <v>350.3652766444938</v>
      </c>
      <c r="AO37" s="60">
        <f t="shared" si="36"/>
        <v>197.04549436738586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6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8</v>
      </c>
      <c r="BD37" s="13">
        <f>IF('Données projet'!$A$88&gt;35,BD36+BC37-BL36,IF(A37&lt;'Données projet'!$A$88,$BA$205^A37,IF(A37='Données projet'!$A$88,'Données projet'!$B$88,BD36+BC37-BL36)))</f>
        <v>108</v>
      </c>
      <c r="BE37" s="14">
        <f>BD37*VLOOKUP('Données projet'!$B$11,Paramètres!$A$1:$I$89,3,0)*VLOOKUP('Données projet'!$B$11,Paramètres!$A$1:$I$89,5,0)</f>
        <v>104.4576</v>
      </c>
      <c r="BF37" s="14">
        <f t="shared" si="37"/>
        <v>28.021248860498272</v>
      </c>
      <c r="BG37" s="22">
        <f t="shared" si="7"/>
        <v>230.73399509870114</v>
      </c>
      <c r="BH37" s="60">
        <f t="shared" si="8"/>
        <v>524.0673284320344</v>
      </c>
      <c r="BI37" s="60">
        <f ca="1">AVERAGE(OFFSET($BH$3,0,0,'Données projet'!$E$11+1,1))-AVERAGE(OFFSET($H$3,0,0,'Données projet'!$E$11+1,1))</f>
        <v>330.39429528665841</v>
      </c>
      <c r="BJ37" s="60">
        <f t="shared" si="38"/>
        <v>186.45728006007261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7.6923076923076881</v>
      </c>
      <c r="BY37" s="13">
        <f>IF('Données projet'!$A$114&gt;35,BY36+BX37-CG36,IF(A37&lt;'Données projet'!$A$114,$BV$205^A37,IF(A37='Données projet'!$A$114,'Données projet'!$B$114,BY36+BX37-CG36)))</f>
        <v>147.43589743589746</v>
      </c>
      <c r="BZ37" s="14">
        <f>BY37*VLOOKUP('Données projet'!$B$12,Paramètres!$A$1:$I$89,3,0)*VLOOKUP('Données projet'!$B$12,Paramètres!$A$1:$I$89,5,0)</f>
        <v>98.90000000000002</v>
      </c>
      <c r="CA37" s="14">
        <f t="shared" si="39"/>
        <v>26.699769255487553</v>
      </c>
      <c r="CB37" s="22">
        <f t="shared" si="10"/>
        <v>218.7529314533075</v>
      </c>
      <c r="CC37" s="60">
        <f t="shared" si="11"/>
        <v>512.08626478664087</v>
      </c>
      <c r="CD37" s="60">
        <f ca="1">AVERAGE(OFFSET($CC$3,0,0,'Données projet'!$E$12+1,1))-AVERAGE(OFFSET($H$3,0,0,'Données projet'!$E$12+1,1))</f>
        <v>212.33913923444732</v>
      </c>
      <c r="CE37" s="60">
        <f t="shared" si="40"/>
        <v>183.51194426094372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9.1999999999999993</v>
      </c>
      <c r="CT37" s="13">
        <f>IF('Données projet'!$A$140&gt;35,CT36+CS37-DB36,IF(A37&lt;'Données projet'!$A$140,$CQ$205^A37,IF(A37='Données projet'!$A$140,'Données projet'!$B$140,CT36+CS37-DB36)))</f>
        <v>180.79999999999993</v>
      </c>
      <c r="CU37" s="18">
        <f>CT37*VLOOKUP('Données projet'!$B$13,Paramètres!$A$1:$I$89,3,0)*VLOOKUP('Données projet'!$B$13,Paramètres!$A$1:$I$89,5,0)</f>
        <v>157.94687999999994</v>
      </c>
      <c r="CV37" s="14">
        <f t="shared" si="41"/>
        <v>40.379080953267056</v>
      </c>
      <c r="CW37" s="22">
        <f t="shared" si="13"/>
        <v>345.41771532693997</v>
      </c>
      <c r="CX37" s="60">
        <f t="shared" si="14"/>
        <v>638.75104866027323</v>
      </c>
      <c r="CY37" s="60">
        <f ca="1">AVERAGE(OFFSET($CX$3,0,0,'Données projet'!$E$13+1,1))-AVERAGE(OFFSET($H$3,0,0,'Données projet'!$E$13+1,1))</f>
        <v>228.0393346366489</v>
      </c>
      <c r="CZ37" s="60">
        <f t="shared" si="42"/>
        <v>238.591781509447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8</v>
      </c>
      <c r="DO37" s="13">
        <f>IF('Données projet'!$A$166&gt;35,DO36+DN37-DW36,IF(A37&lt;'Données projet'!$A$166,$DL$205^A37,IF(A37='Données projet'!$A$166,'Données projet'!$B$166,DO36+DN37-DW36)))</f>
        <v>108</v>
      </c>
      <c r="DP37" s="18">
        <f>DO37*VLOOKUP('Données projet'!$B$14,Paramètres!$A$1:$I$89,3,0)*VLOOKUP('Données projet'!$B$14,Paramètres!$A$1:$I$89,5,0)</f>
        <v>97.718399999999988</v>
      </c>
      <c r="DQ37" s="14">
        <f t="shared" si="43"/>
        <v>26.417709819192194</v>
      </c>
      <c r="DR37" s="22">
        <f t="shared" si="16"/>
        <v>216.20372460175972</v>
      </c>
      <c r="DS37" s="60">
        <f t="shared" si="17"/>
        <v>509.537057935093</v>
      </c>
      <c r="DT37" s="60">
        <f ca="1">AVERAGE(OFFSET($DS$3,0,0,'Données projet'!$E$14+1,1))-AVERAGE(OFFSET($H$3,0,0,'Données projet'!$E$14+1,1))</f>
        <v>303.73499739059076</v>
      </c>
      <c r="DU37" s="60">
        <f t="shared" si="44"/>
        <v>172.32171001882188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16.701250000000002</v>
      </c>
      <c r="EJ37" s="13">
        <f>IF('Données projet'!$A$192&gt;35,EJ36+EI37-ER36,IF(A37&lt;'Données projet'!$A$192,$EG$205^A37,IF(A37='Données projet'!$A$192,'Données projet'!$B$192,EJ36+EI37-ER36)))</f>
        <v>183.63125000000011</v>
      </c>
      <c r="EK37" s="18">
        <f>EJ37*VLOOKUP('Données projet'!$B$15,Paramètres!$A$1:$I$89,3,0)*VLOOKUP('Données projet'!$B$15,Paramètres!$A$1:$I$89,5,0)</f>
        <v>109.81148750000007</v>
      </c>
      <c r="EL37" s="14">
        <f t="shared" si="45"/>
        <v>29.286565124423376</v>
      </c>
      <c r="EM37" s="22">
        <f t="shared" si="19"/>
        <v>242.26244165420414</v>
      </c>
      <c r="EN37" s="60">
        <f t="shared" si="20"/>
        <v>535.59577498753742</v>
      </c>
      <c r="EO37" s="60">
        <f ca="1">AVERAGE(OFFSET($EN$3,0,0,'Données projet'!$E$15+1,1))-AVERAGE(OFFSET($H$3,0,0,'Données projet'!$E$15+1,1))</f>
        <v>269.94948820700841</v>
      </c>
      <c r="EP37" s="60">
        <f t="shared" si="46"/>
        <v>183.45158355135192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12.221305129485069</v>
      </c>
      <c r="EX37" s="23">
        <f>EXP(-LN(2)/2)*EX36+(1-EXP(-LN(2)/2))/(LN(2)/2)*ER37*EU37*VLOOKUP('Données projet'!$B$15,Paramètres!$A$1:$I$89,3,0)*0.475*44/12</f>
        <v>1.4095079213701389</v>
      </c>
      <c r="EY37" s="24">
        <f t="shared" si="21"/>
        <v>13.630813050855208</v>
      </c>
      <c r="EZ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9.5</v>
      </c>
      <c r="FE37" s="13">
        <f>IF('Données projet'!$A$218&gt;35,FE36+FD37-FM36,IF(A37&lt;'Données projet'!$A$218,$FB$205^A37,IF(A37='Données projet'!$A$218,'Données projet'!$B$218,FE36+FD37-FM36)))</f>
        <v>94</v>
      </c>
      <c r="FF37" s="18">
        <f>FE37*VLOOKUP('Données projet'!$B$16,Paramètres!$A$1:$I$89,3,0)*VLOOKUP('Données projet'!$B$16,Paramètres!$A$1:$I$89,5,0)</f>
        <v>56.212000000000003</v>
      </c>
      <c r="FG37" s="14">
        <f t="shared" si="47"/>
        <v>16.206939185290707</v>
      </c>
      <c r="FH37" s="22">
        <f t="shared" si="22"/>
        <v>126.12965241438131</v>
      </c>
      <c r="FI37" s="60">
        <f t="shared" si="23"/>
        <v>419.46298574771464</v>
      </c>
      <c r="FJ37" s="60">
        <f ca="1">AVERAGE(OFFSET($FI$3,0,0,'Données projet'!$E$16+1,1))-AVERAGE(OFFSET($H$3,0,0,'Données projet'!$E$16+1,1))</f>
        <v>111.24788725253484</v>
      </c>
      <c r="FK37" s="60">
        <f t="shared" si="48"/>
        <v>82.434879813357327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projet'!$B$16,Paramètres!$A$1:$I$89,3,0)*0.475*44/12</f>
        <v>0</v>
      </c>
      <c r="FR37" s="23">
        <f>EXP(-LN(2)/25)*FR36+(1-EXP(-LN(2)/25))/(LN(2)/25)*Calculateur!FM37*Calculateur!FO37*VLOOKUP('Données projet'!$B$16,Paramètres!$A$1:$I$89,3,0)*0.475*44/12</f>
        <v>0</v>
      </c>
      <c r="FS37" s="23">
        <f>EXP(-LN(2)/2)*FS36+(1-EXP(-LN(2)/2))/(LN(2)/2)*FM37*FP37*VLOOKUP('Données projet'!$B$16,Paramètres!$A$1:$I$89,3,0)*0.475*44/12</f>
        <v>0</v>
      </c>
      <c r="FT37" s="24">
        <f t="shared" si="24"/>
        <v>0</v>
      </c>
      <c r="FU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27.8</v>
      </c>
      <c r="FZ37" s="13">
        <f>IF('Données projet'!$A$244&gt;35,FZ36+FY37-GH36,IF(A37&lt;'Données projet'!$A$244,$FW$205^A37,IF(A37='Données projet'!$A$244,'Données projet'!$B$244,FZ36+FY37-GH36)))</f>
        <v>310.79999999999984</v>
      </c>
      <c r="GA37" s="18">
        <f>FZ37*VLOOKUP('Données projet'!$B$17,Paramètres!$A$1:$I$89,3,0)*VLOOKUP('Données projet'!$B$17,Paramètres!$A$1:$I$89,5,0)</f>
        <v>137.37359999999995</v>
      </c>
      <c r="GB37" s="14">
        <f t="shared" si="49"/>
        <v>35.694672579892874</v>
      </c>
      <c r="GC37" s="22">
        <f t="shared" si="25"/>
        <v>301.42724140998001</v>
      </c>
      <c r="GD37" s="60">
        <f t="shared" si="26"/>
        <v>594.76057474331333</v>
      </c>
      <c r="GE37" s="60">
        <f ca="1">AVERAGE(OFFSET($GD$3,0,0,'Données projet'!$E$17+1,1))-AVERAGE(OFFSET($H$3,0,0,'Données projet'!$E$17+1,1))</f>
        <v>323.56667371063662</v>
      </c>
      <c r="GF37" s="60">
        <f t="shared" si="50"/>
        <v>275.70373467723385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>
        <f>EXP(-LN(2)/35)*GL36+(1-EXP(-LN(2)/35))/(LN(2)/35)*GH37*GI37*VLOOKUP('Données projet'!$B$17,Paramètres!$A$1:$I$89,3,0)*0.475*44/12</f>
        <v>0</v>
      </c>
      <c r="GM37" s="23">
        <f>EXP(-LN(2)/25)*GM36+(1-EXP(-LN(2)/25))/(LN(2)/25)*Calculateur!GH37*Calculateur!GJ37*VLOOKUP('Données projet'!$B$17,Paramètres!$A$1:$I$89,3,0)*0.475*44/12</f>
        <v>0</v>
      </c>
      <c r="GN37" s="23">
        <f>EXP(-LN(2)/2)*GN36+(1-EXP(-LN(2)/2))/(LN(2)/2)*GH37*GK37*VLOOKUP('Données projet'!$B$17,Paramètres!$A$1:$I$89,3,0)*0.475*44/12</f>
        <v>0</v>
      </c>
      <c r="GO37" s="23">
        <f t="shared" si="27"/>
        <v>0</v>
      </c>
      <c r="GP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0" t="e">
        <f t="shared" si="29"/>
        <v>#N/A</v>
      </c>
      <c r="GZ37" s="60" t="e">
        <f ca="1">AVERAGE(OFFSET($GY$3,0,0,'Données projet'!$E$18+1,1))-AVERAGE(OFFSET($H$3,0,0,'Données projet'!$E$18+1,1))</f>
        <v>#N/A</v>
      </c>
      <c r="HA37" s="60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4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2">
        <f t="shared" si="32"/>
        <v>6.2470359895716463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17.737142857142853</v>
      </c>
      <c r="N38" s="14">
        <f>IF('Données projet'!$A$36&gt;35,N37+M38-V37,IF(A38&lt;'Données projet'!$A$36,$K$205^A38,IF(A38='Données projet'!$A$36,'Données projet'!$B$36,N37+M38-V37)))</f>
        <v>293.39285714285711</v>
      </c>
      <c r="O38" s="14">
        <f>N38*VLOOKUP('Données projet'!$B$9,Paramètres!$A$1:$I$89,3,0)*VLOOKUP('Données projet'!$B$9,Paramètres!$A$1:$I$89,5,0)</f>
        <v>175.44892857142858</v>
      </c>
      <c r="P38" s="14">
        <f t="shared" si="33"/>
        <v>44.308152462369684</v>
      </c>
      <c r="Q38" s="22">
        <f t="shared" si="53"/>
        <v>382.7435828005319</v>
      </c>
      <c r="R38" s="60">
        <f t="shared" si="0"/>
        <v>676.07691613386521</v>
      </c>
      <c r="S38" s="60">
        <f ca="1">AVERAGE(OFFSET($R$3,0,0,'Données projet'!$E$9+1,1))-AVERAGE(OFFSET($H$3,0,0,'Données projet'!$E$9+1,1))</f>
        <v>235.63766249714581</v>
      </c>
      <c r="T38" s="60">
        <f t="shared" si="34"/>
        <v>231.3297293785277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10.391993182304871</v>
      </c>
      <c r="AA38" s="23">
        <f>EXP(-LN(2)/25)*AA37+(1-EXP(-LN(2)/25))/(LN(2)/25)*Calculateur!V38*Calculateur!X38*VLOOKUP('Données projet'!$B$9,Paramètres!$A$1:$I$89,3,0)*0.475*44/12</f>
        <v>15.050907200268556</v>
      </c>
      <c r="AB38" s="23">
        <f>EXP(-LN(2)/2)*AB37+(1-EXP(-LN(2)/2))/(LN(2)/2)*V38*Y38*VLOOKUP('Données projet'!$B$9,Paramètres!$A$1:$I$89,3,0)*0.475*44/12</f>
        <v>1.2573122462076809</v>
      </c>
      <c r="AC38" s="24">
        <f t="shared" si="3"/>
        <v>26.700212628781109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116</v>
      </c>
      <c r="AG38" s="13">
        <f>VLOOKUP(A38,'Données projet'!$A$61:$I$81,9,0)</f>
        <v>8</v>
      </c>
      <c r="AH38" s="13">
        <f t="array" ref="AH38">INDEX(AG:AG,MIN(IF(ISNUMBER(AG38:AG234),ROW(AG38:AG234),"")))</f>
        <v>8</v>
      </c>
      <c r="AI38" s="14">
        <f>IF('Données projet'!$A$62&gt;35,AI37+AH38-AQ37,IF(A38&lt;'Données projet'!$A$62,$AF$205^A38,IF(A38='Données projet'!$A$62,'Données projet'!$B$62,AI37+AH38-AQ37)))</f>
        <v>116</v>
      </c>
      <c r="AJ38" s="14">
        <f>AI38*VLOOKUP('Données projet'!$B$10,Paramètres!$A$1:$I$89,3,0)*VLOOKUP('Données projet'!$B$10,Paramètres!$A$1:$I$89,5,0)</f>
        <v>117.62400000000001</v>
      </c>
      <c r="AK38" s="14">
        <f t="shared" si="35"/>
        <v>31.120192961985413</v>
      </c>
      <c r="AL38" s="22">
        <f t="shared" si="4"/>
        <v>259.06280274212457</v>
      </c>
      <c r="AM38" s="60">
        <f t="shared" si="5"/>
        <v>552.39613607545789</v>
      </c>
      <c r="AN38" s="60">
        <f ca="1">AVERAGE(OFFSET($AM$3,0,0,'Données projet'!$E$10+1,1))-AVERAGE(OFFSET($H$3,0,0,'Données projet'!$E$10+1,1))</f>
        <v>350.3652766444938</v>
      </c>
      <c r="AO38" s="60">
        <f t="shared" si="36"/>
        <v>197.04549436738586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6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116</v>
      </c>
      <c r="BB38" s="13">
        <f>VLOOKUP(A38,'Données projet'!$A$87:$I$107,9,0)</f>
        <v>8</v>
      </c>
      <c r="BC38" s="13">
        <f t="array" ref="BC38">INDEX(BB:BB,MIN(IF(ISNUMBER(BB38:BB234),ROW(BB38:BB234),"")))</f>
        <v>8</v>
      </c>
      <c r="BD38" s="13">
        <f>IF('Données projet'!$A$88&gt;35,BD37+BC38-BL37,IF(A38&lt;'Données projet'!$A$88,$BA$205^A38,IF(A38='Données projet'!$A$88,'Données projet'!$B$88,BD37+BC38-BL37)))</f>
        <v>116</v>
      </c>
      <c r="BE38" s="14">
        <f>BD38*VLOOKUP('Données projet'!$B$11,Paramètres!$A$1:$I$89,3,0)*VLOOKUP('Données projet'!$B$11,Paramètres!$A$1:$I$89,5,0)</f>
        <v>112.1952</v>
      </c>
      <c r="BF38" s="14">
        <f t="shared" si="37"/>
        <v>29.847594514573263</v>
      </c>
      <c r="BG38" s="22">
        <f t="shared" si="7"/>
        <v>247.39120044621509</v>
      </c>
      <c r="BH38" s="60">
        <f t="shared" si="8"/>
        <v>540.72453377954844</v>
      </c>
      <c r="BI38" s="60">
        <f ca="1">AVERAGE(OFFSET($BH$3,0,0,'Données projet'!$E$11+1,1))-AVERAGE(OFFSET($H$3,0,0,'Données projet'!$E$11+1,1))</f>
        <v>330.39429528665841</v>
      </c>
      <c r="BJ38" s="60">
        <f t="shared" si="38"/>
        <v>186.45728006007261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155.12820512820511</v>
      </c>
      <c r="BW38" s="13">
        <f>VLOOKUP(A38,'Données projet'!$A$113:$I$133,9,0)</f>
        <v>7.6923076923076881</v>
      </c>
      <c r="BX38" s="13">
        <f t="array" ref="BX38">INDEX(BW:BW,MIN(IF(ISNUMBER(BW38:BW234),ROW(BW38:BW234),"")))</f>
        <v>7.6923076923076881</v>
      </c>
      <c r="BY38" s="13">
        <f>IF('Données projet'!$A$114&gt;35,BY37+BX38-CG37,IF(A38&lt;'Données projet'!$A$114,$BV$205^A38,IF(A38='Données projet'!$A$114,'Données projet'!$B$114,BY37+BX38-CG37)))</f>
        <v>155.12820512820514</v>
      </c>
      <c r="BZ38" s="14">
        <f>BY38*VLOOKUP('Données projet'!$B$12,Paramètres!$A$1:$I$89,3,0)*VLOOKUP('Données projet'!$B$12,Paramètres!$A$1:$I$89,5,0)</f>
        <v>104.06</v>
      </c>
      <c r="CA38" s="14">
        <f t="shared" si="39"/>
        <v>27.926984861261673</v>
      </c>
      <c r="CB38" s="22">
        <f t="shared" si="10"/>
        <v>229.8773319666974</v>
      </c>
      <c r="CC38" s="60">
        <f t="shared" si="11"/>
        <v>523.21066530003077</v>
      </c>
      <c r="CD38" s="60">
        <f ca="1">AVERAGE(OFFSET($CC$3,0,0,'Données projet'!$E$12+1,1))-AVERAGE(OFFSET($H$3,0,0,'Données projet'!$E$12+1,1))</f>
        <v>212.33913923444732</v>
      </c>
      <c r="CE38" s="60">
        <f t="shared" si="40"/>
        <v>183.51194426094372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190</v>
      </c>
      <c r="CR38" s="13">
        <f>VLOOKUP(A38,'Données projet'!$A$139:$I$159,9,0)</f>
        <v>9.1999999999999993</v>
      </c>
      <c r="CS38" s="13">
        <f t="array" ref="CS38">INDEX(CR:CR,MIN(IF(ISNUMBER(CR38:CR234),ROW(CR38:CR234),"")))</f>
        <v>9.1999999999999993</v>
      </c>
      <c r="CT38" s="13">
        <f>IF('Données projet'!$A$140&gt;35,CT37+CS38-DB37,IF(A38&lt;'Données projet'!$A$140,$CQ$205^A38,IF(A38='Données projet'!$A$140,'Données projet'!$B$140,CT37+CS38-DB37)))</f>
        <v>189.99999999999991</v>
      </c>
      <c r="CU38" s="18">
        <f>CT38*VLOOKUP('Données projet'!$B$13,Paramètres!$A$1:$I$89,3,0)*VLOOKUP('Données projet'!$B$13,Paramètres!$A$1:$I$89,5,0)</f>
        <v>165.98399999999995</v>
      </c>
      <c r="CV38" s="14">
        <f t="shared" si="41"/>
        <v>42.189325525922243</v>
      </c>
      <c r="CW38" s="22">
        <f t="shared" si="13"/>
        <v>362.56854195764782</v>
      </c>
      <c r="CX38" s="60">
        <f t="shared" si="14"/>
        <v>655.90187529098114</v>
      </c>
      <c r="CY38" s="60">
        <f ca="1">AVERAGE(OFFSET($CX$3,0,0,'Données projet'!$E$13+1,1))-AVERAGE(OFFSET($H$3,0,0,'Données projet'!$E$13+1,1))</f>
        <v>228.0393346366489</v>
      </c>
      <c r="CZ38" s="60">
        <f t="shared" si="42"/>
        <v>238.591781509447</v>
      </c>
      <c r="DA38" s="16">
        <f>IF(ISNA(VLOOKUP(A38,'Données projet'!$A$139:$I$159,3,0)),0,VLOOKUP(A38,'Données projet'!$A$139:$I$159,3,0))</f>
        <v>2</v>
      </c>
      <c r="DB38" s="16">
        <f>IF(ISNA(VLOOKUP(A38,'Données projet'!$A$139:$I$159,4,0)),0,VLOOKUP(A38,'Données projet'!$A$139:$I$159,4,0))</f>
        <v>61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116</v>
      </c>
      <c r="DM38" s="13">
        <f>VLOOKUP(A38,'Données projet'!$A$165:$I$185,9,0)</f>
        <v>8</v>
      </c>
      <c r="DN38" s="13">
        <f t="array" ref="DN38">INDEX(DM:DM,MIN(IF(ISNUMBER(DM38:DM234),ROW(DM38:DM234),"")))</f>
        <v>8</v>
      </c>
      <c r="DO38" s="13">
        <f>IF('Données projet'!$A$166&gt;35,DO37+DN38-DW37,IF(A38&lt;'Données projet'!$A$166,$DL$205^A38,IF(A38='Données projet'!$A$166,'Données projet'!$B$166,DO37+DN38-DW37)))</f>
        <v>116</v>
      </c>
      <c r="DP38" s="18">
        <f>DO38*VLOOKUP('Données projet'!$B$14,Paramètres!$A$1:$I$89,3,0)*VLOOKUP('Données projet'!$B$14,Paramètres!$A$1:$I$89,5,0)</f>
        <v>104.9568</v>
      </c>
      <c r="DQ38" s="14">
        <f t="shared" si="43"/>
        <v>28.139541339232373</v>
      </c>
      <c r="DR38" s="22">
        <f t="shared" si="16"/>
        <v>231.8094611658297</v>
      </c>
      <c r="DS38" s="60">
        <f t="shared" si="17"/>
        <v>525.14279449916307</v>
      </c>
      <c r="DT38" s="60">
        <f ca="1">AVERAGE(OFFSET($DS$3,0,0,'Données projet'!$E$14+1,1))-AVERAGE(OFFSET($H$3,0,0,'Données projet'!$E$14+1,1))</f>
        <v>303.73499739059076</v>
      </c>
      <c r="DU38" s="60">
        <f t="shared" si="44"/>
        <v>172.32171001882188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16.701250000000002</v>
      </c>
      <c r="EJ38" s="13">
        <f>IF('Données projet'!$A$192&gt;35,EJ37+EI38-ER37,IF(A38&lt;'Données projet'!$A$192,$EG$205^A38,IF(A38='Données projet'!$A$192,'Données projet'!$B$192,EJ37+EI38-ER37)))</f>
        <v>200.3325000000001</v>
      </c>
      <c r="EK38" s="18">
        <f>EJ38*VLOOKUP('Données projet'!$B$15,Paramètres!$A$1:$I$89,3,0)*VLOOKUP('Données projet'!$B$15,Paramètres!$A$1:$I$89,5,0)</f>
        <v>119.79883500000007</v>
      </c>
      <c r="EL38" s="14">
        <f t="shared" si="45"/>
        <v>31.628076280921128</v>
      </c>
      <c r="EM38" s="22">
        <f t="shared" si="19"/>
        <v>263.73520381427107</v>
      </c>
      <c r="EN38" s="60">
        <f t="shared" si="20"/>
        <v>557.06853714760439</v>
      </c>
      <c r="EO38" s="60">
        <f ca="1">AVERAGE(OFFSET($EN$3,0,0,'Données projet'!$E$15+1,1))-AVERAGE(OFFSET($H$3,0,0,'Données projet'!$E$15+1,1))</f>
        <v>269.94948820700841</v>
      </c>
      <c r="EP38" s="60">
        <f t="shared" si="46"/>
        <v>183.45158355135192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11.887112898028795</v>
      </c>
      <c r="EX38" s="23">
        <f>EXP(-LN(2)/2)*EX37+(1-EXP(-LN(2)/2))/(LN(2)/2)*ER38*EU38*VLOOKUP('Données projet'!$B$15,Paramètres!$A$1:$I$89,3,0)*0.475*44/12</f>
        <v>0.99667260933698032</v>
      </c>
      <c r="EY38" s="24">
        <f t="shared" si="21"/>
        <v>12.883785507365776</v>
      </c>
      <c r="EZ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9.5</v>
      </c>
      <c r="FE38" s="13">
        <f>IF('Données projet'!$A$218&gt;35,FE37+FD38-FM37,IF(A38&lt;'Données projet'!$A$218,$FB$205^A38,IF(A38='Données projet'!$A$218,'Données projet'!$B$218,FE37+FD38-FM37)))</f>
        <v>103.5</v>
      </c>
      <c r="FF38" s="18">
        <f>FE38*VLOOKUP('Données projet'!$B$16,Paramètres!$A$1:$I$89,3,0)*VLOOKUP('Données projet'!$B$16,Paramètres!$A$1:$I$89,5,0)</f>
        <v>61.893000000000001</v>
      </c>
      <c r="FG38" s="14">
        <f t="shared" si="47"/>
        <v>17.646010126491074</v>
      </c>
      <c r="FH38" s="22">
        <f t="shared" si="22"/>
        <v>138.53044263697197</v>
      </c>
      <c r="FI38" s="60">
        <f t="shared" si="23"/>
        <v>431.86377597030526</v>
      </c>
      <c r="FJ38" s="60">
        <f ca="1">AVERAGE(OFFSET($FI$3,0,0,'Données projet'!$E$16+1,1))-AVERAGE(OFFSET($H$3,0,0,'Données projet'!$E$16+1,1))</f>
        <v>111.24788725253484</v>
      </c>
      <c r="FK38" s="60">
        <f t="shared" si="48"/>
        <v>82.434879813357327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projet'!$B$16,Paramètres!$A$1:$I$89,3,0)*0.475*44/12</f>
        <v>0</v>
      </c>
      <c r="FR38" s="23">
        <f>EXP(-LN(2)/25)*FR37+(1-EXP(-LN(2)/25))/(LN(2)/25)*Calculateur!FM38*Calculateur!FO38*VLOOKUP('Données projet'!$B$16,Paramètres!$A$1:$I$89,3,0)*0.475*44/12</f>
        <v>0</v>
      </c>
      <c r="FS38" s="23">
        <f>EXP(-LN(2)/2)*FS37+(1-EXP(-LN(2)/2))/(LN(2)/2)*FM38*FP38*VLOOKUP('Données projet'!$B$16,Paramètres!$A$1:$I$89,3,0)*0.475*44/12</f>
        <v>0</v>
      </c>
      <c r="FT38" s="24">
        <f t="shared" si="24"/>
        <v>0</v>
      </c>
      <c r="FU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27.8</v>
      </c>
      <c r="FZ38" s="13">
        <f>IF('Données projet'!$A$244&gt;35,FZ37+FY38-GH37,IF(A38&lt;'Données projet'!$A$244,$FW$205^A38,IF(A38='Données projet'!$A$244,'Données projet'!$B$244,FZ37+FY38-GH37)))</f>
        <v>338.59999999999985</v>
      </c>
      <c r="GA38" s="18">
        <f>FZ38*VLOOKUP('Données projet'!$B$17,Paramètres!$A$1:$I$89,3,0)*VLOOKUP('Données projet'!$B$17,Paramètres!$A$1:$I$89,5,0)</f>
        <v>149.66119999999995</v>
      </c>
      <c r="GB38" s="14">
        <f t="shared" si="49"/>
        <v>38.501581975462315</v>
      </c>
      <c r="GC38" s="22">
        <f t="shared" si="25"/>
        <v>327.71684527393012</v>
      </c>
      <c r="GD38" s="60">
        <f t="shared" si="26"/>
        <v>621.05017860726343</v>
      </c>
      <c r="GE38" s="60">
        <f ca="1">AVERAGE(OFFSET($GD$3,0,0,'Données projet'!$E$17+1,1))-AVERAGE(OFFSET($H$3,0,0,'Données projet'!$E$17+1,1))</f>
        <v>323.56667371063662</v>
      </c>
      <c r="GF38" s="60">
        <f t="shared" si="50"/>
        <v>275.70373467723385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>
        <f>EXP(-LN(2)/35)*GL37+(1-EXP(-LN(2)/35))/(LN(2)/35)*GH38*GI38*VLOOKUP('Données projet'!$B$17,Paramètres!$A$1:$I$89,3,0)*0.475*44/12</f>
        <v>0</v>
      </c>
      <c r="GM38" s="23">
        <f>EXP(-LN(2)/25)*GM37+(1-EXP(-LN(2)/25))/(LN(2)/25)*Calculateur!GH38*Calculateur!GJ38*VLOOKUP('Données projet'!$B$17,Paramètres!$A$1:$I$89,3,0)*0.475*44/12</f>
        <v>0</v>
      </c>
      <c r="GN38" s="23">
        <f>EXP(-LN(2)/2)*GN37+(1-EXP(-LN(2)/2))/(LN(2)/2)*GH38*GK38*VLOOKUP('Données projet'!$B$17,Paramètres!$A$1:$I$89,3,0)*0.475*44/12</f>
        <v>0</v>
      </c>
      <c r="GO38" s="23">
        <f t="shared" si="27"/>
        <v>0</v>
      </c>
      <c r="GP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0" t="e">
        <f t="shared" si="29"/>
        <v>#N/A</v>
      </c>
      <c r="GZ38" s="60" t="e">
        <f ca="1">AVERAGE(OFFSET($GY$3,0,0,'Données projet'!$E$18+1,1))-AVERAGE(OFFSET($H$3,0,0,'Données projet'!$E$18+1,1))</f>
        <v>#N/A</v>
      </c>
      <c r="HA38" s="60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4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2">
        <f t="shared" si="32"/>
        <v>6.4044873715575248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>
        <f>VLOOKUP(A39,'Données projet'!$A$35:$I$55,2,0)</f>
        <v>311.13</v>
      </c>
      <c r="L39" s="13">
        <f>VLOOKUP(A39,'Données projet'!$A$35:$I$55,9,0)</f>
        <v>17.737142857142853</v>
      </c>
      <c r="M39" s="13">
        <f t="array" ref="M39">INDEX(L:L,MIN(IF(ISNUMBER(L39:L235),ROW(L39:L235),"")))</f>
        <v>17.737142857142853</v>
      </c>
      <c r="N39" s="14">
        <f>IF('Données projet'!$A$36&gt;35,N38+M39-V38,IF(A39&lt;'Données projet'!$A$36,$K$205^A39,IF(A39='Données projet'!$A$36,'Données projet'!$B$36,N38+M39-V38)))</f>
        <v>311.12999999999994</v>
      </c>
      <c r="O39" s="14">
        <f>N39*VLOOKUP('Données projet'!$B$9,Paramètres!$A$1:$I$89,3,0)*VLOOKUP('Données projet'!$B$9,Paramètres!$A$1:$I$89,5,0)</f>
        <v>186.05573999999996</v>
      </c>
      <c r="P39" s="14">
        <f t="shared" si="33"/>
        <v>46.66687117215772</v>
      </c>
      <c r="Q39" s="22">
        <f t="shared" si="53"/>
        <v>405.32521445817457</v>
      </c>
      <c r="R39" s="60">
        <f t="shared" si="0"/>
        <v>698.65854779150789</v>
      </c>
      <c r="S39" s="60">
        <f ca="1">AVERAGE(OFFSET($R$3,0,0,'Données projet'!$E$9+1,1))-AVERAGE(OFFSET($H$3,0,0,'Données projet'!$E$9+1,1))</f>
        <v>235.63766249714581</v>
      </c>
      <c r="T39" s="60">
        <f t="shared" si="34"/>
        <v>231.3297293785277</v>
      </c>
      <c r="U39" s="16">
        <f>IF(ISNA(VLOOKUP(A39,'Données projet'!$A$35:$I$55,3,0)),0,VLOOKUP(A39,'Données projet'!$A$35:$I$55,3,0))</f>
        <v>4</v>
      </c>
      <c r="V39" s="16">
        <f>IF(ISNA(VLOOKUP(A39,'Données projet'!$A$35:$I$55,4,0)),0,VLOOKUP(A39,'Données projet'!$A$35:$I$55,4,0))</f>
        <v>76.069999999999993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10.188212534489839</v>
      </c>
      <c r="AA39" s="23">
        <f>EXP(-LN(2)/25)*AA38+(1-EXP(-LN(2)/25))/(LN(2)/25)*Calculateur!V39*Calculateur!X39*VLOOKUP('Données projet'!$B$9,Paramètres!$A$1:$I$89,3,0)*0.475*44/12</f>
        <v>14.639339351384402</v>
      </c>
      <c r="AB39" s="23">
        <f>EXP(-LN(2)/2)*AB38+(1-EXP(-LN(2)/2))/(LN(2)/2)*V39*Y39*VLOOKUP('Données projet'!$B$9,Paramètres!$A$1:$I$89,3,0)*0.475*44/12</f>
        <v>0.88905401536234119</v>
      </c>
      <c r="AC39" s="24">
        <f t="shared" si="3"/>
        <v>25.716605901236584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8.4</v>
      </c>
      <c r="AI39" s="14">
        <f>IF('Données projet'!$A$62&gt;35,AI38+AH39-AQ38,IF(A39&lt;'Données projet'!$A$62,$AF$205^A39,IF(A39='Données projet'!$A$62,'Données projet'!$B$62,AI38+AH39-AQ38)))</f>
        <v>124.4</v>
      </c>
      <c r="AJ39" s="14">
        <f>AI39*VLOOKUP('Données projet'!$B$10,Paramètres!$A$1:$I$89,3,0)*VLOOKUP('Données projet'!$B$10,Paramètres!$A$1:$I$89,5,0)</f>
        <v>126.1416</v>
      </c>
      <c r="AK39" s="14">
        <f t="shared" si="35"/>
        <v>33.10323903126482</v>
      </c>
      <c r="AL39" s="22">
        <f t="shared" si="4"/>
        <v>277.35142797945286</v>
      </c>
      <c r="AM39" s="60">
        <f t="shared" si="5"/>
        <v>570.68476131278612</v>
      </c>
      <c r="AN39" s="60">
        <f ca="1">AVERAGE(OFFSET($AM$3,0,0,'Données projet'!$E$10+1,1))-AVERAGE(OFFSET($H$3,0,0,'Données projet'!$E$10+1,1))</f>
        <v>350.3652766444938</v>
      </c>
      <c r="AO39" s="60">
        <f t="shared" si="36"/>
        <v>197.04549436738586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6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8.4</v>
      </c>
      <c r="BD39" s="13">
        <f>IF('Données projet'!$A$88&gt;35,BD38+BC39-BL38,IF(A39&lt;'Données projet'!$A$88,$BA$205^A39,IF(A39='Données projet'!$A$88,'Données projet'!$B$88,BD38+BC39-BL38)))</f>
        <v>124.4</v>
      </c>
      <c r="BE39" s="14">
        <f>BD39*VLOOKUP('Données projet'!$B$11,Paramètres!$A$1:$I$89,3,0)*VLOOKUP('Données projet'!$B$11,Paramètres!$A$1:$I$89,5,0)</f>
        <v>120.31968000000001</v>
      </c>
      <c r="BF39" s="14">
        <f t="shared" si="37"/>
        <v>31.74954785566829</v>
      </c>
      <c r="BG39" s="22">
        <f t="shared" si="7"/>
        <v>264.85390518195555</v>
      </c>
      <c r="BH39" s="60">
        <f t="shared" si="8"/>
        <v>558.18723851528887</v>
      </c>
      <c r="BI39" s="60">
        <f ca="1">AVERAGE(OFFSET($BH$3,0,0,'Données projet'!$E$11+1,1))-AVERAGE(OFFSET($H$3,0,0,'Données projet'!$E$11+1,1))</f>
        <v>330.39429528665841</v>
      </c>
      <c r="BJ39" s="60">
        <f t="shared" si="38"/>
        <v>186.45728006007261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7.1794871794871824</v>
      </c>
      <c r="BY39" s="13">
        <f>IF('Données projet'!$A$114&gt;35,BY38+BX39-CG38,IF(A39&lt;'Données projet'!$A$114,$BV$205^A39,IF(A39='Données projet'!$A$114,'Données projet'!$B$114,BY38+BX39-CG38)))</f>
        <v>162.30769230769232</v>
      </c>
      <c r="BZ39" s="14">
        <f>BY39*VLOOKUP('Données projet'!$B$12,Paramètres!$A$1:$I$89,3,0)*VLOOKUP('Données projet'!$B$12,Paramètres!$A$1:$I$89,5,0)</f>
        <v>108.87600000000002</v>
      </c>
      <c r="CA39" s="14">
        <f t="shared" si="39"/>
        <v>29.066003313709242</v>
      </c>
      <c r="CB39" s="22">
        <f t="shared" si="10"/>
        <v>240.24898910471029</v>
      </c>
      <c r="CC39" s="60">
        <f t="shared" si="11"/>
        <v>533.58232243804355</v>
      </c>
      <c r="CD39" s="60">
        <f ca="1">AVERAGE(OFFSET($CC$3,0,0,'Données projet'!$E$12+1,1))-AVERAGE(OFFSET($H$3,0,0,'Données projet'!$E$12+1,1))</f>
        <v>212.33913923444732</v>
      </c>
      <c r="CE39" s="60">
        <f t="shared" si="40"/>
        <v>183.51194426094372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8.1999999999999993</v>
      </c>
      <c r="CT39" s="13">
        <f>IF('Données projet'!$A$140&gt;35,CT38+CS39-DB38,IF(A39&lt;'Données projet'!$A$140,$CQ$205^A39,IF(A39='Données projet'!$A$140,'Données projet'!$B$140,CT38+CS39-DB38)))</f>
        <v>137.1999999999999</v>
      </c>
      <c r="CU39" s="18">
        <f>CT39*VLOOKUP('Données projet'!$B$13,Paramètres!$A$1:$I$89,3,0)*VLOOKUP('Données projet'!$B$13,Paramètres!$A$1:$I$89,5,0)</f>
        <v>119.85791999999992</v>
      </c>
      <c r="CV39" s="14">
        <f t="shared" si="41"/>
        <v>31.641859182846865</v>
      </c>
      <c r="CW39" s="22">
        <f t="shared" si="13"/>
        <v>263.86211541012477</v>
      </c>
      <c r="CX39" s="60">
        <f t="shared" si="14"/>
        <v>557.19544874345809</v>
      </c>
      <c r="CY39" s="60">
        <f ca="1">AVERAGE(OFFSET($CX$3,0,0,'Données projet'!$E$13+1,1))-AVERAGE(OFFSET($H$3,0,0,'Données projet'!$E$13+1,1))</f>
        <v>228.0393346366489</v>
      </c>
      <c r="CZ39" s="60">
        <f t="shared" si="42"/>
        <v>238.591781509447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8.4</v>
      </c>
      <c r="DO39" s="13">
        <f>IF('Données projet'!$A$166&gt;35,DO38+DN39-DW38,IF(A39&lt;'Données projet'!$A$166,$DL$205^A39,IF(A39='Données projet'!$A$166,'Données projet'!$B$166,DO38+DN39-DW38)))</f>
        <v>124.4</v>
      </c>
      <c r="DP39" s="18">
        <f>DO39*VLOOKUP('Données projet'!$B$14,Paramètres!$A$1:$I$89,3,0)*VLOOKUP('Données projet'!$B$14,Paramètres!$A$1:$I$89,5,0)</f>
        <v>112.55712000000001</v>
      </c>
      <c r="DQ39" s="14">
        <f t="shared" si="43"/>
        <v>29.932653834140599</v>
      </c>
      <c r="DR39" s="22">
        <f t="shared" si="16"/>
        <v>248.16968942779488</v>
      </c>
      <c r="DS39" s="60">
        <f t="shared" si="17"/>
        <v>541.50302276112825</v>
      </c>
      <c r="DT39" s="60">
        <f ca="1">AVERAGE(OFFSET($DS$3,0,0,'Données projet'!$E$14+1,1))-AVERAGE(OFFSET($H$3,0,0,'Données projet'!$E$14+1,1))</f>
        <v>303.73499739059076</v>
      </c>
      <c r="DU39" s="60">
        <f t="shared" si="44"/>
        <v>172.32171001882188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16.701250000000002</v>
      </c>
      <c r="EJ39" s="13">
        <f>IF('Données projet'!$A$192&gt;35,EJ38+EI39-ER38,IF(A39&lt;'Données projet'!$A$192,$EG$205^A39,IF(A39='Données projet'!$A$192,'Données projet'!$B$192,EJ38+EI39-ER38)))</f>
        <v>217.03375000000011</v>
      </c>
      <c r="EK39" s="18">
        <f>EJ39*VLOOKUP('Données projet'!$B$15,Paramètres!$A$1:$I$89,3,0)*VLOOKUP('Données projet'!$B$15,Paramètres!$A$1:$I$89,5,0)</f>
        <v>129.78618250000008</v>
      </c>
      <c r="EL39" s="14">
        <f t="shared" si="45"/>
        <v>33.946947653586072</v>
      </c>
      <c r="EM39" s="22">
        <f t="shared" si="19"/>
        <v>285.16853501749591</v>
      </c>
      <c r="EN39" s="60">
        <f t="shared" si="20"/>
        <v>578.50186835082923</v>
      </c>
      <c r="EO39" s="60">
        <f ca="1">AVERAGE(OFFSET($EN$3,0,0,'Données projet'!$E$15+1,1))-AVERAGE(OFFSET($H$3,0,0,'Données projet'!$E$15+1,1))</f>
        <v>269.94948820700841</v>
      </c>
      <c r="EP39" s="60">
        <f t="shared" si="46"/>
        <v>183.45158355135192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11.562059170716099</v>
      </c>
      <c r="EX39" s="23">
        <f>EXP(-LN(2)/2)*EX38+(1-EXP(-LN(2)/2))/(LN(2)/2)*ER39*EU39*VLOOKUP('Données projet'!$B$15,Paramètres!$A$1:$I$89,3,0)*0.475*44/12</f>
        <v>0.70475396068506957</v>
      </c>
      <c r="EY39" s="24">
        <f t="shared" si="21"/>
        <v>12.266813131401168</v>
      </c>
      <c r="EZ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9.5</v>
      </c>
      <c r="FE39" s="13">
        <f>IF('Données projet'!$A$218&gt;35,FE38+FD39-FM38,IF(A39&lt;'Données projet'!$A$218,$FB$205^A39,IF(A39='Données projet'!$A$218,'Données projet'!$B$218,FE38+FD39-FM38)))</f>
        <v>113</v>
      </c>
      <c r="FF39" s="18">
        <f>FE39*VLOOKUP('Données projet'!$B$16,Paramètres!$A$1:$I$89,3,0)*VLOOKUP('Données projet'!$B$16,Paramètres!$A$1:$I$89,5,0)</f>
        <v>67.574000000000012</v>
      </c>
      <c r="FG39" s="14">
        <f t="shared" si="47"/>
        <v>19.069765110231607</v>
      </c>
      <c r="FH39" s="22">
        <f t="shared" si="22"/>
        <v>150.90455756698671</v>
      </c>
      <c r="FI39" s="60">
        <f t="shared" si="23"/>
        <v>444.23789090032005</v>
      </c>
      <c r="FJ39" s="60">
        <f ca="1">AVERAGE(OFFSET($FI$3,0,0,'Données projet'!$E$16+1,1))-AVERAGE(OFFSET($H$3,0,0,'Données projet'!$E$16+1,1))</f>
        <v>111.24788725253484</v>
      </c>
      <c r="FK39" s="60">
        <f t="shared" si="48"/>
        <v>82.434879813357327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projet'!$B$16,Paramètres!$A$1:$I$89,3,0)*0.475*44/12</f>
        <v>0</v>
      </c>
      <c r="FR39" s="23">
        <f>EXP(-LN(2)/25)*FR38+(1-EXP(-LN(2)/25))/(LN(2)/25)*Calculateur!FM39*Calculateur!FO39*VLOOKUP('Données projet'!$B$16,Paramètres!$A$1:$I$89,3,0)*0.475*44/12</f>
        <v>0</v>
      </c>
      <c r="FS39" s="23">
        <f>EXP(-LN(2)/2)*FS38+(1-EXP(-LN(2)/2))/(LN(2)/2)*FM39*FP39*VLOOKUP('Données projet'!$B$16,Paramètres!$A$1:$I$89,3,0)*0.475*44/12</f>
        <v>0</v>
      </c>
      <c r="FT39" s="24">
        <f t="shared" si="24"/>
        <v>0</v>
      </c>
      <c r="FU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27.8</v>
      </c>
      <c r="FZ39" s="13">
        <f>IF('Données projet'!$A$244&gt;35,FZ38+FY39-GH38,IF(A39&lt;'Données projet'!$A$244,$FW$205^A39,IF(A39='Données projet'!$A$244,'Données projet'!$B$244,FZ38+FY39-GH38)))</f>
        <v>366.39999999999986</v>
      </c>
      <c r="GA39" s="18">
        <f>FZ39*VLOOKUP('Données projet'!$B$17,Paramètres!$A$1:$I$89,3,0)*VLOOKUP('Données projet'!$B$17,Paramètres!$A$1:$I$89,5,0)</f>
        <v>161.94879999999995</v>
      </c>
      <c r="GB39" s="14">
        <f t="shared" si="49"/>
        <v>41.281762498122319</v>
      </c>
      <c r="GC39" s="22">
        <f t="shared" si="25"/>
        <v>353.95989635089626</v>
      </c>
      <c r="GD39" s="60">
        <f t="shared" si="26"/>
        <v>647.29322968422957</v>
      </c>
      <c r="GE39" s="60">
        <f ca="1">AVERAGE(OFFSET($GD$3,0,0,'Données projet'!$E$17+1,1))-AVERAGE(OFFSET($H$3,0,0,'Données projet'!$E$17+1,1))</f>
        <v>323.56667371063662</v>
      </c>
      <c r="GF39" s="60">
        <f t="shared" si="50"/>
        <v>275.70373467723385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>
        <f>EXP(-LN(2)/35)*GL38+(1-EXP(-LN(2)/35))/(LN(2)/35)*GH39*GI39*VLOOKUP('Données projet'!$B$17,Paramètres!$A$1:$I$89,3,0)*0.475*44/12</f>
        <v>0</v>
      </c>
      <c r="GM39" s="23">
        <f>EXP(-LN(2)/25)*GM38+(1-EXP(-LN(2)/25))/(LN(2)/25)*Calculateur!GH39*Calculateur!GJ39*VLOOKUP('Données projet'!$B$17,Paramètres!$A$1:$I$89,3,0)*0.475*44/12</f>
        <v>0</v>
      </c>
      <c r="GN39" s="23">
        <f>EXP(-LN(2)/2)*GN38+(1-EXP(-LN(2)/2))/(LN(2)/2)*GH39*GK39*VLOOKUP('Données projet'!$B$17,Paramètres!$A$1:$I$89,3,0)*0.475*44/12</f>
        <v>0</v>
      </c>
      <c r="GO39" s="23">
        <f t="shared" si="27"/>
        <v>0</v>
      </c>
      <c r="GP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0" t="e">
        <f t="shared" si="29"/>
        <v>#N/A</v>
      </c>
      <c r="GZ39" s="60" t="e">
        <f ca="1">AVERAGE(OFFSET($GY$3,0,0,'Données projet'!$E$18+1,1))-AVERAGE(OFFSET($H$3,0,0,'Données projet'!$E$18+1,1))</f>
        <v>#N/A</v>
      </c>
      <c r="HA39" s="60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4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2">
        <f t="shared" si="32"/>
        <v>6.5614304138099282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16.536250000000003</v>
      </c>
      <c r="N40" s="14">
        <f>IF('Données projet'!$A$36&gt;35,N39+M40-V39,IF(A40&lt;'Données projet'!$A$36,$K$205^A40,IF(A40='Données projet'!$A$36,'Données projet'!$B$36,N39+M40-V39)))</f>
        <v>251.59624999999994</v>
      </c>
      <c r="O40" s="14">
        <f>N40*VLOOKUP('Données projet'!$B$9,Paramètres!$A$1:$I$89,3,0)*VLOOKUP('Données projet'!$B$9,Paramètres!$A$1:$I$89,5,0)</f>
        <v>150.45455749999999</v>
      </c>
      <c r="P40" s="14">
        <f t="shared" si="33"/>
        <v>38.681867245543785</v>
      </c>
      <c r="Q40" s="22">
        <f t="shared" si="53"/>
        <v>329.4126064318221</v>
      </c>
      <c r="R40" s="60">
        <f t="shared" si="0"/>
        <v>622.74593976515541</v>
      </c>
      <c r="S40" s="60">
        <f ca="1">AVERAGE(OFFSET($R$3,0,0,'Données projet'!$E$9+1,1))-AVERAGE(OFFSET($H$3,0,0,'Données projet'!$E$9+1,1))</f>
        <v>235.63766249714581</v>
      </c>
      <c r="T40" s="60">
        <f t="shared" si="34"/>
        <v>231.3297293785277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9.9884279008845382</v>
      </c>
      <c r="AA40" s="23">
        <f>EXP(-LN(2)/25)*AA39+(1-EXP(-LN(2)/25))/(LN(2)/25)*Calculateur!V40*Calculateur!X40*VLOOKUP('Données projet'!$B$9,Paramètres!$A$1:$I$89,3,0)*0.475*44/12</f>
        <v>14.239025846971398</v>
      </c>
      <c r="AB40" s="23">
        <f>EXP(-LN(2)/2)*AB39+(1-EXP(-LN(2)/2))/(LN(2)/2)*V40*Y40*VLOOKUP('Données projet'!$B$9,Paramètres!$A$1:$I$89,3,0)*0.475*44/12</f>
        <v>0.62865612310384045</v>
      </c>
      <c r="AC40" s="24">
        <f t="shared" si="3"/>
        <v>24.856109870959777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8.4</v>
      </c>
      <c r="AI40" s="14">
        <f>IF('Données projet'!$A$62&gt;35,AI39+AH40-AQ39,IF(A40&lt;'Données projet'!$A$62,$AF$205^A40,IF(A40='Données projet'!$A$62,'Données projet'!$B$62,AI39+AH40-AQ39)))</f>
        <v>132.80000000000001</v>
      </c>
      <c r="AJ40" s="14">
        <f>AI40*VLOOKUP('Données projet'!$B$10,Paramètres!$A$1:$I$89,3,0)*VLOOKUP('Données projet'!$B$10,Paramètres!$A$1:$I$89,5,0)</f>
        <v>134.65920000000003</v>
      </c>
      <c r="AK40" s="14">
        <f t="shared" si="35"/>
        <v>35.07074737441733</v>
      </c>
      <c r="AL40" s="22">
        <f t="shared" si="4"/>
        <v>295.61299167711019</v>
      </c>
      <c r="AM40" s="60">
        <f t="shared" si="5"/>
        <v>588.9463250104435</v>
      </c>
      <c r="AN40" s="60">
        <f ca="1">AVERAGE(OFFSET($AM$3,0,0,'Données projet'!$E$10+1,1))-AVERAGE(OFFSET($H$3,0,0,'Données projet'!$E$10+1,1))</f>
        <v>350.3652766444938</v>
      </c>
      <c r="AO40" s="60">
        <f t="shared" si="36"/>
        <v>197.04549436738586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6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8.4</v>
      </c>
      <c r="BD40" s="13">
        <f>IF('Données projet'!$A$88&gt;35,BD39+BC40-BL39,IF(A40&lt;'Données projet'!$A$88,$BA$205^A40,IF(A40='Données projet'!$A$88,'Données projet'!$B$88,BD39+BC40-BL39)))</f>
        <v>132.80000000000001</v>
      </c>
      <c r="BE40" s="14">
        <f>BD40*VLOOKUP('Données projet'!$B$11,Paramètres!$A$1:$I$89,3,0)*VLOOKUP('Données projet'!$B$11,Paramètres!$A$1:$I$89,5,0)</f>
        <v>128.44416000000001</v>
      </c>
      <c r="BF40" s="14">
        <f t="shared" si="37"/>
        <v>33.636598855068925</v>
      </c>
      <c r="BG40" s="22">
        <f t="shared" si="7"/>
        <v>282.29065500591173</v>
      </c>
      <c r="BH40" s="60">
        <f t="shared" si="8"/>
        <v>575.62398833924499</v>
      </c>
      <c r="BI40" s="60">
        <f ca="1">AVERAGE(OFFSET($BH$3,0,0,'Données projet'!$E$11+1,1))-AVERAGE(OFFSET($H$3,0,0,'Données projet'!$E$11+1,1))</f>
        <v>330.39429528665841</v>
      </c>
      <c r="BJ40" s="60">
        <f t="shared" si="38"/>
        <v>186.45728006007261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7.1794871794871824</v>
      </c>
      <c r="BY40" s="13">
        <f>IF('Données projet'!$A$114&gt;35,BY39+BX40-CG39,IF(A40&lt;'Données projet'!$A$114,$BV$205^A40,IF(A40='Données projet'!$A$114,'Données projet'!$B$114,BY39+BX40-CG39)))</f>
        <v>169.4871794871795</v>
      </c>
      <c r="BZ40" s="14">
        <f>BY40*VLOOKUP('Données projet'!$B$12,Paramètres!$A$1:$I$89,3,0)*VLOOKUP('Données projet'!$B$12,Paramètres!$A$1:$I$89,5,0)</f>
        <v>113.69200000000001</v>
      </c>
      <c r="CA40" s="14">
        <f t="shared" si="39"/>
        <v>30.199170227619074</v>
      </c>
      <c r="CB40" s="22">
        <f t="shared" si="10"/>
        <v>250.61045481310325</v>
      </c>
      <c r="CC40" s="60">
        <f t="shared" si="11"/>
        <v>543.94378814643653</v>
      </c>
      <c r="CD40" s="60">
        <f ca="1">AVERAGE(OFFSET($CC$3,0,0,'Données projet'!$E$12+1,1))-AVERAGE(OFFSET($H$3,0,0,'Données projet'!$E$12+1,1))</f>
        <v>212.33913923444732</v>
      </c>
      <c r="CE40" s="60">
        <f t="shared" si="40"/>
        <v>183.51194426094372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8.1999999999999993</v>
      </c>
      <c r="CT40" s="13">
        <f>IF('Données projet'!$A$140&gt;35,CT39+CS40-DB39,IF(A40&lt;'Données projet'!$A$140,$CQ$205^A40,IF(A40='Données projet'!$A$140,'Données projet'!$B$140,CT39+CS40-DB39)))</f>
        <v>145.39999999999989</v>
      </c>
      <c r="CU40" s="18">
        <f>CT40*VLOOKUP('Données projet'!$B$13,Paramètres!$A$1:$I$89,3,0)*VLOOKUP('Données projet'!$B$13,Paramètres!$A$1:$I$89,5,0)</f>
        <v>127.02143999999993</v>
      </c>
      <c r="CV40" s="14">
        <f t="shared" si="41"/>
        <v>33.307175870664402</v>
      </c>
      <c r="CW40" s="22">
        <f t="shared" si="13"/>
        <v>279.23900597474034</v>
      </c>
      <c r="CX40" s="60">
        <f t="shared" si="14"/>
        <v>572.57233930807365</v>
      </c>
      <c r="CY40" s="60">
        <f ca="1">AVERAGE(OFFSET($CX$3,0,0,'Données projet'!$E$13+1,1))-AVERAGE(OFFSET($H$3,0,0,'Données projet'!$E$13+1,1))</f>
        <v>228.0393346366489</v>
      </c>
      <c r="CZ40" s="60">
        <f t="shared" si="42"/>
        <v>238.591781509447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8.4</v>
      </c>
      <c r="DO40" s="13">
        <f>IF('Données projet'!$A$166&gt;35,DO39+DN40-DW39,IF(A40&lt;'Données projet'!$A$166,$DL$205^A40,IF(A40='Données projet'!$A$166,'Données projet'!$B$166,DO39+DN40-DW39)))</f>
        <v>132.80000000000001</v>
      </c>
      <c r="DP40" s="18">
        <f>DO40*VLOOKUP('Données projet'!$B$14,Paramètres!$A$1:$I$89,3,0)*VLOOKUP('Données projet'!$B$14,Paramètres!$A$1:$I$89,5,0)</f>
        <v>120.15744000000001</v>
      </c>
      <c r="DQ40" s="14">
        <f t="shared" si="43"/>
        <v>31.711716786129845</v>
      </c>
      <c r="DR40" s="22">
        <f t="shared" si="16"/>
        <v>264.50544806917611</v>
      </c>
      <c r="DS40" s="60">
        <f t="shared" si="17"/>
        <v>557.83878140250943</v>
      </c>
      <c r="DT40" s="60">
        <f ca="1">AVERAGE(OFFSET($DS$3,0,0,'Données projet'!$E$14+1,1))-AVERAGE(OFFSET($H$3,0,0,'Données projet'!$E$14+1,1))</f>
        <v>303.73499739059076</v>
      </c>
      <c r="DU40" s="60">
        <f t="shared" si="44"/>
        <v>172.32171001882188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16.701250000000002</v>
      </c>
      <c r="EJ40" s="13">
        <f>IF('Données projet'!$A$192&gt;35,EJ39+EI40-ER39,IF(A40&lt;'Données projet'!$A$192,$EG$205^A40,IF(A40='Données projet'!$A$192,'Données projet'!$B$192,EJ39+EI40-ER39)))</f>
        <v>233.73500000000013</v>
      </c>
      <c r="EK40" s="18">
        <f>EJ40*VLOOKUP('Données projet'!$B$15,Paramètres!$A$1:$I$89,3,0)*VLOOKUP('Données projet'!$B$15,Paramètres!$A$1:$I$89,5,0)</f>
        <v>139.77353000000008</v>
      </c>
      <c r="EL40" s="14">
        <f t="shared" si="45"/>
        <v>36.245119510821453</v>
      </c>
      <c r="EM40" s="22">
        <f t="shared" si="19"/>
        <v>306.56581456468081</v>
      </c>
      <c r="EN40" s="60">
        <f t="shared" si="20"/>
        <v>599.89914789801412</v>
      </c>
      <c r="EO40" s="60">
        <f ca="1">AVERAGE(OFFSET($EN$3,0,0,'Données projet'!$E$15+1,1))-AVERAGE(OFFSET($H$3,0,0,'Données projet'!$E$15+1,1))</f>
        <v>269.94948820700841</v>
      </c>
      <c r="EP40" s="60">
        <f t="shared" si="46"/>
        <v>183.45158355135192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11.2458940546706</v>
      </c>
      <c r="EX40" s="23">
        <f>EXP(-LN(2)/2)*EX39+(1-EXP(-LN(2)/2))/(LN(2)/2)*ER40*EU40*VLOOKUP('Données projet'!$B$15,Paramètres!$A$1:$I$89,3,0)*0.475*44/12</f>
        <v>0.49833630466849022</v>
      </c>
      <c r="EY40" s="24">
        <f t="shared" si="21"/>
        <v>11.74423035933909</v>
      </c>
      <c r="EZ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9.5</v>
      </c>
      <c r="FE40" s="13">
        <f>IF('Données projet'!$A$218&gt;35,FE39+FD40-FM39,IF(A40&lt;'Données projet'!$A$218,$FB$205^A40,IF(A40='Données projet'!$A$218,'Données projet'!$B$218,FE39+FD40-FM39)))</f>
        <v>122.5</v>
      </c>
      <c r="FF40" s="18">
        <f>FE40*VLOOKUP('Données projet'!$B$16,Paramètres!$A$1:$I$89,3,0)*VLOOKUP('Données projet'!$B$16,Paramètres!$A$1:$I$89,5,0)</f>
        <v>73.25500000000001</v>
      </c>
      <c r="FG40" s="14">
        <f t="shared" si="47"/>
        <v>20.479638154475385</v>
      </c>
      <c r="FH40" s="22">
        <f t="shared" si="22"/>
        <v>163.2544947857113</v>
      </c>
      <c r="FI40" s="60">
        <f t="shared" si="23"/>
        <v>456.58782811904462</v>
      </c>
      <c r="FJ40" s="60">
        <f ca="1">AVERAGE(OFFSET($FI$3,0,0,'Données projet'!$E$16+1,1))-AVERAGE(OFFSET($H$3,0,0,'Données projet'!$E$16+1,1))</f>
        <v>111.24788725253484</v>
      </c>
      <c r="FK40" s="60">
        <f t="shared" si="48"/>
        <v>82.434879813357327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projet'!$B$16,Paramètres!$A$1:$I$89,3,0)*0.475*44/12</f>
        <v>0</v>
      </c>
      <c r="FR40" s="23">
        <f>EXP(-LN(2)/25)*FR39+(1-EXP(-LN(2)/25))/(LN(2)/25)*Calculateur!FM40*Calculateur!FO40*VLOOKUP('Données projet'!$B$16,Paramètres!$A$1:$I$89,3,0)*0.475*44/12</f>
        <v>0</v>
      </c>
      <c r="FS40" s="23">
        <f>EXP(-LN(2)/2)*FS39+(1-EXP(-LN(2)/2))/(LN(2)/2)*FM40*FP40*VLOOKUP('Données projet'!$B$16,Paramètres!$A$1:$I$89,3,0)*0.475*44/12</f>
        <v>0</v>
      </c>
      <c r="FT40" s="24">
        <f t="shared" si="24"/>
        <v>0</v>
      </c>
      <c r="FU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27.8</v>
      </c>
      <c r="FZ40" s="13">
        <f>IF('Données projet'!$A$244&gt;35,FZ39+FY40-GH39,IF(A40&lt;'Données projet'!$A$244,$FW$205^A40,IF(A40='Données projet'!$A$244,'Données projet'!$B$244,FZ39+FY40-GH39)))</f>
        <v>394.19999999999987</v>
      </c>
      <c r="GA40" s="18">
        <f>FZ40*VLOOKUP('Données projet'!$B$17,Paramètres!$A$1:$I$89,3,0)*VLOOKUP('Données projet'!$B$17,Paramètres!$A$1:$I$89,5,0)</f>
        <v>174.23639999999995</v>
      </c>
      <c r="GB40" s="14">
        <f t="shared" si="49"/>
        <v>44.03747274965864</v>
      </c>
      <c r="GC40" s="22">
        <f t="shared" si="25"/>
        <v>380.160328372322</v>
      </c>
      <c r="GD40" s="60">
        <f t="shared" si="26"/>
        <v>673.49366170565531</v>
      </c>
      <c r="GE40" s="60">
        <f ca="1">AVERAGE(OFFSET($GD$3,0,0,'Données projet'!$E$17+1,1))-AVERAGE(OFFSET($H$3,0,0,'Données projet'!$E$17+1,1))</f>
        <v>323.56667371063662</v>
      </c>
      <c r="GF40" s="60">
        <f t="shared" si="50"/>
        <v>275.70373467723385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>
        <f>EXP(-LN(2)/35)*GL39+(1-EXP(-LN(2)/35))/(LN(2)/35)*GH40*GI40*VLOOKUP('Données projet'!$B$17,Paramètres!$A$1:$I$89,3,0)*0.475*44/12</f>
        <v>0</v>
      </c>
      <c r="GM40" s="23">
        <f>EXP(-LN(2)/25)*GM39+(1-EXP(-LN(2)/25))/(LN(2)/25)*Calculateur!GH40*Calculateur!GJ40*VLOOKUP('Données projet'!$B$17,Paramètres!$A$1:$I$89,3,0)*0.475*44/12</f>
        <v>0</v>
      </c>
      <c r="GN40" s="23">
        <f>EXP(-LN(2)/2)*GN39+(1-EXP(-LN(2)/2))/(LN(2)/2)*GH40*GK40*VLOOKUP('Données projet'!$B$17,Paramètres!$A$1:$I$89,3,0)*0.475*44/12</f>
        <v>0</v>
      </c>
      <c r="GO40" s="23">
        <f t="shared" si="27"/>
        <v>0</v>
      </c>
      <c r="GP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0" t="e">
        <f t="shared" si="29"/>
        <v>#N/A</v>
      </c>
      <c r="GZ40" s="60" t="e">
        <f ca="1">AVERAGE(OFFSET($GY$3,0,0,'Données projet'!$E$18+1,1))-AVERAGE(OFFSET($H$3,0,0,'Données projet'!$E$18+1,1))</f>
        <v>#N/A</v>
      </c>
      <c r="HA40" s="60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4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2">
        <f t="shared" si="32"/>
        <v>6.717880434124976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16.536250000000003</v>
      </c>
      <c r="N41" s="14">
        <f>IF('Données projet'!$A$36&gt;35,N40+M41-V40,IF(A41&lt;'Données projet'!$A$36,$K$205^A41,IF(A41='Données projet'!$A$36,'Données projet'!$B$36,N40+M41-V40)))</f>
        <v>268.13249999999994</v>
      </c>
      <c r="O41" s="14">
        <f>N41*VLOOKUP('Données projet'!$B$9,Paramètres!$A$1:$I$89,3,0)*VLOOKUP('Données projet'!$B$9,Paramètres!$A$1:$I$89,5,0)</f>
        <v>160.34323499999996</v>
      </c>
      <c r="P41" s="14">
        <f t="shared" si="33"/>
        <v>40.919923361013716</v>
      </c>
      <c r="Q41" s="22">
        <f t="shared" si="53"/>
        <v>350.53333414543209</v>
      </c>
      <c r="R41" s="60">
        <f t="shared" si="0"/>
        <v>643.86666747876541</v>
      </c>
      <c r="S41" s="60">
        <f ca="1">AVERAGE(OFFSET($R$3,0,0,'Données projet'!$E$9+1,1))-AVERAGE(OFFSET($H$3,0,0,'Données projet'!$E$9+1,1))</f>
        <v>235.63766249714581</v>
      </c>
      <c r="T41" s="60">
        <f t="shared" si="34"/>
        <v>231.3297293785277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9.7925609220876435</v>
      </c>
      <c r="AA41" s="23">
        <f>EXP(-LN(2)/25)*AA40+(1-EXP(-LN(2)/25))/(LN(2)/25)*Calculateur!V41*Calculateur!X41*VLOOKUP('Données projet'!$B$9,Paramètres!$A$1:$I$89,3,0)*0.475*44/12</f>
        <v>13.84965893638814</v>
      </c>
      <c r="AB41" s="23">
        <f>EXP(-LN(2)/2)*AB40+(1-EXP(-LN(2)/2))/(LN(2)/2)*V41*Y41*VLOOKUP('Données projet'!$B$9,Paramètres!$A$1:$I$89,3,0)*0.475*44/12</f>
        <v>0.44452700768117059</v>
      </c>
      <c r="AC41" s="24">
        <f t="shared" si="3"/>
        <v>24.086746866156954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8.4</v>
      </c>
      <c r="AI41" s="14">
        <f>IF('Données projet'!$A$62&gt;35,AI40+AH41-AQ40,IF(A41&lt;'Données projet'!$A$62,$AF$205^A41,IF(A41='Données projet'!$A$62,'Données projet'!$B$62,AI40+AH41-AQ40)))</f>
        <v>141.20000000000002</v>
      </c>
      <c r="AJ41" s="14">
        <f>AI41*VLOOKUP('Données projet'!$B$10,Paramètres!$A$1:$I$89,3,0)*VLOOKUP('Données projet'!$B$10,Paramètres!$A$1:$I$89,5,0)</f>
        <v>143.17680000000004</v>
      </c>
      <c r="AK41" s="14">
        <f t="shared" si="35"/>
        <v>37.023812674521515</v>
      </c>
      <c r="AL41" s="22">
        <f t="shared" si="4"/>
        <v>313.84940040812506</v>
      </c>
      <c r="AM41" s="60">
        <f t="shared" si="5"/>
        <v>607.18273374145838</v>
      </c>
      <c r="AN41" s="60">
        <f ca="1">AVERAGE(OFFSET($AM$3,0,0,'Données projet'!$E$10+1,1))-AVERAGE(OFFSET($H$3,0,0,'Données projet'!$E$10+1,1))</f>
        <v>350.3652766444938</v>
      </c>
      <c r="AO41" s="60">
        <f t="shared" si="36"/>
        <v>197.04549436738586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6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8.4</v>
      </c>
      <c r="BD41" s="13">
        <f>IF('Données projet'!$A$88&gt;35,BD40+BC41-BL40,IF(A41&lt;'Données projet'!$A$88,$BA$205^A41,IF(A41='Données projet'!$A$88,'Données projet'!$B$88,BD40+BC41-BL40)))</f>
        <v>141.20000000000002</v>
      </c>
      <c r="BE41" s="14">
        <f>BD41*VLOOKUP('Données projet'!$B$11,Paramètres!$A$1:$I$89,3,0)*VLOOKUP('Données projet'!$B$11,Paramètres!$A$1:$I$89,5,0)</f>
        <v>136.56864000000002</v>
      </c>
      <c r="BF41" s="14">
        <f t="shared" si="37"/>
        <v>35.509797430964703</v>
      </c>
      <c r="BG41" s="22">
        <f t="shared" si="7"/>
        <v>299.70327852559689</v>
      </c>
      <c r="BH41" s="60">
        <f t="shared" si="8"/>
        <v>593.0366118589302</v>
      </c>
      <c r="BI41" s="60">
        <f ca="1">AVERAGE(OFFSET($BH$3,0,0,'Données projet'!$E$11+1,1))-AVERAGE(OFFSET($H$3,0,0,'Données projet'!$E$11+1,1))</f>
        <v>330.39429528665841</v>
      </c>
      <c r="BJ41" s="60">
        <f t="shared" si="38"/>
        <v>186.45728006007261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7.1794871794871824</v>
      </c>
      <c r="BY41" s="13">
        <f>IF('Données projet'!$A$114&gt;35,BY40+BX41-CG40,IF(A41&lt;'Données projet'!$A$114,$BV$205^A41,IF(A41='Données projet'!$A$114,'Données projet'!$B$114,BY40+BX41-CG40)))</f>
        <v>176.66666666666669</v>
      </c>
      <c r="BZ41" s="14">
        <f>BY41*VLOOKUP('Données projet'!$B$12,Paramètres!$A$1:$I$89,3,0)*VLOOKUP('Données projet'!$B$12,Paramètres!$A$1:$I$89,5,0)</f>
        <v>118.50800000000001</v>
      </c>
      <c r="CA41" s="14">
        <f t="shared" si="39"/>
        <v>31.326761814194999</v>
      </c>
      <c r="CB41" s="22">
        <f t="shared" si="10"/>
        <v>260.96221015972299</v>
      </c>
      <c r="CC41" s="60">
        <f t="shared" si="11"/>
        <v>554.29554349305636</v>
      </c>
      <c r="CD41" s="60">
        <f ca="1">AVERAGE(OFFSET($CC$3,0,0,'Données projet'!$E$12+1,1))-AVERAGE(OFFSET($H$3,0,0,'Données projet'!$E$12+1,1))</f>
        <v>212.33913923444732</v>
      </c>
      <c r="CE41" s="60">
        <f t="shared" si="40"/>
        <v>183.51194426094372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8.1999999999999993</v>
      </c>
      <c r="CT41" s="13">
        <f>IF('Données projet'!$A$140&gt;35,CT40+CS41-DB40,IF(A41&lt;'Données projet'!$A$140,$CQ$205^A41,IF(A41='Données projet'!$A$140,'Données projet'!$B$140,CT40+CS41-DB40)))</f>
        <v>153.59999999999988</v>
      </c>
      <c r="CU41" s="18">
        <f>CT41*VLOOKUP('Données projet'!$B$13,Paramètres!$A$1:$I$89,3,0)*VLOOKUP('Données projet'!$B$13,Paramètres!$A$1:$I$89,5,0)</f>
        <v>134.1849599999999</v>
      </c>
      <c r="CV41" s="14">
        <f t="shared" si="41"/>
        <v>34.96159027064818</v>
      </c>
      <c r="CW41" s="22">
        <f t="shared" si="13"/>
        <v>294.59690838804539</v>
      </c>
      <c r="CX41" s="60">
        <f t="shared" si="14"/>
        <v>587.93024172137871</v>
      </c>
      <c r="CY41" s="60">
        <f ca="1">AVERAGE(OFFSET($CX$3,0,0,'Données projet'!$E$13+1,1))-AVERAGE(OFFSET($H$3,0,0,'Données projet'!$E$13+1,1))</f>
        <v>228.0393346366489</v>
      </c>
      <c r="CZ41" s="60">
        <f t="shared" si="42"/>
        <v>238.591781509447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8.4</v>
      </c>
      <c r="DO41" s="13">
        <f>IF('Données projet'!$A$166&gt;35,DO40+DN41-DW40,IF(A41&lt;'Données projet'!$A$166,$DL$205^A41,IF(A41='Données projet'!$A$166,'Données projet'!$B$166,DO40+DN41-DW40)))</f>
        <v>141.20000000000002</v>
      </c>
      <c r="DP41" s="18">
        <f>DO41*VLOOKUP('Données projet'!$B$14,Paramètres!$A$1:$I$89,3,0)*VLOOKUP('Données projet'!$B$14,Paramètres!$A$1:$I$89,5,0)</f>
        <v>127.75776</v>
      </c>
      <c r="DQ41" s="14">
        <f t="shared" si="43"/>
        <v>33.477720030956604</v>
      </c>
      <c r="DR41" s="22">
        <f t="shared" si="16"/>
        <v>280.81846105391611</v>
      </c>
      <c r="DS41" s="60">
        <f t="shared" si="17"/>
        <v>574.15179438724942</v>
      </c>
      <c r="DT41" s="60">
        <f ca="1">AVERAGE(OFFSET($DS$3,0,0,'Données projet'!$E$14+1,1))-AVERAGE(OFFSET($H$3,0,0,'Données projet'!$E$14+1,1))</f>
        <v>303.73499739059076</v>
      </c>
      <c r="DU41" s="60">
        <f t="shared" si="44"/>
        <v>172.32171001882188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16.701250000000002</v>
      </c>
      <c r="EJ41" s="13">
        <f>IF('Données projet'!$A$192&gt;35,EJ40+EI41-ER40,IF(A41&lt;'Données projet'!$A$192,$EG$205^A41,IF(A41='Données projet'!$A$192,'Données projet'!$B$192,EJ40+EI41-ER40)))</f>
        <v>250.43625000000014</v>
      </c>
      <c r="EK41" s="18">
        <f>EJ41*VLOOKUP('Données projet'!$B$15,Paramètres!$A$1:$I$89,3,0)*VLOOKUP('Données projet'!$B$15,Paramètres!$A$1:$I$89,5,0)</f>
        <v>149.76087750000011</v>
      </c>
      <c r="EL41" s="14">
        <f t="shared" si="45"/>
        <v>38.524239129902824</v>
      </c>
      <c r="EM41" s="22">
        <f t="shared" si="19"/>
        <v>327.9299114637476</v>
      </c>
      <c r="EN41" s="60">
        <f t="shared" si="20"/>
        <v>621.26324479708092</v>
      </c>
      <c r="EO41" s="60">
        <f ca="1">AVERAGE(OFFSET($EN$3,0,0,'Données projet'!$E$15+1,1))-AVERAGE(OFFSET($H$3,0,0,'Données projet'!$E$15+1,1))</f>
        <v>269.94948820700841</v>
      </c>
      <c r="EP41" s="60">
        <f t="shared" si="46"/>
        <v>183.45158355135192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10.938374490349767</v>
      </c>
      <c r="EX41" s="23">
        <f>EXP(-LN(2)/2)*EX40+(1-EXP(-LN(2)/2))/(LN(2)/2)*ER41*EU41*VLOOKUP('Données projet'!$B$15,Paramètres!$A$1:$I$89,3,0)*0.475*44/12</f>
        <v>0.35237698034253484</v>
      </c>
      <c r="EY41" s="24">
        <f t="shared" si="21"/>
        <v>11.290751470692303</v>
      </c>
      <c r="EZ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9.5</v>
      </c>
      <c r="FE41" s="13">
        <f>IF('Données projet'!$A$218&gt;35,FE40+FD41-FM40,IF(A41&lt;'Données projet'!$A$218,$FB$205^A41,IF(A41='Données projet'!$A$218,'Données projet'!$B$218,FE40+FD41-FM40)))</f>
        <v>132</v>
      </c>
      <c r="FF41" s="18">
        <f>FE41*VLOOKUP('Données projet'!$B$16,Paramètres!$A$1:$I$89,3,0)*VLOOKUP('Données projet'!$B$16,Paramètres!$A$1:$I$89,5,0)</f>
        <v>78.936000000000007</v>
      </c>
      <c r="FG41" s="14">
        <f t="shared" si="47"/>
        <v>21.876828219051273</v>
      </c>
      <c r="FH41" s="22">
        <f t="shared" si="22"/>
        <v>175.5823424815143</v>
      </c>
      <c r="FI41" s="60">
        <f t="shared" si="23"/>
        <v>468.91567581484765</v>
      </c>
      <c r="FJ41" s="60">
        <f ca="1">AVERAGE(OFFSET($FI$3,0,0,'Données projet'!$E$16+1,1))-AVERAGE(OFFSET($H$3,0,0,'Données projet'!$E$16+1,1))</f>
        <v>111.24788725253484</v>
      </c>
      <c r="FK41" s="60">
        <f t="shared" si="48"/>
        <v>82.434879813357327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projet'!$B$16,Paramètres!$A$1:$I$89,3,0)*0.475*44/12</f>
        <v>0</v>
      </c>
      <c r="FR41" s="23">
        <f>EXP(-LN(2)/25)*FR40+(1-EXP(-LN(2)/25))/(LN(2)/25)*Calculateur!FM41*Calculateur!FO41*VLOOKUP('Données projet'!$B$16,Paramètres!$A$1:$I$89,3,0)*0.475*44/12</f>
        <v>0</v>
      </c>
      <c r="FS41" s="23">
        <f>EXP(-LN(2)/2)*FS40+(1-EXP(-LN(2)/2))/(LN(2)/2)*FM41*FP41*VLOOKUP('Données projet'!$B$16,Paramètres!$A$1:$I$89,3,0)*0.475*44/12</f>
        <v>0</v>
      </c>
      <c r="FT41" s="24">
        <f t="shared" si="24"/>
        <v>0</v>
      </c>
      <c r="FU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>
        <f>VLOOKUP(A41,'Données projet'!$A$243:$I$263,2,0)</f>
        <v>422</v>
      </c>
      <c r="FX41" s="13">
        <f>VLOOKUP(A41,'Données projet'!$A$243:$I$263,9,0)</f>
        <v>27.8</v>
      </c>
      <c r="FY41" s="13">
        <f t="array" ref="FY41">INDEX(FX:FX,MIN(IF(ISNUMBER(FX41:FX237),ROW(FX41:FX237),"")))</f>
        <v>27.8</v>
      </c>
      <c r="FZ41" s="13">
        <f>IF('Données projet'!$A$244&gt;35,FZ40+FY41-GH40,IF(A41&lt;'Données projet'!$A$244,$FW$205^A41,IF(A41='Données projet'!$A$244,'Données projet'!$B$244,FZ40+FY41-GH40)))</f>
        <v>421.99999999999989</v>
      </c>
      <c r="GA41" s="18">
        <f>FZ41*VLOOKUP('Données projet'!$B$17,Paramètres!$A$1:$I$89,3,0)*VLOOKUP('Données projet'!$B$17,Paramètres!$A$1:$I$89,5,0)</f>
        <v>186.52399999999994</v>
      </c>
      <c r="GB41" s="14">
        <f t="shared" si="49"/>
        <v>46.770634721831932</v>
      </c>
      <c r="GC41" s="22">
        <f t="shared" si="25"/>
        <v>406.32148880719052</v>
      </c>
      <c r="GD41" s="60">
        <f t="shared" si="26"/>
        <v>699.65482214052383</v>
      </c>
      <c r="GE41" s="60">
        <f ca="1">AVERAGE(OFFSET($GD$3,0,0,'Données projet'!$E$17+1,1))-AVERAGE(OFFSET($H$3,0,0,'Données projet'!$E$17+1,1))</f>
        <v>323.56667371063662</v>
      </c>
      <c r="GF41" s="60">
        <f t="shared" si="50"/>
        <v>275.70373467723385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>
        <f>EXP(-LN(2)/35)*GL40+(1-EXP(-LN(2)/35))/(LN(2)/35)*GH41*GI41*VLOOKUP('Données projet'!$B$17,Paramètres!$A$1:$I$89,3,0)*0.475*44/12</f>
        <v>0</v>
      </c>
      <c r="GM41" s="23">
        <f>EXP(-LN(2)/25)*GM40+(1-EXP(-LN(2)/25))/(LN(2)/25)*Calculateur!GH41*Calculateur!GJ41*VLOOKUP('Données projet'!$B$17,Paramètres!$A$1:$I$89,3,0)*0.475*44/12</f>
        <v>0</v>
      </c>
      <c r="GN41" s="23">
        <f>EXP(-LN(2)/2)*GN40+(1-EXP(-LN(2)/2))/(LN(2)/2)*GH41*GK41*VLOOKUP('Données projet'!$B$17,Paramètres!$A$1:$I$89,3,0)*0.475*44/12</f>
        <v>0</v>
      </c>
      <c r="GO41" s="23">
        <f t="shared" si="27"/>
        <v>0</v>
      </c>
      <c r="GP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0" t="e">
        <f t="shared" si="29"/>
        <v>#N/A</v>
      </c>
      <c r="GZ41" s="60" t="e">
        <f ca="1">AVERAGE(OFFSET($GY$3,0,0,'Données projet'!$E$18+1,1))-AVERAGE(OFFSET($H$3,0,0,'Données projet'!$E$18+1,1))</f>
        <v>#N/A</v>
      </c>
      <c r="HA41" s="60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4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2">
        <f t="shared" si="32"/>
        <v>6.8738518981865644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16.536250000000003</v>
      </c>
      <c r="N42" s="14">
        <f>IF('Données projet'!$A$36&gt;35,N41+M42-V41,IF(A42&lt;'Données projet'!$A$36,$K$205^A42,IF(A42='Données projet'!$A$36,'Données projet'!$B$36,N41+M42-V41)))</f>
        <v>284.66874999999993</v>
      </c>
      <c r="O42" s="14">
        <f>N42*VLOOKUP('Données projet'!$B$9,Paramètres!$A$1:$I$89,3,0)*VLOOKUP('Données projet'!$B$9,Paramètres!$A$1:$I$89,5,0)</f>
        <v>170.23191249999999</v>
      </c>
      <c r="P42" s="14">
        <f t="shared" si="33"/>
        <v>43.141960148805921</v>
      </c>
      <c r="Q42" s="22">
        <f t="shared" si="53"/>
        <v>371.62616153000363</v>
      </c>
      <c r="R42" s="60">
        <f t="shared" si="0"/>
        <v>664.95949486333689</v>
      </c>
      <c r="S42" s="60">
        <f ca="1">AVERAGE(OFFSET($R$3,0,0,'Données projet'!$E$9+1,1))-AVERAGE(OFFSET($H$3,0,0,'Données projet'!$E$9+1,1))</f>
        <v>235.63766249714581</v>
      </c>
      <c r="T42" s="60">
        <f t="shared" si="34"/>
        <v>231.3297293785277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9.6005347752778949</v>
      </c>
      <c r="AA42" s="23">
        <f>EXP(-LN(2)/25)*AA41+(1-EXP(-LN(2)/25))/(LN(2)/25)*Calculateur!V42*Calculateur!X42*VLOOKUP('Données projet'!$B$9,Paramètres!$A$1:$I$89,3,0)*0.475*44/12</f>
        <v>13.470939284450697</v>
      </c>
      <c r="AB42" s="23">
        <f>EXP(-LN(2)/2)*AB41+(1-EXP(-LN(2)/2))/(LN(2)/2)*V42*Y42*VLOOKUP('Données projet'!$B$9,Paramètres!$A$1:$I$89,3,0)*0.475*44/12</f>
        <v>0.31432806155192022</v>
      </c>
      <c r="AC42" s="24">
        <f t="shared" si="3"/>
        <v>23.385802121280513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8.4</v>
      </c>
      <c r="AI42" s="14">
        <f>IF('Données projet'!$A$62&gt;35,AI41+AH42-AQ41,IF(A42&lt;'Données projet'!$A$62,$AF$205^A42,IF(A42='Données projet'!$A$62,'Données projet'!$B$62,AI41+AH42-AQ41)))</f>
        <v>149.60000000000002</v>
      </c>
      <c r="AJ42" s="14">
        <f>AI42*VLOOKUP('Données projet'!$B$10,Paramètres!$A$1:$I$89,3,0)*VLOOKUP('Données projet'!$B$10,Paramètres!$A$1:$I$89,5,0)</f>
        <v>151.69440000000003</v>
      </c>
      <c r="AK42" s="14">
        <f t="shared" si="35"/>
        <v>38.963392010880654</v>
      </c>
      <c r="AL42" s="22">
        <f t="shared" si="4"/>
        <v>332.06232108561716</v>
      </c>
      <c r="AM42" s="60">
        <f t="shared" si="5"/>
        <v>625.39565441895047</v>
      </c>
      <c r="AN42" s="60">
        <f ca="1">AVERAGE(OFFSET($AM$3,0,0,'Données projet'!$E$10+1,1))-AVERAGE(OFFSET($H$3,0,0,'Données projet'!$E$10+1,1))</f>
        <v>350.3652766444938</v>
      </c>
      <c r="AO42" s="60">
        <f t="shared" si="36"/>
        <v>197.04549436738586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6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8.4</v>
      </c>
      <c r="BD42" s="13">
        <f>IF('Données projet'!$A$88&gt;35,BD41+BC42-BL41,IF(A42&lt;'Données projet'!$A$88,$BA$205^A42,IF(A42='Données projet'!$A$88,'Données projet'!$B$88,BD41+BC42-BL41)))</f>
        <v>149.60000000000002</v>
      </c>
      <c r="BE42" s="14">
        <f>BD42*VLOOKUP('Données projet'!$B$11,Paramètres!$A$1:$I$89,3,0)*VLOOKUP('Données projet'!$B$11,Paramètres!$A$1:$I$89,5,0)</f>
        <v>144.69312000000002</v>
      </c>
      <c r="BF42" s="14">
        <f t="shared" si="37"/>
        <v>37.370061524802772</v>
      </c>
      <c r="BG42" s="22">
        <f t="shared" si="7"/>
        <v>317.09337448903148</v>
      </c>
      <c r="BH42" s="60">
        <f t="shared" si="8"/>
        <v>610.42670782236473</v>
      </c>
      <c r="BI42" s="60">
        <f ca="1">AVERAGE(OFFSET($BH$3,0,0,'Données projet'!$E$11+1,1))-AVERAGE(OFFSET($H$3,0,0,'Données projet'!$E$11+1,1))</f>
        <v>330.39429528665841</v>
      </c>
      <c r="BJ42" s="60">
        <f t="shared" si="38"/>
        <v>186.45728006007261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7.1794871794871824</v>
      </c>
      <c r="BY42" s="13">
        <f>IF('Données projet'!$A$114&gt;35,BY41+BX42-CG41,IF(A42&lt;'Données projet'!$A$114,$BV$205^A42,IF(A42='Données projet'!$A$114,'Données projet'!$B$114,BY41+BX42-CG41)))</f>
        <v>183.84615384615387</v>
      </c>
      <c r="BZ42" s="14">
        <f>BY42*VLOOKUP('Données projet'!$B$12,Paramètres!$A$1:$I$89,3,0)*VLOOKUP('Données projet'!$B$12,Paramètres!$A$1:$I$89,5,0)</f>
        <v>123.32400000000003</v>
      </c>
      <c r="CA42" s="14">
        <f t="shared" si="39"/>
        <v>32.449030564483728</v>
      </c>
      <c r="CB42" s="22">
        <f t="shared" si="10"/>
        <v>271.30469489980919</v>
      </c>
      <c r="CC42" s="60">
        <f t="shared" si="11"/>
        <v>564.63802823314245</v>
      </c>
      <c r="CD42" s="60">
        <f ca="1">AVERAGE(OFFSET($CC$3,0,0,'Données projet'!$E$12+1,1))-AVERAGE(OFFSET($H$3,0,0,'Données projet'!$E$12+1,1))</f>
        <v>212.33913923444732</v>
      </c>
      <c r="CE42" s="60">
        <f t="shared" si="40"/>
        <v>183.51194426094372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8.1999999999999993</v>
      </c>
      <c r="CT42" s="13">
        <f>IF('Données projet'!$A$140&gt;35,CT41+CS42-DB41,IF(A42&lt;'Données projet'!$A$140,$CQ$205^A42,IF(A42='Données projet'!$A$140,'Données projet'!$B$140,CT41+CS42-DB41)))</f>
        <v>161.79999999999987</v>
      </c>
      <c r="CU42" s="18">
        <f>CT42*VLOOKUP('Données projet'!$B$13,Paramètres!$A$1:$I$89,3,0)*VLOOKUP('Données projet'!$B$13,Paramètres!$A$1:$I$89,5,0)</f>
        <v>141.34847999999991</v>
      </c>
      <c r="CV42" s="14">
        <f t="shared" si="41"/>
        <v>36.605750770707772</v>
      </c>
      <c r="CW42" s="22">
        <f t="shared" si="13"/>
        <v>309.93695192564923</v>
      </c>
      <c r="CX42" s="60">
        <f t="shared" si="14"/>
        <v>603.27028525898254</v>
      </c>
      <c r="CY42" s="60">
        <f ca="1">AVERAGE(OFFSET($CX$3,0,0,'Données projet'!$E$13+1,1))-AVERAGE(OFFSET($H$3,0,0,'Données projet'!$E$13+1,1))</f>
        <v>228.0393346366489</v>
      </c>
      <c r="CZ42" s="60">
        <f t="shared" si="42"/>
        <v>238.591781509447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8.4</v>
      </c>
      <c r="DO42" s="13">
        <f>IF('Données projet'!$A$166&gt;35,DO41+DN42-DW41,IF(A42&lt;'Données projet'!$A$166,$DL$205^A42,IF(A42='Données projet'!$A$166,'Données projet'!$B$166,DO41+DN42-DW41)))</f>
        <v>149.60000000000002</v>
      </c>
      <c r="DP42" s="18">
        <f>DO42*VLOOKUP('Données projet'!$B$14,Paramètres!$A$1:$I$89,3,0)*VLOOKUP('Données projet'!$B$14,Paramètres!$A$1:$I$89,5,0)</f>
        <v>135.35808</v>
      </c>
      <c r="DQ42" s="14">
        <f t="shared" si="43"/>
        <v>35.231528980112834</v>
      </c>
      <c r="DR42" s="22">
        <f t="shared" si="16"/>
        <v>297.11023564036316</v>
      </c>
      <c r="DS42" s="60">
        <f t="shared" si="17"/>
        <v>590.44356897369653</v>
      </c>
      <c r="DT42" s="60">
        <f ca="1">AVERAGE(OFFSET($DS$3,0,0,'Données projet'!$E$14+1,1))-AVERAGE(OFFSET($H$3,0,0,'Données projet'!$E$14+1,1))</f>
        <v>303.73499739059076</v>
      </c>
      <c r="DU42" s="60">
        <f t="shared" si="44"/>
        <v>172.32171001882188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16.701250000000002</v>
      </c>
      <c r="EJ42" s="13">
        <f>IF('Données projet'!$A$192&gt;35,EJ41+EI42-ER41,IF(A42&lt;'Données projet'!$A$192,$EG$205^A42,IF(A42='Données projet'!$A$192,'Données projet'!$B$192,EJ41+EI42-ER41)))</f>
        <v>267.13750000000016</v>
      </c>
      <c r="EK42" s="18">
        <f>EJ42*VLOOKUP('Données projet'!$B$15,Paramètres!$A$1:$I$89,3,0)*VLOOKUP('Données projet'!$B$15,Paramètres!$A$1:$I$89,5,0)</f>
        <v>159.7482250000001</v>
      </c>
      <c r="EL42" s="14">
        <f t="shared" si="45"/>
        <v>40.785721648734771</v>
      </c>
      <c r="EM42" s="22">
        <f t="shared" si="19"/>
        <v>349.26329041321327</v>
      </c>
      <c r="EN42" s="60">
        <f t="shared" si="20"/>
        <v>642.59662374654658</v>
      </c>
      <c r="EO42" s="60">
        <f ca="1">AVERAGE(OFFSET($EN$3,0,0,'Données projet'!$E$15+1,1))-AVERAGE(OFFSET($H$3,0,0,'Données projet'!$E$15+1,1))</f>
        <v>269.94948820700841</v>
      </c>
      <c r="EP42" s="60">
        <f t="shared" si="46"/>
        <v>183.45158355135192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10.639264064687039</v>
      </c>
      <c r="EX42" s="23">
        <f>EXP(-LN(2)/2)*EX41+(1-EXP(-LN(2)/2))/(LN(2)/2)*ER42*EU42*VLOOKUP('Données projet'!$B$15,Paramètres!$A$1:$I$89,3,0)*0.475*44/12</f>
        <v>0.24916815233424516</v>
      </c>
      <c r="EY42" s="24">
        <f t="shared" si="21"/>
        <v>10.888432217021284</v>
      </c>
      <c r="EZ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9.5</v>
      </c>
      <c r="FE42" s="13">
        <f>IF('Données projet'!$A$218&gt;35,FE41+FD42-FM41,IF(A42&lt;'Données projet'!$A$218,$FB$205^A42,IF(A42='Données projet'!$A$218,'Données projet'!$B$218,FE41+FD42-FM41)))</f>
        <v>141.5</v>
      </c>
      <c r="FF42" s="18">
        <f>FE42*VLOOKUP('Données projet'!$B$16,Paramètres!$A$1:$I$89,3,0)*VLOOKUP('Données projet'!$B$16,Paramètres!$A$1:$I$89,5,0)</f>
        <v>84.617000000000004</v>
      </c>
      <c r="FG42" s="14">
        <f t="shared" si="47"/>
        <v>23.262351905082731</v>
      </c>
      <c r="FH42" s="22">
        <f t="shared" si="22"/>
        <v>187.88987123468576</v>
      </c>
      <c r="FI42" s="60">
        <f t="shared" si="23"/>
        <v>481.22320456801907</v>
      </c>
      <c r="FJ42" s="60">
        <f ca="1">AVERAGE(OFFSET($FI$3,0,0,'Données projet'!$E$16+1,1))-AVERAGE(OFFSET($H$3,0,0,'Données projet'!$E$16+1,1))</f>
        <v>111.24788725253484</v>
      </c>
      <c r="FK42" s="60">
        <f t="shared" si="48"/>
        <v>82.434879813357327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projet'!$B$16,Paramètres!$A$1:$I$89,3,0)*0.475*44/12</f>
        <v>0</v>
      </c>
      <c r="FR42" s="23">
        <f>EXP(-LN(2)/25)*FR41+(1-EXP(-LN(2)/25))/(LN(2)/25)*Calculateur!FM42*Calculateur!FO42*VLOOKUP('Données projet'!$B$16,Paramètres!$A$1:$I$89,3,0)*0.475*44/12</f>
        <v>0</v>
      </c>
      <c r="FS42" s="23">
        <f>EXP(-LN(2)/2)*FS41+(1-EXP(-LN(2)/2))/(LN(2)/2)*FM42*FP42*VLOOKUP('Données projet'!$B$16,Paramètres!$A$1:$I$89,3,0)*0.475*44/12</f>
        <v>0</v>
      </c>
      <c r="FT42" s="24">
        <f t="shared" si="24"/>
        <v>0</v>
      </c>
      <c r="FU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25.2</v>
      </c>
      <c r="FZ42" s="13">
        <f>IF('Données projet'!$A$244&gt;35,FZ41+FY42-GH41,IF(A42&lt;'Données projet'!$A$244,$FW$205^A42,IF(A42='Données projet'!$A$244,'Données projet'!$B$244,FZ41+FY42-GH41)))</f>
        <v>447.19999999999987</v>
      </c>
      <c r="GA42" s="18">
        <f>FZ42*VLOOKUP('Données projet'!$B$17,Paramètres!$A$1:$I$89,3,0)*VLOOKUP('Données projet'!$B$17,Paramètres!$A$1:$I$89,5,0)</f>
        <v>197.66239999999996</v>
      </c>
      <c r="GB42" s="14">
        <f t="shared" si="49"/>
        <v>49.230083004987826</v>
      </c>
      <c r="GC42" s="22">
        <f t="shared" si="25"/>
        <v>430.00440790035373</v>
      </c>
      <c r="GD42" s="60">
        <f t="shared" si="26"/>
        <v>723.33774123368698</v>
      </c>
      <c r="GE42" s="60">
        <f ca="1">AVERAGE(OFFSET($GD$3,0,0,'Données projet'!$E$17+1,1))-AVERAGE(OFFSET($H$3,0,0,'Données projet'!$E$17+1,1))</f>
        <v>323.56667371063662</v>
      </c>
      <c r="GF42" s="60">
        <f t="shared" si="50"/>
        <v>275.70373467723385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>
        <f>EXP(-LN(2)/35)*GL41+(1-EXP(-LN(2)/35))/(LN(2)/35)*GH42*GI42*VLOOKUP('Données projet'!$B$17,Paramètres!$A$1:$I$89,3,0)*0.475*44/12</f>
        <v>0</v>
      </c>
      <c r="GM42" s="23">
        <f>EXP(-LN(2)/25)*GM41+(1-EXP(-LN(2)/25))/(LN(2)/25)*Calculateur!GH42*Calculateur!GJ42*VLOOKUP('Données projet'!$B$17,Paramètres!$A$1:$I$89,3,0)*0.475*44/12</f>
        <v>0</v>
      </c>
      <c r="GN42" s="23">
        <f>EXP(-LN(2)/2)*GN41+(1-EXP(-LN(2)/2))/(LN(2)/2)*GH42*GK42*VLOOKUP('Données projet'!$B$17,Paramètres!$A$1:$I$89,3,0)*0.475*44/12</f>
        <v>0</v>
      </c>
      <c r="GO42" s="23">
        <f t="shared" si="27"/>
        <v>0</v>
      </c>
      <c r="GP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0" t="e">
        <f t="shared" si="29"/>
        <v>#N/A</v>
      </c>
      <c r="GZ42" s="60" t="e">
        <f ca="1">AVERAGE(OFFSET($GY$3,0,0,'Données projet'!$E$18+1,1))-AVERAGE(OFFSET($H$3,0,0,'Données projet'!$E$18+1,1))</f>
        <v>#N/A</v>
      </c>
      <c r="HA42" s="60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4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2">
        <f t="shared" si="32"/>
        <v>7.0293584875852577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16.536250000000003</v>
      </c>
      <c r="N43" s="14">
        <f>IF('Données projet'!$A$36&gt;35,N42+M43-V42,IF(A43&lt;'Données projet'!$A$36,$K$205^A43,IF(A43='Données projet'!$A$36,'Données projet'!$B$36,N42+M43-V42)))</f>
        <v>301.20499999999993</v>
      </c>
      <c r="O43" s="14">
        <f>N43*VLOOKUP('Données projet'!$B$9,Paramètres!$A$1:$I$89,3,0)*VLOOKUP('Données projet'!$B$9,Paramètres!$A$1:$I$89,5,0)</f>
        <v>180.12058999999999</v>
      </c>
      <c r="P43" s="14">
        <f t="shared" si="33"/>
        <v>45.349014174000445</v>
      </c>
      <c r="Q43" s="22">
        <f t="shared" si="53"/>
        <v>392.69289393638411</v>
      </c>
      <c r="R43" s="60">
        <f t="shared" si="0"/>
        <v>686.02622726971742</v>
      </c>
      <c r="S43" s="60">
        <f ca="1">AVERAGE(OFFSET($R$3,0,0,'Données projet'!$E$9+1,1))-AVERAGE(OFFSET($H$3,0,0,'Données projet'!$E$9+1,1))</f>
        <v>235.63766249714581</v>
      </c>
      <c r="T43" s="60">
        <f t="shared" si="34"/>
        <v>231.3297293785277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9.4122741440827014</v>
      </c>
      <c r="AA43" s="23">
        <f>EXP(-LN(2)/25)*AA42+(1-EXP(-LN(2)/25))/(LN(2)/25)*Calculateur!V43*Calculateur!X43*VLOOKUP('Données projet'!$B$9,Paramètres!$A$1:$I$89,3,0)*0.475*44/12</f>
        <v>13.102575741311485</v>
      </c>
      <c r="AB43" s="23">
        <f>EXP(-LN(2)/2)*AB42+(1-EXP(-LN(2)/2))/(LN(2)/2)*V43*Y43*VLOOKUP('Données projet'!$B$9,Paramètres!$A$1:$I$89,3,0)*0.475*44/12</f>
        <v>0.2222635038405853</v>
      </c>
      <c r="AC43" s="24">
        <f t="shared" si="3"/>
        <v>22.737113389234771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158</v>
      </c>
      <c r="AG43" s="13">
        <f>VLOOKUP(A43,'Données projet'!$A$61:$I$81,9,0)</f>
        <v>8.4</v>
      </c>
      <c r="AH43" s="13">
        <f t="array" ref="AH43">INDEX(AG:AG,MIN(IF(ISNUMBER(AG43:AG239),ROW(AG43:AG239),"")))</f>
        <v>8.4</v>
      </c>
      <c r="AI43" s="14">
        <f>IF('Données projet'!$A$62&gt;35,AI42+AH43-AQ42,IF(A43&lt;'Données projet'!$A$62,$AF$205^A43,IF(A43='Données projet'!$A$62,'Données projet'!$B$62,AI42+AH43-AQ42)))</f>
        <v>158.00000000000003</v>
      </c>
      <c r="AJ43" s="14">
        <f>AI43*VLOOKUP('Données projet'!$B$10,Paramètres!$A$1:$I$89,3,0)*VLOOKUP('Données projet'!$B$10,Paramètres!$A$1:$I$89,5,0)</f>
        <v>160.21200000000005</v>
      </c>
      <c r="AK43" s="14">
        <f t="shared" si="35"/>
        <v>40.890328912852695</v>
      </c>
      <c r="AL43" s="22">
        <f t="shared" si="4"/>
        <v>350.25322285655176</v>
      </c>
      <c r="AM43" s="60">
        <f t="shared" si="5"/>
        <v>643.58655618988507</v>
      </c>
      <c r="AN43" s="60">
        <f ca="1">AVERAGE(OFFSET($AM$3,0,0,'Données projet'!$E$10+1,1))-AVERAGE(OFFSET($H$3,0,0,'Données projet'!$E$10+1,1))</f>
        <v>350.3652766444938</v>
      </c>
      <c r="AO43" s="60">
        <f t="shared" si="36"/>
        <v>197.04549436738586</v>
      </c>
      <c r="AP43" s="16">
        <f>IF(ISNA(VLOOKUP(A43,'Données projet'!$A$61:$I$81,3,0)),0,VLOOKUP(A43,'Données projet'!$A$61:$I$81,3,0))</f>
        <v>2</v>
      </c>
      <c r="AQ43" s="16">
        <f>IF(ISNA(VLOOKUP(A43,'Données projet'!$A$61:$I$81,4,0)),0,VLOOKUP(A43,'Données projet'!$A$61:$I$81,4,0))</f>
        <v>42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6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158</v>
      </c>
      <c r="BB43" s="13">
        <f>VLOOKUP(A43,'Données projet'!$A$87:$I$107,9,0)</f>
        <v>8.4</v>
      </c>
      <c r="BC43" s="13">
        <f t="array" ref="BC43">INDEX(BB:BB,MIN(IF(ISNUMBER(BB43:BB239),ROW(BB43:BB239),"")))</f>
        <v>8.4</v>
      </c>
      <c r="BD43" s="13">
        <f>IF('Données projet'!$A$88&gt;35,BD42+BC43-BL42,IF(A43&lt;'Données projet'!$A$88,$BA$205^A43,IF(A43='Données projet'!$A$88,'Données projet'!$B$88,BD42+BC43-BL42)))</f>
        <v>158.00000000000003</v>
      </c>
      <c r="BE43" s="14">
        <f>BD43*VLOOKUP('Données projet'!$B$11,Paramètres!$A$1:$I$89,3,0)*VLOOKUP('Données projet'!$B$11,Paramètres!$A$1:$I$89,5,0)</f>
        <v>152.81760000000003</v>
      </c>
      <c r="BF43" s="14">
        <f t="shared" si="37"/>
        <v>39.218200171484227</v>
      </c>
      <c r="BG43" s="22">
        <f t="shared" si="7"/>
        <v>334.46235196533502</v>
      </c>
      <c r="BH43" s="60">
        <f t="shared" si="8"/>
        <v>627.79568529866833</v>
      </c>
      <c r="BI43" s="60">
        <f ca="1">AVERAGE(OFFSET($BH$3,0,0,'Données projet'!$E$11+1,1))-AVERAGE(OFFSET($H$3,0,0,'Données projet'!$E$11+1,1))</f>
        <v>330.39429528665841</v>
      </c>
      <c r="BJ43" s="60">
        <f t="shared" si="38"/>
        <v>186.45728006007261</v>
      </c>
      <c r="BK43" s="16">
        <f>IF(ISNA(VLOOKUP(A43,'Données projet'!$A$87:$I$107,3,0)),0,VLOOKUP(A43,'Données projet'!$A$87:$I$107,3,0))</f>
        <v>2</v>
      </c>
      <c r="BL43" s="16">
        <f>IF(ISNA(VLOOKUP(A43,'Données projet'!$A$87:$I$107,4,0)),0,VLOOKUP(A43,'Données projet'!$A$87:$I$107,4,0))</f>
        <v>42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191.02564102564102</v>
      </c>
      <c r="BW43" s="13">
        <f>VLOOKUP(A43,'Données projet'!$A$113:$I$133,9,0)</f>
        <v>7.1794871794871824</v>
      </c>
      <c r="BX43" s="13">
        <f t="array" ref="BX43">INDEX(BW:BW,MIN(IF(ISNUMBER(BW43:BW239),ROW(BW43:BW239),"")))</f>
        <v>7.1794871794871824</v>
      </c>
      <c r="BY43" s="13">
        <f>IF('Données projet'!$A$114&gt;35,BY42+BX43-CG42,IF(A43&lt;'Données projet'!$A$114,$BV$205^A43,IF(A43='Données projet'!$A$114,'Données projet'!$B$114,BY42+BX43-CG42)))</f>
        <v>191.02564102564105</v>
      </c>
      <c r="BZ43" s="14">
        <f>BY43*VLOOKUP('Données projet'!$B$12,Paramètres!$A$1:$I$89,3,0)*VLOOKUP('Données projet'!$B$12,Paramètres!$A$1:$I$89,5,0)</f>
        <v>128.14000000000001</v>
      </c>
      <c r="CA43" s="14">
        <f t="shared" si="39"/>
        <v>33.566208132601098</v>
      </c>
      <c r="CB43" s="22">
        <f t="shared" si="10"/>
        <v>281.63831249761358</v>
      </c>
      <c r="CC43" s="60">
        <f t="shared" si="11"/>
        <v>574.97164583094695</v>
      </c>
      <c r="CD43" s="60">
        <f ca="1">AVERAGE(OFFSET($CC$3,0,0,'Données projet'!$E$12+1,1))-AVERAGE(OFFSET($H$3,0,0,'Données projet'!$E$12+1,1))</f>
        <v>212.33913923444732</v>
      </c>
      <c r="CE43" s="60">
        <f t="shared" si="40"/>
        <v>183.51194426094372</v>
      </c>
      <c r="CF43" s="16">
        <f>IF(ISNA(VLOOKUP(A43,'Données projet'!$A$113:$I$133,3,0)),0,VLOOKUP(A43,'Données projet'!$A$113:$I$133,3,0))</f>
        <v>3</v>
      </c>
      <c r="CG43" s="16">
        <f>IF(ISNA(VLOOKUP(A43,'Données projet'!$A$113:$I$133,4,0)),0,VLOOKUP(A43,'Données projet'!$A$113:$I$133,4,0))</f>
        <v>34.615384615384613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170</v>
      </c>
      <c r="CR43" s="13">
        <f>VLOOKUP(A43,'Données projet'!$A$139:$I$159,9,0)</f>
        <v>8.1999999999999993</v>
      </c>
      <c r="CS43" s="13">
        <f t="array" ref="CS43">INDEX(CR:CR,MIN(IF(ISNUMBER(CR43:CR239),ROW(CR43:CR239),"")))</f>
        <v>8.1999999999999993</v>
      </c>
      <c r="CT43" s="13">
        <f>IF('Données projet'!$A$140&gt;35,CT42+CS43-DB42,IF(A43&lt;'Données projet'!$A$140,$CQ$205^A43,IF(A43='Données projet'!$A$140,'Données projet'!$B$140,CT42+CS43-DB42)))</f>
        <v>169.99999999999986</v>
      </c>
      <c r="CU43" s="18">
        <f>CT43*VLOOKUP('Données projet'!$B$13,Paramètres!$A$1:$I$89,3,0)*VLOOKUP('Données projet'!$B$13,Paramètres!$A$1:$I$89,5,0)</f>
        <v>148.51199999999989</v>
      </c>
      <c r="CV43" s="14">
        <f t="shared" si="41"/>
        <v>38.240236326053477</v>
      </c>
      <c r="CW43" s="22">
        <f t="shared" si="13"/>
        <v>325.26014493454295</v>
      </c>
      <c r="CX43" s="60">
        <f t="shared" si="14"/>
        <v>618.59347826787621</v>
      </c>
      <c r="CY43" s="60">
        <f ca="1">AVERAGE(OFFSET($CX$3,0,0,'Données projet'!$E$13+1,1))-AVERAGE(OFFSET($H$3,0,0,'Données projet'!$E$13+1,1))</f>
        <v>228.0393346366489</v>
      </c>
      <c r="CZ43" s="60">
        <f t="shared" si="42"/>
        <v>238.591781509447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158</v>
      </c>
      <c r="DM43" s="13">
        <f>VLOOKUP(A43,'Données projet'!$A$165:$I$185,9,0)</f>
        <v>8.4</v>
      </c>
      <c r="DN43" s="13">
        <f t="array" ref="DN43">INDEX(DM:DM,MIN(IF(ISNUMBER(DM43:DM239),ROW(DM43:DM239),"")))</f>
        <v>8.4</v>
      </c>
      <c r="DO43" s="13">
        <f>IF('Données projet'!$A$166&gt;35,DO42+DN43-DW42,IF(A43&lt;'Données projet'!$A$166,$DL$205^A43,IF(A43='Données projet'!$A$166,'Données projet'!$B$166,DO42+DN43-DW42)))</f>
        <v>158.00000000000003</v>
      </c>
      <c r="DP43" s="18">
        <f>DO43*VLOOKUP('Données projet'!$B$14,Paramètres!$A$1:$I$89,3,0)*VLOOKUP('Données projet'!$B$14,Paramètres!$A$1:$I$89,5,0)</f>
        <v>142.95840000000004</v>
      </c>
      <c r="DQ43" s="14">
        <f t="shared" si="43"/>
        <v>36.973906370811264</v>
      </c>
      <c r="DR43" s="22">
        <f t="shared" si="16"/>
        <v>313.38210026249641</v>
      </c>
      <c r="DS43" s="60">
        <f t="shared" si="17"/>
        <v>606.71543359582972</v>
      </c>
      <c r="DT43" s="60">
        <f ca="1">AVERAGE(OFFSET($DS$3,0,0,'Données projet'!$E$14+1,1))-AVERAGE(OFFSET($H$3,0,0,'Données projet'!$E$14+1,1))</f>
        <v>303.73499739059076</v>
      </c>
      <c r="DU43" s="60">
        <f t="shared" si="44"/>
        <v>172.32171001882188</v>
      </c>
      <c r="DV43" s="16">
        <f>IF(ISNA(VLOOKUP(A43,'Données projet'!$A$165:$I$185,3,0)),0,VLOOKUP(A43,'Données projet'!$A$165:$I$185,3,0))</f>
        <v>2</v>
      </c>
      <c r="DW43" s="16">
        <f>IF(ISNA(VLOOKUP(A43,'Données projet'!$A$165:$I$185,4,0)),0,VLOOKUP(A43,'Données projet'!$A$165:$I$185,4,0))</f>
        <v>42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16.701250000000002</v>
      </c>
      <c r="EJ43" s="13">
        <f>IF('Données projet'!$A$192&gt;35,EJ42+EI43-ER42,IF(A43&lt;'Données projet'!$A$192,$EG$205^A43,IF(A43='Données projet'!$A$192,'Données projet'!$B$192,EJ42+EI43-ER42)))</f>
        <v>283.83875000000018</v>
      </c>
      <c r="EK43" s="18">
        <f>EJ43*VLOOKUP('Données projet'!$B$15,Paramètres!$A$1:$I$89,3,0)*VLOOKUP('Données projet'!$B$15,Paramètres!$A$1:$I$89,5,0)</f>
        <v>169.7355725000001</v>
      </c>
      <c r="EL43" s="14">
        <f t="shared" si="45"/>
        <v>43.030795257249402</v>
      </c>
      <c r="EM43" s="22">
        <f t="shared" si="19"/>
        <v>370.56809051054285</v>
      </c>
      <c r="EN43" s="60">
        <f t="shared" si="20"/>
        <v>663.90142384387616</v>
      </c>
      <c r="EO43" s="60">
        <f ca="1">AVERAGE(OFFSET($EN$3,0,0,'Données projet'!$E$15+1,1))-AVERAGE(OFFSET($H$3,0,0,'Données projet'!$E$15+1,1))</f>
        <v>269.94948820700841</v>
      </c>
      <c r="EP43" s="60">
        <f t="shared" si="46"/>
        <v>183.45158355135192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10.34833282934359</v>
      </c>
      <c r="EX43" s="23">
        <f>EXP(-LN(2)/2)*EX42+(1-EXP(-LN(2)/2))/(LN(2)/2)*ER43*EU43*VLOOKUP('Données projet'!$B$15,Paramètres!$A$1:$I$89,3,0)*0.475*44/12</f>
        <v>0.17618849017126745</v>
      </c>
      <c r="EY43" s="24">
        <f t="shared" si="21"/>
        <v>10.524521319514857</v>
      </c>
      <c r="EZ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>
        <f>VLOOKUP(A43,'Données projet'!$A$217:$I$237,2,0)</f>
        <v>151</v>
      </c>
      <c r="FC43" s="13">
        <f>VLOOKUP(A43,'Données projet'!$A$217:$I$237,9,0)</f>
        <v>9.5</v>
      </c>
      <c r="FD43" s="13">
        <f t="array" ref="FD43">INDEX(FC:FC,MIN(IF(ISNUMBER(FC43:FC239),ROW(FC43:FC239),"")))</f>
        <v>9.5</v>
      </c>
      <c r="FE43" s="13">
        <f>IF('Données projet'!$A$218&gt;35,FE42+FD43-FM42,IF(A43&lt;'Données projet'!$A$218,$FB$205^A43,IF(A43='Données projet'!$A$218,'Données projet'!$B$218,FE42+FD43-FM42)))</f>
        <v>151</v>
      </c>
      <c r="FF43" s="18">
        <f>FE43*VLOOKUP('Données projet'!$B$16,Paramètres!$A$1:$I$89,3,0)*VLOOKUP('Données projet'!$B$16,Paramètres!$A$1:$I$89,5,0)</f>
        <v>90.298000000000016</v>
      </c>
      <c r="FG43" s="14">
        <f t="shared" si="47"/>
        <v>24.637081585210524</v>
      </c>
      <c r="FH43" s="22">
        <f t="shared" si="22"/>
        <v>200.17860042757502</v>
      </c>
      <c r="FI43" s="60">
        <f t="shared" si="23"/>
        <v>493.51193376090833</v>
      </c>
      <c r="FJ43" s="60">
        <f ca="1">AVERAGE(OFFSET($FI$3,0,0,'Données projet'!$E$16+1,1))-AVERAGE(OFFSET($H$3,0,0,'Données projet'!$E$16+1,1))</f>
        <v>111.24788725253484</v>
      </c>
      <c r="FK43" s="60">
        <f t="shared" si="48"/>
        <v>82.434879813357327</v>
      </c>
      <c r="FL43" s="16">
        <f>IF(ISNA(VLOOKUP(A43,'Données projet'!$A$217:$I$237,3,0)),0,VLOOKUP(A43,'Données projet'!$A$217:$I$237,3,0))</f>
        <v>2</v>
      </c>
      <c r="FM43" s="16">
        <f>IF(ISNA(VLOOKUP(A43,'Données projet'!$A$217:$I$237,4,0)),0,VLOOKUP(A43,'Données projet'!$A$217:$I$237,4,0))</f>
        <v>56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projet'!$B$16,Paramètres!$A$1:$I$89,3,0)*0.475*44/12</f>
        <v>0</v>
      </c>
      <c r="FR43" s="23">
        <f>EXP(-LN(2)/25)*FR42+(1-EXP(-LN(2)/25))/(LN(2)/25)*Calculateur!FM43*Calculateur!FO43*VLOOKUP('Données projet'!$B$16,Paramètres!$A$1:$I$89,3,0)*0.475*44/12</f>
        <v>0</v>
      </c>
      <c r="FS43" s="23">
        <f>EXP(-LN(2)/2)*FS42+(1-EXP(-LN(2)/2))/(LN(2)/2)*FM43*FP43*VLOOKUP('Données projet'!$B$16,Paramètres!$A$1:$I$89,3,0)*0.475*44/12</f>
        <v>0</v>
      </c>
      <c r="FT43" s="24">
        <f t="shared" si="24"/>
        <v>0</v>
      </c>
      <c r="FU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25.2</v>
      </c>
      <c r="FZ43" s="13">
        <f>IF('Données projet'!$A$244&gt;35,FZ42+FY43-GH42,IF(A43&lt;'Données projet'!$A$244,$FW$205^A43,IF(A43='Données projet'!$A$244,'Données projet'!$B$244,FZ42+FY43-GH42)))</f>
        <v>472.39999999999986</v>
      </c>
      <c r="GA43" s="18">
        <f>FZ43*VLOOKUP('Données projet'!$B$17,Paramètres!$A$1:$I$89,3,0)*VLOOKUP('Données projet'!$B$17,Paramètres!$A$1:$I$89,5,0)</f>
        <v>208.80079999999995</v>
      </c>
      <c r="GB43" s="14">
        <f t="shared" si="49"/>
        <v>51.673443047199591</v>
      </c>
      <c r="GC43" s="22">
        <f t="shared" si="25"/>
        <v>453.65930664053917</v>
      </c>
      <c r="GD43" s="60">
        <f t="shared" si="26"/>
        <v>746.99263997387243</v>
      </c>
      <c r="GE43" s="60">
        <f ca="1">AVERAGE(OFFSET($GD$3,0,0,'Données projet'!$E$17+1,1))-AVERAGE(OFFSET($H$3,0,0,'Données projet'!$E$17+1,1))</f>
        <v>323.56667371063662</v>
      </c>
      <c r="GF43" s="60">
        <f t="shared" si="50"/>
        <v>275.70373467723385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>
        <f>EXP(-LN(2)/35)*GL42+(1-EXP(-LN(2)/35))/(LN(2)/35)*GH43*GI43*VLOOKUP('Données projet'!$B$17,Paramètres!$A$1:$I$89,3,0)*0.475*44/12</f>
        <v>0</v>
      </c>
      <c r="GM43" s="23">
        <f>EXP(-LN(2)/25)*GM42+(1-EXP(-LN(2)/25))/(LN(2)/25)*Calculateur!GH43*Calculateur!GJ43*VLOOKUP('Données projet'!$B$17,Paramètres!$A$1:$I$89,3,0)*0.475*44/12</f>
        <v>0</v>
      </c>
      <c r="GN43" s="23">
        <f>EXP(-LN(2)/2)*GN42+(1-EXP(-LN(2)/2))/(LN(2)/2)*GH43*GK43*VLOOKUP('Données projet'!$B$17,Paramètres!$A$1:$I$89,3,0)*0.475*44/12</f>
        <v>0</v>
      </c>
      <c r="GO43" s="23">
        <f t="shared" si="27"/>
        <v>0</v>
      </c>
      <c r="GP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0" t="e">
        <f t="shared" si="29"/>
        <v>#N/A</v>
      </c>
      <c r="GZ43" s="60" t="e">
        <f ca="1">AVERAGE(OFFSET($GY$3,0,0,'Données projet'!$E$18+1,1))-AVERAGE(OFFSET($H$3,0,0,'Données projet'!$E$18+1,1))</f>
        <v>#N/A</v>
      </c>
      <c r="HA43" s="60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4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2">
        <f t="shared" si="32"/>
        <v>7.1844131608438397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16.536250000000003</v>
      </c>
      <c r="N44" s="14">
        <f>IF('Données projet'!$A$36&gt;35,N43+M44-V43,IF(A44&lt;'Données projet'!$A$36,$K$205^A44,IF(A44='Données projet'!$A$36,'Données projet'!$B$36,N43+M44-V43)))</f>
        <v>317.74124999999992</v>
      </c>
      <c r="O44" s="14">
        <f>N44*VLOOKUP('Données projet'!$B$9,Paramètres!$A$1:$I$89,3,0)*VLOOKUP('Données projet'!$B$9,Paramètres!$A$1:$I$89,5,0)</f>
        <v>190.00926749999999</v>
      </c>
      <c r="P44" s="14">
        <f t="shared" si="33"/>
        <v>47.542001758079778</v>
      </c>
      <c r="Q44" s="22">
        <f t="shared" si="53"/>
        <v>413.73512729115561</v>
      </c>
      <c r="R44" s="60">
        <f t="shared" si="0"/>
        <v>707.06846062448892</v>
      </c>
      <c r="S44" s="60">
        <f ca="1">AVERAGE(OFFSET($R$3,0,0,'Données projet'!$E$9+1,1))-AVERAGE(OFFSET($H$3,0,0,'Données projet'!$E$9+1,1))</f>
        <v>235.63766249714581</v>
      </c>
      <c r="T44" s="60">
        <f t="shared" si="34"/>
        <v>231.3297293785277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9.2277051890375983</v>
      </c>
      <c r="AA44" s="23">
        <f>EXP(-LN(2)/25)*AA43+(1-EXP(-LN(2)/25))/(LN(2)/25)*Calculateur!V44*Calculateur!X44*VLOOKUP('Données projet'!$B$9,Paramètres!$A$1:$I$89,3,0)*0.475*44/12</f>
        <v>12.74428511863081</v>
      </c>
      <c r="AB44" s="23">
        <f>EXP(-LN(2)/2)*AB43+(1-EXP(-LN(2)/2))/(LN(2)/2)*V44*Y44*VLOOKUP('Données projet'!$B$9,Paramètres!$A$1:$I$89,3,0)*0.475*44/12</f>
        <v>0.15716403077596011</v>
      </c>
      <c r="AC44" s="24">
        <f t="shared" si="3"/>
        <v>22.129154338444366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124.40000000000003</v>
      </c>
      <c r="AJ44" s="14">
        <f>AI44*VLOOKUP('Données projet'!$B$10,Paramètres!$A$1:$I$89,3,0)*VLOOKUP('Données projet'!$B$10,Paramètres!$A$1:$I$89,5,0)</f>
        <v>126.14160000000005</v>
      </c>
      <c r="AK44" s="14">
        <f t="shared" si="35"/>
        <v>33.10323903126482</v>
      </c>
      <c r="AL44" s="22">
        <f t="shared" si="4"/>
        <v>277.35142797945298</v>
      </c>
      <c r="AM44" s="60">
        <f t="shared" si="5"/>
        <v>570.68476131278635</v>
      </c>
      <c r="AN44" s="60">
        <f ca="1">AVERAGE(OFFSET($AM$3,0,0,'Données projet'!$E$10+1,1))-AVERAGE(OFFSET($H$3,0,0,'Données projet'!$E$10+1,1))</f>
        <v>350.3652766444938</v>
      </c>
      <c r="AO44" s="60">
        <f t="shared" si="36"/>
        <v>197.04549436738586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6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8.4</v>
      </c>
      <c r="BD44" s="13">
        <f>IF('Données projet'!$A$88&gt;35,BD43+BC44-BL43,IF(A44&lt;'Données projet'!$A$88,$BA$205^A44,IF(A44='Données projet'!$A$88,'Données projet'!$B$88,BD43+BC44-BL43)))</f>
        <v>124.40000000000003</v>
      </c>
      <c r="BE44" s="14">
        <f>BD44*VLOOKUP('Données projet'!$B$11,Paramètres!$A$1:$I$89,3,0)*VLOOKUP('Données projet'!$B$11,Paramètres!$A$1:$I$89,5,0)</f>
        <v>120.31968000000002</v>
      </c>
      <c r="BF44" s="14">
        <f t="shared" si="37"/>
        <v>31.74954785566829</v>
      </c>
      <c r="BG44" s="22">
        <f t="shared" si="7"/>
        <v>264.85390518195561</v>
      </c>
      <c r="BH44" s="60">
        <f t="shared" si="8"/>
        <v>558.18723851528898</v>
      </c>
      <c r="BI44" s="60">
        <f ca="1">AVERAGE(OFFSET($BH$3,0,0,'Données projet'!$E$11+1,1))-AVERAGE(OFFSET($H$3,0,0,'Données projet'!$E$11+1,1))</f>
        <v>330.39429528665841</v>
      </c>
      <c r="BJ44" s="60">
        <f t="shared" si="38"/>
        <v>186.45728006007261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6.7948717948717956</v>
      </c>
      <c r="BY44" s="13">
        <f>IF('Données projet'!$A$114&gt;35,BY43+BX44-CG43,IF(A44&lt;'Données projet'!$A$114,$BV$205^A44,IF(A44='Données projet'!$A$114,'Données projet'!$B$114,BY43+BX44-CG43)))</f>
        <v>163.20512820512823</v>
      </c>
      <c r="BZ44" s="14">
        <f>BY44*VLOOKUP('Données projet'!$B$12,Paramètres!$A$1:$I$89,3,0)*VLOOKUP('Données projet'!$B$12,Paramètres!$A$1:$I$89,5,0)</f>
        <v>109.47800000000001</v>
      </c>
      <c r="CA44" s="14">
        <f t="shared" si="39"/>
        <v>29.207963273678622</v>
      </c>
      <c r="CB44" s="22">
        <f t="shared" si="10"/>
        <v>241.5447193683236</v>
      </c>
      <c r="CC44" s="60">
        <f t="shared" si="11"/>
        <v>534.87805270165688</v>
      </c>
      <c r="CD44" s="60">
        <f ca="1">AVERAGE(OFFSET($CC$3,0,0,'Données projet'!$E$12+1,1))-AVERAGE(OFFSET($H$3,0,0,'Données projet'!$E$12+1,1))</f>
        <v>212.33913923444732</v>
      </c>
      <c r="CE44" s="60">
        <f t="shared" si="40"/>
        <v>183.51194426094372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7.6</v>
      </c>
      <c r="CT44" s="13">
        <f>IF('Données projet'!$A$140&gt;35,CT43+CS44-DB43,IF(A44&lt;'Données projet'!$A$140,$CQ$205^A44,IF(A44='Données projet'!$A$140,'Données projet'!$B$140,CT43+CS44-DB43)))</f>
        <v>177.59999999999985</v>
      </c>
      <c r="CU44" s="18">
        <f>CT44*VLOOKUP('Données projet'!$B$13,Paramètres!$A$1:$I$89,3,0)*VLOOKUP('Données projet'!$B$13,Paramètres!$A$1:$I$89,5,0)</f>
        <v>155.1513599999999</v>
      </c>
      <c r="CV44" s="14">
        <f t="shared" si="41"/>
        <v>39.746940196236906</v>
      </c>
      <c r="CW44" s="22">
        <f t="shared" si="13"/>
        <v>339.44787284177909</v>
      </c>
      <c r="CX44" s="60">
        <f t="shared" si="14"/>
        <v>632.7812061751124</v>
      </c>
      <c r="CY44" s="60">
        <f ca="1">AVERAGE(OFFSET($CX$3,0,0,'Données projet'!$E$13+1,1))-AVERAGE(OFFSET($H$3,0,0,'Données projet'!$E$13+1,1))</f>
        <v>228.0393346366489</v>
      </c>
      <c r="CZ44" s="60">
        <f t="shared" si="42"/>
        <v>238.591781509447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8.4</v>
      </c>
      <c r="DO44" s="13">
        <f>IF('Données projet'!$A$166&gt;35,DO43+DN44-DW43,IF(A44&lt;'Données projet'!$A$166,$DL$205^A44,IF(A44='Données projet'!$A$166,'Données projet'!$B$166,DO43+DN44-DW43)))</f>
        <v>124.40000000000003</v>
      </c>
      <c r="DP44" s="18">
        <f>DO44*VLOOKUP('Données projet'!$B$14,Paramètres!$A$1:$I$89,3,0)*VLOOKUP('Données projet'!$B$14,Paramètres!$A$1:$I$89,5,0)</f>
        <v>112.55712000000003</v>
      </c>
      <c r="DQ44" s="14">
        <f t="shared" si="43"/>
        <v>29.932653834140599</v>
      </c>
      <c r="DR44" s="22">
        <f t="shared" si="16"/>
        <v>248.16968942779496</v>
      </c>
      <c r="DS44" s="60">
        <f t="shared" si="17"/>
        <v>541.50302276112825</v>
      </c>
      <c r="DT44" s="60">
        <f ca="1">AVERAGE(OFFSET($DS$3,0,0,'Données projet'!$E$14+1,1))-AVERAGE(OFFSET($H$3,0,0,'Données projet'!$E$14+1,1))</f>
        <v>303.73499739059076</v>
      </c>
      <c r="DU44" s="60">
        <f t="shared" si="44"/>
        <v>172.32171001882188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>
        <f>VLOOKUP(A44,'Données projet'!$A$191:$I$211,2,0)</f>
        <v>300.54000000000002</v>
      </c>
      <c r="EH44" s="13">
        <f>VLOOKUP(A44,'Données projet'!$A$191:$I$211,9,0)</f>
        <v>16.701250000000002</v>
      </c>
      <c r="EI44" s="13">
        <f t="array" ref="EI44">INDEX(EH:EH,MIN(IF(ISNUMBER(EH44:EH240),ROW(EH44:EH240),"")))</f>
        <v>16.701250000000002</v>
      </c>
      <c r="EJ44" s="13">
        <f>IF('Données projet'!$A$192&gt;35,EJ43+EI44-ER43,IF(A44&lt;'Données projet'!$A$192,$EG$205^A44,IF(A44='Données projet'!$A$192,'Données projet'!$B$192,EJ43+EI44-ER43)))</f>
        <v>300.54000000000019</v>
      </c>
      <c r="EK44" s="18">
        <f>EJ44*VLOOKUP('Données projet'!$B$15,Paramètres!$A$1:$I$89,3,0)*VLOOKUP('Données projet'!$B$15,Paramètres!$A$1:$I$89,5,0)</f>
        <v>179.72292000000013</v>
      </c>
      <c r="EL44" s="14">
        <f t="shared" si="45"/>
        <v>45.260535445550225</v>
      </c>
      <c r="EM44" s="22">
        <f t="shared" si="19"/>
        <v>391.84618490100024</v>
      </c>
      <c r="EN44" s="60">
        <f t="shared" si="20"/>
        <v>685.1795182343335</v>
      </c>
      <c r="EO44" s="60">
        <f ca="1">AVERAGE(OFFSET($EN$3,0,0,'Données projet'!$E$15+1,1))-AVERAGE(OFFSET($H$3,0,0,'Données projet'!$E$15+1,1))</f>
        <v>269.94948820700841</v>
      </c>
      <c r="EP44" s="60">
        <f t="shared" si="46"/>
        <v>183.45158355135192</v>
      </c>
      <c r="EQ44" s="16">
        <f>IF(ISNA(VLOOKUP(A44,'Données projet'!$A$191:$I$211,3,0)),0,VLOOKUP(A44,'Données projet'!$A$191:$I$211,3,0))</f>
        <v>4</v>
      </c>
      <c r="ER44" s="16">
        <f>IF(ISNA(VLOOKUP(A44,'Données projet'!$A$191:$I$211,4,0)),0,VLOOKUP(A44,'Données projet'!$A$191:$I$211,4,0))</f>
        <v>72.13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10.065357123930017</v>
      </c>
      <c r="EX44" s="23">
        <f>EXP(-LN(2)/2)*EX43+(1-EXP(-LN(2)/2))/(LN(2)/2)*ER44*EU44*VLOOKUP('Données projet'!$B$15,Paramètres!$A$1:$I$89,3,0)*0.475*44/12</f>
        <v>0.1245840761671226</v>
      </c>
      <c r="EY44" s="24">
        <f t="shared" si="21"/>
        <v>10.18994120009714</v>
      </c>
      <c r="EZ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9.8888888888888893</v>
      </c>
      <c r="FE44" s="13">
        <f>IF('Données projet'!$A$218&gt;35,FE43+FD44-FM43,IF(A44&lt;'Données projet'!$A$218,$FB$205^A44,IF(A44='Données projet'!$A$218,'Données projet'!$B$218,FE43+FD44-FM43)))</f>
        <v>104.88888888888889</v>
      </c>
      <c r="FF44" s="18">
        <f>FE44*VLOOKUP('Données projet'!$B$16,Paramètres!$A$1:$I$89,3,0)*VLOOKUP('Données projet'!$B$16,Paramètres!$A$1:$I$89,5,0)</f>
        <v>62.723555555555564</v>
      </c>
      <c r="FG44" s="14">
        <f t="shared" si="47"/>
        <v>17.855080142483615</v>
      </c>
      <c r="FH44" s="22">
        <f t="shared" si="22"/>
        <v>140.34112384075158</v>
      </c>
      <c r="FI44" s="60">
        <f t="shared" si="23"/>
        <v>433.67445717408486</v>
      </c>
      <c r="FJ44" s="60">
        <f ca="1">AVERAGE(OFFSET($FI$3,0,0,'Données projet'!$E$16+1,1))-AVERAGE(OFFSET($H$3,0,0,'Données projet'!$E$16+1,1))</f>
        <v>111.24788725253484</v>
      </c>
      <c r="FK44" s="60">
        <f t="shared" si="48"/>
        <v>82.434879813357327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projet'!$B$16,Paramètres!$A$1:$I$89,3,0)*0.475*44/12</f>
        <v>0</v>
      </c>
      <c r="FR44" s="23">
        <f>EXP(-LN(2)/25)*FR43+(1-EXP(-LN(2)/25))/(LN(2)/25)*Calculateur!FM44*Calculateur!FO44*VLOOKUP('Données projet'!$B$16,Paramètres!$A$1:$I$89,3,0)*0.475*44/12</f>
        <v>0</v>
      </c>
      <c r="FS44" s="23">
        <f>EXP(-LN(2)/2)*FS43+(1-EXP(-LN(2)/2))/(LN(2)/2)*FM44*FP44*VLOOKUP('Données projet'!$B$16,Paramètres!$A$1:$I$89,3,0)*0.475*44/12</f>
        <v>0</v>
      </c>
      <c r="FT44" s="24">
        <f t="shared" si="24"/>
        <v>0</v>
      </c>
      <c r="FU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25.2</v>
      </c>
      <c r="FZ44" s="13">
        <f>IF('Données projet'!$A$244&gt;35,FZ43+FY44-GH43,IF(A44&lt;'Données projet'!$A$244,$FW$205^A44,IF(A44='Données projet'!$A$244,'Données projet'!$B$244,FZ43+FY44-GH43)))</f>
        <v>497.59999999999985</v>
      </c>
      <c r="GA44" s="18">
        <f>FZ44*VLOOKUP('Données projet'!$B$17,Paramètres!$A$1:$I$89,3,0)*VLOOKUP('Données projet'!$B$17,Paramètres!$A$1:$I$89,5,0)</f>
        <v>219.93919999999997</v>
      </c>
      <c r="GB44" s="14">
        <f t="shared" si="49"/>
        <v>54.101670928427012</v>
      </c>
      <c r="GC44" s="22">
        <f t="shared" si="25"/>
        <v>477.28785020034371</v>
      </c>
      <c r="GD44" s="60">
        <f t="shared" si="26"/>
        <v>770.62118353367703</v>
      </c>
      <c r="GE44" s="60">
        <f ca="1">AVERAGE(OFFSET($GD$3,0,0,'Données projet'!$E$17+1,1))-AVERAGE(OFFSET($H$3,0,0,'Données projet'!$E$17+1,1))</f>
        <v>323.56667371063662</v>
      </c>
      <c r="GF44" s="60">
        <f t="shared" si="50"/>
        <v>275.70373467723385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>
        <f>EXP(-LN(2)/35)*GL43+(1-EXP(-LN(2)/35))/(LN(2)/35)*GH44*GI44*VLOOKUP('Données projet'!$B$17,Paramètres!$A$1:$I$89,3,0)*0.475*44/12</f>
        <v>0</v>
      </c>
      <c r="GM44" s="23">
        <f>EXP(-LN(2)/25)*GM43+(1-EXP(-LN(2)/25))/(LN(2)/25)*Calculateur!GH44*Calculateur!GJ44*VLOOKUP('Données projet'!$B$17,Paramètres!$A$1:$I$89,3,0)*0.475*44/12</f>
        <v>0</v>
      </c>
      <c r="GN44" s="23">
        <f>EXP(-LN(2)/2)*GN43+(1-EXP(-LN(2)/2))/(LN(2)/2)*GH44*GK44*VLOOKUP('Données projet'!$B$17,Paramètres!$A$1:$I$89,3,0)*0.475*44/12</f>
        <v>0</v>
      </c>
      <c r="GO44" s="23">
        <f t="shared" si="27"/>
        <v>0</v>
      </c>
      <c r="GP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0" t="e">
        <f t="shared" si="29"/>
        <v>#N/A</v>
      </c>
      <c r="GZ44" s="60" t="e">
        <f ca="1">AVERAGE(OFFSET($GY$3,0,0,'Données projet'!$E$18+1,1))-AVERAGE(OFFSET($H$3,0,0,'Données projet'!$E$18+1,1))</f>
        <v>#N/A</v>
      </c>
      <c r="HA44" s="60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4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2">
        <f t="shared" si="32"/>
        <v>7.3390282083215048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16.536250000000003</v>
      </c>
      <c r="N45" s="14">
        <f>IF('Données projet'!$A$36&gt;35,N44+M45-V44,IF(A45&lt;'Données projet'!$A$36,$K$205^A45,IF(A45='Données projet'!$A$36,'Données projet'!$B$36,N44+M45-V44)))</f>
        <v>334.27749999999992</v>
      </c>
      <c r="O45" s="14">
        <f>N45*VLOOKUP('Données projet'!$B$9,Paramètres!$A$1:$I$89,3,0)*VLOOKUP('Données projet'!$B$9,Paramètres!$A$1:$I$89,5,0)</f>
        <v>199.89794499999996</v>
      </c>
      <c r="P45" s="14">
        <f t="shared" si="33"/>
        <v>49.721738459069584</v>
      </c>
      <c r="Q45" s="22">
        <f t="shared" si="53"/>
        <v>434.75428202454617</v>
      </c>
      <c r="R45" s="60">
        <f t="shared" si="0"/>
        <v>728.08761535787949</v>
      </c>
      <c r="S45" s="60">
        <f ca="1">AVERAGE(OFFSET($R$3,0,0,'Données projet'!$E$9+1,1))-AVERAGE(OFFSET($H$3,0,0,'Données projet'!$E$9+1,1))</f>
        <v>235.63766249714581</v>
      </c>
      <c r="T45" s="60">
        <f t="shared" si="34"/>
        <v>231.3297293785277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9.0467555186249839</v>
      </c>
      <c r="AA45" s="23">
        <f>EXP(-LN(2)/25)*AA44+(1-EXP(-LN(2)/25))/(LN(2)/25)*Calculateur!V45*Calculateur!X45*VLOOKUP('Données projet'!$B$9,Paramètres!$A$1:$I$89,3,0)*0.475*44/12</f>
        <v>12.395791971869023</v>
      </c>
      <c r="AB45" s="23">
        <f>EXP(-LN(2)/2)*AB44+(1-EXP(-LN(2)/2))/(LN(2)/2)*V45*Y45*VLOOKUP('Données projet'!$B$9,Paramètres!$A$1:$I$89,3,0)*0.475*44/12</f>
        <v>0.11113175192029265</v>
      </c>
      <c r="AC45" s="24">
        <f t="shared" si="3"/>
        <v>21.553679242414301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132.80000000000004</v>
      </c>
      <c r="AJ45" s="14">
        <f>AI45*VLOOKUP('Données projet'!$B$10,Paramètres!$A$1:$I$89,3,0)*VLOOKUP('Données projet'!$B$10,Paramètres!$A$1:$I$89,5,0)</f>
        <v>134.65920000000006</v>
      </c>
      <c r="AK45" s="14">
        <f t="shared" si="35"/>
        <v>35.07074737441733</v>
      </c>
      <c r="AL45" s="22">
        <f t="shared" si="4"/>
        <v>295.61299167711024</v>
      </c>
      <c r="AM45" s="60">
        <f t="shared" si="5"/>
        <v>588.94632501044362</v>
      </c>
      <c r="AN45" s="60">
        <f ca="1">AVERAGE(OFFSET($AM$3,0,0,'Données projet'!$E$10+1,1))-AVERAGE(OFFSET($H$3,0,0,'Données projet'!$E$10+1,1))</f>
        <v>350.3652766444938</v>
      </c>
      <c r="AO45" s="60">
        <f t="shared" si="36"/>
        <v>197.04549436738586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6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8.4</v>
      </c>
      <c r="BD45" s="13">
        <f>IF('Données projet'!$A$88&gt;35,BD44+BC45-BL44,IF(A45&lt;'Données projet'!$A$88,$BA$205^A45,IF(A45='Données projet'!$A$88,'Données projet'!$B$88,BD44+BC45-BL44)))</f>
        <v>132.80000000000004</v>
      </c>
      <c r="BE45" s="14">
        <f>BD45*VLOOKUP('Données projet'!$B$11,Paramètres!$A$1:$I$89,3,0)*VLOOKUP('Données projet'!$B$11,Paramètres!$A$1:$I$89,5,0)</f>
        <v>128.44416000000004</v>
      </c>
      <c r="BF45" s="14">
        <f t="shared" si="37"/>
        <v>33.636598855068954</v>
      </c>
      <c r="BG45" s="22">
        <f t="shared" si="7"/>
        <v>282.29065500591184</v>
      </c>
      <c r="BH45" s="60">
        <f t="shared" si="8"/>
        <v>575.62398833924522</v>
      </c>
      <c r="BI45" s="60">
        <f ca="1">AVERAGE(OFFSET($BH$3,0,0,'Données projet'!$E$11+1,1))-AVERAGE(OFFSET($H$3,0,0,'Données projet'!$E$11+1,1))</f>
        <v>330.39429528665841</v>
      </c>
      <c r="BJ45" s="60">
        <f t="shared" si="38"/>
        <v>186.45728006007261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6.7948717948717956</v>
      </c>
      <c r="BY45" s="13">
        <f>IF('Données projet'!$A$114&gt;35,BY44+BX45-CG44,IF(A45&lt;'Données projet'!$A$114,$BV$205^A45,IF(A45='Données projet'!$A$114,'Données projet'!$B$114,BY44+BX45-CG44)))</f>
        <v>170.00000000000003</v>
      </c>
      <c r="BZ45" s="14">
        <f>BY45*VLOOKUP('Données projet'!$B$12,Paramètres!$A$1:$I$89,3,0)*VLOOKUP('Données projet'!$B$12,Paramètres!$A$1:$I$89,5,0)</f>
        <v>114.03600000000002</v>
      </c>
      <c r="CA45" s="14">
        <f t="shared" si="39"/>
        <v>30.279894261296121</v>
      </c>
      <c r="CB45" s="22">
        <f t="shared" si="10"/>
        <v>251.35018250509077</v>
      </c>
      <c r="CC45" s="60">
        <f t="shared" si="11"/>
        <v>544.68351583842411</v>
      </c>
      <c r="CD45" s="60">
        <f ca="1">AVERAGE(OFFSET($CC$3,0,0,'Données projet'!$E$12+1,1))-AVERAGE(OFFSET($H$3,0,0,'Données projet'!$E$12+1,1))</f>
        <v>212.33913923444732</v>
      </c>
      <c r="CE45" s="60">
        <f t="shared" si="40"/>
        <v>183.51194426094372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7.6</v>
      </c>
      <c r="CT45" s="13">
        <f>IF('Données projet'!$A$140&gt;35,CT44+CS45-DB44,IF(A45&lt;'Données projet'!$A$140,$CQ$205^A45,IF(A45='Données projet'!$A$140,'Données projet'!$B$140,CT44+CS45-DB44)))</f>
        <v>185.19999999999985</v>
      </c>
      <c r="CU45" s="18">
        <f>CT45*VLOOKUP('Données projet'!$B$13,Paramètres!$A$1:$I$89,3,0)*VLOOKUP('Données projet'!$B$13,Paramètres!$A$1:$I$89,5,0)</f>
        <v>161.79071999999988</v>
      </c>
      <c r="CV45" s="14">
        <f t="shared" si="41"/>
        <v>41.246155299148</v>
      </c>
      <c r="CW45" s="22">
        <f t="shared" si="13"/>
        <v>353.62255781268254</v>
      </c>
      <c r="CX45" s="60">
        <f t="shared" si="14"/>
        <v>646.9558911460158</v>
      </c>
      <c r="CY45" s="60">
        <f ca="1">AVERAGE(OFFSET($CX$3,0,0,'Données projet'!$E$13+1,1))-AVERAGE(OFFSET($H$3,0,0,'Données projet'!$E$13+1,1))</f>
        <v>228.0393346366489</v>
      </c>
      <c r="CZ45" s="60">
        <f t="shared" si="42"/>
        <v>238.591781509447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8.4</v>
      </c>
      <c r="DO45" s="13">
        <f>IF('Données projet'!$A$166&gt;35,DO44+DN45-DW44,IF(A45&lt;'Données projet'!$A$166,$DL$205^A45,IF(A45='Données projet'!$A$166,'Données projet'!$B$166,DO44+DN45-DW44)))</f>
        <v>132.80000000000004</v>
      </c>
      <c r="DP45" s="18">
        <f>DO45*VLOOKUP('Données projet'!$B$14,Paramètres!$A$1:$I$89,3,0)*VLOOKUP('Données projet'!$B$14,Paramètres!$A$1:$I$89,5,0)</f>
        <v>120.15744000000002</v>
      </c>
      <c r="DQ45" s="14">
        <f t="shared" si="43"/>
        <v>31.711716786129845</v>
      </c>
      <c r="DR45" s="22">
        <f t="shared" si="16"/>
        <v>264.50544806917623</v>
      </c>
      <c r="DS45" s="60">
        <f t="shared" si="17"/>
        <v>557.83878140250954</v>
      </c>
      <c r="DT45" s="60">
        <f ca="1">AVERAGE(OFFSET($DS$3,0,0,'Données projet'!$E$14+1,1))-AVERAGE(OFFSET($H$3,0,0,'Données projet'!$E$14+1,1))</f>
        <v>303.73499739059076</v>
      </c>
      <c r="DU45" s="60">
        <f t="shared" si="44"/>
        <v>172.32171001882188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15.725555555555552</v>
      </c>
      <c r="EJ45" s="13">
        <f>IF('Données projet'!$A$192&gt;35,EJ44+EI45-ER44,IF(A45&lt;'Données projet'!$A$192,$EG$205^A45,IF(A45='Données projet'!$A$192,'Données projet'!$B$192,EJ44+EI45-ER44)))</f>
        <v>244.13555555555575</v>
      </c>
      <c r="EK45" s="18">
        <f>EJ45*VLOOKUP('Données projet'!$B$15,Paramètres!$A$1:$I$89,3,0)*VLOOKUP('Données projet'!$B$15,Paramètres!$A$1:$I$89,5,0)</f>
        <v>145.99306222222236</v>
      </c>
      <c r="EL45" s="14">
        <f t="shared" si="45"/>
        <v>37.666564668799332</v>
      </c>
      <c r="EM45" s="22">
        <f t="shared" si="19"/>
        <v>319.87385016852949</v>
      </c>
      <c r="EN45" s="60">
        <f t="shared" si="20"/>
        <v>613.2071835018628</v>
      </c>
      <c r="EO45" s="60">
        <f ca="1">AVERAGE(OFFSET($EN$3,0,0,'Données projet'!$E$15+1,1))-AVERAGE(OFFSET($H$3,0,0,'Données projet'!$E$15+1,1))</f>
        <v>269.94948820700841</v>
      </c>
      <c r="EP45" s="60">
        <f t="shared" si="46"/>
        <v>183.45158355135192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9.7901194040620236</v>
      </c>
      <c r="EX45" s="23">
        <f>EXP(-LN(2)/2)*EX44+(1-EXP(-LN(2)/2))/(LN(2)/2)*ER45*EU45*VLOOKUP('Données projet'!$B$15,Paramètres!$A$1:$I$89,3,0)*0.475*44/12</f>
        <v>8.8094245085633738E-2</v>
      </c>
      <c r="EY45" s="24">
        <f t="shared" si="21"/>
        <v>9.8782136491476571</v>
      </c>
      <c r="EZ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9.8888888888888893</v>
      </c>
      <c r="FE45" s="13">
        <f>IF('Données projet'!$A$218&gt;35,FE44+FD45-FM44,IF(A45&lt;'Données projet'!$A$218,$FB$205^A45,IF(A45='Données projet'!$A$218,'Données projet'!$B$218,FE44+FD45-FM44)))</f>
        <v>114.77777777777777</v>
      </c>
      <c r="FF45" s="18">
        <f>FE45*VLOOKUP('Données projet'!$B$16,Paramètres!$A$1:$I$89,3,0)*VLOOKUP('Données projet'!$B$16,Paramètres!$A$1:$I$89,5,0)</f>
        <v>68.637111111111111</v>
      </c>
      <c r="FG45" s="14">
        <f t="shared" si="47"/>
        <v>19.334617901691367</v>
      </c>
      <c r="FH45" s="22">
        <f t="shared" si="22"/>
        <v>153.217428030631</v>
      </c>
      <c r="FI45" s="60">
        <f t="shared" si="23"/>
        <v>446.55076136396428</v>
      </c>
      <c r="FJ45" s="60">
        <f ca="1">AVERAGE(OFFSET($FI$3,0,0,'Données projet'!$E$16+1,1))-AVERAGE(OFFSET($H$3,0,0,'Données projet'!$E$16+1,1))</f>
        <v>111.24788725253484</v>
      </c>
      <c r="FK45" s="60">
        <f t="shared" si="48"/>
        <v>82.434879813357327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projet'!$B$16,Paramètres!$A$1:$I$89,3,0)*0.475*44/12</f>
        <v>0</v>
      </c>
      <c r="FR45" s="23">
        <f>EXP(-LN(2)/25)*FR44+(1-EXP(-LN(2)/25))/(LN(2)/25)*Calculateur!FM45*Calculateur!FO45*VLOOKUP('Données projet'!$B$16,Paramètres!$A$1:$I$89,3,0)*0.475*44/12</f>
        <v>0</v>
      </c>
      <c r="FS45" s="23">
        <f>EXP(-LN(2)/2)*FS44+(1-EXP(-LN(2)/2))/(LN(2)/2)*FM45*FP45*VLOOKUP('Données projet'!$B$16,Paramètres!$A$1:$I$89,3,0)*0.475*44/12</f>
        <v>0</v>
      </c>
      <c r="FT45" s="24">
        <f t="shared" si="24"/>
        <v>0</v>
      </c>
      <c r="FU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25.2</v>
      </c>
      <c r="FZ45" s="13">
        <f>IF('Données projet'!$A$244&gt;35,FZ44+FY45-GH44,IF(A45&lt;'Données projet'!$A$244,$FW$205^A45,IF(A45='Données projet'!$A$244,'Données projet'!$B$244,FZ44+FY45-GH44)))</f>
        <v>522.79999999999984</v>
      </c>
      <c r="GA45" s="18">
        <f>FZ45*VLOOKUP('Données projet'!$B$17,Paramètres!$A$1:$I$89,3,0)*VLOOKUP('Données projet'!$B$17,Paramètres!$A$1:$I$89,5,0)</f>
        <v>231.07759999999993</v>
      </c>
      <c r="GB45" s="14">
        <f t="shared" si="49"/>
        <v>56.515620420944316</v>
      </c>
      <c r="GC45" s="22">
        <f t="shared" si="25"/>
        <v>500.89152556647787</v>
      </c>
      <c r="GD45" s="60">
        <f t="shared" si="26"/>
        <v>794.22485889981112</v>
      </c>
      <c r="GE45" s="60">
        <f ca="1">AVERAGE(OFFSET($GD$3,0,0,'Données projet'!$E$17+1,1))-AVERAGE(OFFSET($H$3,0,0,'Données projet'!$E$17+1,1))</f>
        <v>323.56667371063662</v>
      </c>
      <c r="GF45" s="60">
        <f t="shared" si="50"/>
        <v>275.70373467723385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>
        <f>EXP(-LN(2)/35)*GL44+(1-EXP(-LN(2)/35))/(LN(2)/35)*GH45*GI45*VLOOKUP('Données projet'!$B$17,Paramètres!$A$1:$I$89,3,0)*0.475*44/12</f>
        <v>0</v>
      </c>
      <c r="GM45" s="23">
        <f>EXP(-LN(2)/25)*GM44+(1-EXP(-LN(2)/25))/(LN(2)/25)*Calculateur!GH45*Calculateur!GJ45*VLOOKUP('Données projet'!$B$17,Paramètres!$A$1:$I$89,3,0)*0.475*44/12</f>
        <v>0</v>
      </c>
      <c r="GN45" s="23">
        <f>EXP(-LN(2)/2)*GN44+(1-EXP(-LN(2)/2))/(LN(2)/2)*GH45*GK45*VLOOKUP('Données projet'!$B$17,Paramètres!$A$1:$I$89,3,0)*0.475*44/12</f>
        <v>0</v>
      </c>
      <c r="GO45" s="23">
        <f t="shared" si="27"/>
        <v>0</v>
      </c>
      <c r="GP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0" t="e">
        <f t="shared" si="29"/>
        <v>#N/A</v>
      </c>
      <c r="GZ45" s="60" t="e">
        <f ca="1">AVERAGE(OFFSET($GY$3,0,0,'Données projet'!$E$18+1,1))-AVERAGE(OFFSET($H$3,0,0,'Données projet'!$E$18+1,1))</f>
        <v>#N/A</v>
      </c>
      <c r="HA45" s="60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4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2">
        <f t="shared" si="32"/>
        <v>7.4932153017418166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16.536250000000003</v>
      </c>
      <c r="N46" s="14">
        <f>IF('Données projet'!$A$36&gt;35,N45+M46-V45,IF(A46&lt;'Données projet'!$A$36,$K$205^A46,IF(A46='Données projet'!$A$36,'Données projet'!$B$36,N45+M46-V45)))</f>
        <v>350.81374999999991</v>
      </c>
      <c r="O46" s="14">
        <f>N46*VLOOKUP('Données projet'!$B$9,Paramètres!$A$1:$I$89,3,0)*VLOOKUP('Données projet'!$B$9,Paramètres!$A$1:$I$89,5,0)</f>
        <v>209.78662249999996</v>
      </c>
      <c r="P46" s="14">
        <f t="shared" si="33"/>
        <v>51.888954587591464</v>
      </c>
      <c r="Q46" s="22">
        <f t="shared" si="53"/>
        <v>455.75163009422175</v>
      </c>
      <c r="R46" s="60">
        <f t="shared" si="0"/>
        <v>749.08496342755507</v>
      </c>
      <c r="S46" s="60">
        <f ca="1">AVERAGE(OFFSET($R$3,0,0,'Données projet'!$E$9+1,1))-AVERAGE(OFFSET($H$3,0,0,'Données projet'!$E$9+1,1))</f>
        <v>235.63766249714581</v>
      </c>
      <c r="T46" s="60">
        <f t="shared" si="34"/>
        <v>231.3297293785277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8.8693541608807589</v>
      </c>
      <c r="AA46" s="23">
        <f>EXP(-LN(2)/25)*AA45+(1-EXP(-LN(2)/25))/(LN(2)/25)*Calculateur!V46*Calculateur!X46*VLOOKUP('Données projet'!$B$9,Paramètres!$A$1:$I$89,3,0)*0.475*44/12</f>
        <v>12.056828388531896</v>
      </c>
      <c r="AB46" s="23">
        <f>EXP(-LN(2)/2)*AB45+(1-EXP(-LN(2)/2))/(LN(2)/2)*V46*Y46*VLOOKUP('Données projet'!$B$9,Paramètres!$A$1:$I$89,3,0)*0.475*44/12</f>
        <v>7.8582015387980056E-2</v>
      </c>
      <c r="AC46" s="24">
        <f t="shared" si="3"/>
        <v>21.004764564800634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141.20000000000005</v>
      </c>
      <c r="AJ46" s="14">
        <f>AI46*VLOOKUP('Données projet'!$B$10,Paramètres!$A$1:$I$89,3,0)*VLOOKUP('Données projet'!$B$10,Paramètres!$A$1:$I$89,5,0)</f>
        <v>143.17680000000004</v>
      </c>
      <c r="AK46" s="14">
        <f t="shared" si="35"/>
        <v>37.023812674521515</v>
      </c>
      <c r="AL46" s="22">
        <f t="shared" si="4"/>
        <v>313.84940040812506</v>
      </c>
      <c r="AM46" s="60">
        <f t="shared" si="5"/>
        <v>607.18273374145838</v>
      </c>
      <c r="AN46" s="60">
        <f ca="1">AVERAGE(OFFSET($AM$3,0,0,'Données projet'!$E$10+1,1))-AVERAGE(OFFSET($H$3,0,0,'Données projet'!$E$10+1,1))</f>
        <v>350.3652766444938</v>
      </c>
      <c r="AO46" s="60">
        <f t="shared" si="36"/>
        <v>197.04549436738586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6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8.4</v>
      </c>
      <c r="BD46" s="13">
        <f>IF('Données projet'!$A$88&gt;35,BD45+BC46-BL45,IF(A46&lt;'Données projet'!$A$88,$BA$205^A46,IF(A46='Données projet'!$A$88,'Données projet'!$B$88,BD45+BC46-BL45)))</f>
        <v>141.20000000000005</v>
      </c>
      <c r="BE46" s="14">
        <f>BD46*VLOOKUP('Données projet'!$B$11,Paramètres!$A$1:$I$89,3,0)*VLOOKUP('Données projet'!$B$11,Paramètres!$A$1:$I$89,5,0)</f>
        <v>136.56864000000004</v>
      </c>
      <c r="BF46" s="14">
        <f t="shared" si="37"/>
        <v>35.509797430964703</v>
      </c>
      <c r="BG46" s="22">
        <f t="shared" si="7"/>
        <v>299.70327852559694</v>
      </c>
      <c r="BH46" s="60">
        <f t="shared" si="8"/>
        <v>593.0366118589302</v>
      </c>
      <c r="BI46" s="60">
        <f ca="1">AVERAGE(OFFSET($BH$3,0,0,'Données projet'!$E$11+1,1))-AVERAGE(OFFSET($H$3,0,0,'Données projet'!$E$11+1,1))</f>
        <v>330.39429528665841</v>
      </c>
      <c r="BJ46" s="60">
        <f t="shared" si="38"/>
        <v>186.45728006007261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6.7948717948717956</v>
      </c>
      <c r="BY46" s="13">
        <f>IF('Données projet'!$A$114&gt;35,BY45+BX46-CG45,IF(A46&lt;'Données projet'!$A$114,$BV$205^A46,IF(A46='Données projet'!$A$114,'Données projet'!$B$114,BY45+BX46-CG45)))</f>
        <v>176.79487179487182</v>
      </c>
      <c r="BZ46" s="14">
        <f>BY46*VLOOKUP('Données projet'!$B$12,Paramètres!$A$1:$I$89,3,0)*VLOOKUP('Données projet'!$B$12,Paramètres!$A$1:$I$89,5,0)</f>
        <v>118.59400000000002</v>
      </c>
      <c r="CA46" s="14">
        <f t="shared" si="39"/>
        <v>31.346848285873225</v>
      </c>
      <c r="CB46" s="22">
        <f t="shared" si="10"/>
        <v>261.14697743122923</v>
      </c>
      <c r="CC46" s="60">
        <f t="shared" si="11"/>
        <v>554.48031076456255</v>
      </c>
      <c r="CD46" s="60">
        <f ca="1">AVERAGE(OFFSET($CC$3,0,0,'Données projet'!$E$12+1,1))-AVERAGE(OFFSET($H$3,0,0,'Données projet'!$E$12+1,1))</f>
        <v>212.33913923444732</v>
      </c>
      <c r="CE46" s="60">
        <f t="shared" si="40"/>
        <v>183.51194426094372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7.6</v>
      </c>
      <c r="CT46" s="13">
        <f>IF('Données projet'!$A$140&gt;35,CT45+CS46-DB45,IF(A46&lt;'Données projet'!$A$140,$CQ$205^A46,IF(A46='Données projet'!$A$140,'Données projet'!$B$140,CT45+CS46-DB45)))</f>
        <v>192.79999999999984</v>
      </c>
      <c r="CU46" s="18">
        <f>CT46*VLOOKUP('Données projet'!$B$13,Paramètres!$A$1:$I$89,3,0)*VLOOKUP('Données projet'!$B$13,Paramètres!$A$1:$I$89,5,0)</f>
        <v>168.43007999999989</v>
      </c>
      <c r="CV46" s="14">
        <f t="shared" si="41"/>
        <v>42.738224098484984</v>
      </c>
      <c r="CW46" s="22">
        <f t="shared" si="13"/>
        <v>367.78479630486117</v>
      </c>
      <c r="CX46" s="60">
        <f t="shared" si="14"/>
        <v>661.11812963819443</v>
      </c>
      <c r="CY46" s="60">
        <f ca="1">AVERAGE(OFFSET($CX$3,0,0,'Données projet'!$E$13+1,1))-AVERAGE(OFFSET($H$3,0,0,'Données projet'!$E$13+1,1))</f>
        <v>228.0393346366489</v>
      </c>
      <c r="CZ46" s="60">
        <f t="shared" si="42"/>
        <v>238.591781509447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8.4</v>
      </c>
      <c r="DO46" s="13">
        <f>IF('Données projet'!$A$166&gt;35,DO45+DN46-DW45,IF(A46&lt;'Données projet'!$A$166,$DL$205^A46,IF(A46='Données projet'!$A$166,'Données projet'!$B$166,DO45+DN46-DW45)))</f>
        <v>141.20000000000005</v>
      </c>
      <c r="DP46" s="18">
        <f>DO46*VLOOKUP('Données projet'!$B$14,Paramètres!$A$1:$I$89,3,0)*VLOOKUP('Données projet'!$B$14,Paramètres!$A$1:$I$89,5,0)</f>
        <v>127.75776000000003</v>
      </c>
      <c r="DQ46" s="14">
        <f t="shared" si="43"/>
        <v>33.477720030956604</v>
      </c>
      <c r="DR46" s="22">
        <f t="shared" si="16"/>
        <v>280.81846105391611</v>
      </c>
      <c r="DS46" s="60">
        <f t="shared" si="17"/>
        <v>574.15179438724942</v>
      </c>
      <c r="DT46" s="60">
        <f ca="1">AVERAGE(OFFSET($DS$3,0,0,'Données projet'!$E$14+1,1))-AVERAGE(OFFSET($H$3,0,0,'Données projet'!$E$14+1,1))</f>
        <v>303.73499739059076</v>
      </c>
      <c r="DU46" s="60">
        <f t="shared" si="44"/>
        <v>172.32171001882188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15.725555555555552</v>
      </c>
      <c r="EJ46" s="13">
        <f>IF('Données projet'!$A$192&gt;35,EJ45+EI46-ER45,IF(A46&lt;'Données projet'!$A$192,$EG$205^A46,IF(A46='Données projet'!$A$192,'Données projet'!$B$192,EJ45+EI46-ER45)))</f>
        <v>259.86111111111131</v>
      </c>
      <c r="EK46" s="18">
        <f>EJ46*VLOOKUP('Données projet'!$B$15,Paramètres!$A$1:$I$89,3,0)*VLOOKUP('Données projet'!$B$15,Paramètres!$A$1:$I$89,5,0)</f>
        <v>155.39694444444459</v>
      </c>
      <c r="EL46" s="14">
        <f t="shared" si="45"/>
        <v>39.802526102363792</v>
      </c>
      <c r="EM46" s="22">
        <f t="shared" si="19"/>
        <v>339.97241120235793</v>
      </c>
      <c r="EN46" s="60">
        <f t="shared" si="20"/>
        <v>633.30574453569125</v>
      </c>
      <c r="EO46" s="60">
        <f ca="1">AVERAGE(OFFSET($EN$3,0,0,'Données projet'!$E$15+1,1))-AVERAGE(OFFSET($H$3,0,0,'Données projet'!$E$15+1,1))</f>
        <v>269.94948820700841</v>
      </c>
      <c r="EP46" s="60">
        <f t="shared" si="46"/>
        <v>183.45158355135192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9.5224080741179442</v>
      </c>
      <c r="EX46" s="23">
        <f>EXP(-LN(2)/2)*EX45+(1-EXP(-LN(2)/2))/(LN(2)/2)*ER46*EU46*VLOOKUP('Données projet'!$B$15,Paramètres!$A$1:$I$89,3,0)*0.475*44/12</f>
        <v>6.2292038083561312E-2</v>
      </c>
      <c r="EY46" s="24">
        <f t="shared" si="21"/>
        <v>9.5847001122015048</v>
      </c>
      <c r="EZ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9.8888888888888893</v>
      </c>
      <c r="FE46" s="13">
        <f>IF('Données projet'!$A$218&gt;35,FE45+FD46-FM45,IF(A46&lt;'Données projet'!$A$218,$FB$205^A46,IF(A46='Données projet'!$A$218,'Données projet'!$B$218,FE45+FD46-FM45)))</f>
        <v>124.66666666666666</v>
      </c>
      <c r="FF46" s="18">
        <f>FE46*VLOOKUP('Données projet'!$B$16,Paramètres!$A$1:$I$89,3,0)*VLOOKUP('Données projet'!$B$16,Paramètres!$A$1:$I$89,5,0)</f>
        <v>74.550666666666672</v>
      </c>
      <c r="FG46" s="14">
        <f t="shared" si="47"/>
        <v>20.799372750165091</v>
      </c>
      <c r="FH46" s="22">
        <f t="shared" si="22"/>
        <v>166.06798531764863</v>
      </c>
      <c r="FI46" s="60">
        <f t="shared" si="23"/>
        <v>459.40131865098192</v>
      </c>
      <c r="FJ46" s="60">
        <f ca="1">AVERAGE(OFFSET($FI$3,0,0,'Données projet'!$E$16+1,1))-AVERAGE(OFFSET($H$3,0,0,'Données projet'!$E$16+1,1))</f>
        <v>111.24788725253484</v>
      </c>
      <c r="FK46" s="60">
        <f t="shared" si="48"/>
        <v>82.434879813357327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projet'!$B$16,Paramètres!$A$1:$I$89,3,0)*0.475*44/12</f>
        <v>0</v>
      </c>
      <c r="FR46" s="23">
        <f>EXP(-LN(2)/25)*FR45+(1-EXP(-LN(2)/25))/(LN(2)/25)*Calculateur!FM46*Calculateur!FO46*VLOOKUP('Données projet'!$B$16,Paramètres!$A$1:$I$89,3,0)*0.475*44/12</f>
        <v>0</v>
      </c>
      <c r="FS46" s="23">
        <f>EXP(-LN(2)/2)*FS45+(1-EXP(-LN(2)/2))/(LN(2)/2)*FM46*FP46*VLOOKUP('Données projet'!$B$16,Paramètres!$A$1:$I$89,3,0)*0.475*44/12</f>
        <v>0</v>
      </c>
      <c r="FT46" s="24">
        <f t="shared" si="24"/>
        <v>0</v>
      </c>
      <c r="FU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>
        <f>VLOOKUP(A46,'Données projet'!$A$243:$I$263,2,0)</f>
        <v>548</v>
      </c>
      <c r="FX46" s="13">
        <f>VLOOKUP(A46,'Données projet'!$A$243:$I$263,9,0)</f>
        <v>25.2</v>
      </c>
      <c r="FY46" s="13">
        <f t="array" ref="FY46">INDEX(FX:FX,MIN(IF(ISNUMBER(FX46:FX242),ROW(FX46:FX242),"")))</f>
        <v>25.2</v>
      </c>
      <c r="FZ46" s="13">
        <f>IF('Données projet'!$A$244&gt;35,FZ45+FY46-GH45,IF(A46&lt;'Données projet'!$A$244,$FW$205^A46,IF(A46='Données projet'!$A$244,'Données projet'!$B$244,FZ45+FY46-GH45)))</f>
        <v>547.99999999999989</v>
      </c>
      <c r="GA46" s="18">
        <f>FZ46*VLOOKUP('Données projet'!$B$17,Paramètres!$A$1:$I$89,3,0)*VLOOKUP('Données projet'!$B$17,Paramètres!$A$1:$I$89,5,0)</f>
        <v>242.21599999999995</v>
      </c>
      <c r="GB46" s="14">
        <f t="shared" si="49"/>
        <v>58.916058339548016</v>
      </c>
      <c r="GC46" s="22">
        <f t="shared" si="25"/>
        <v>524.47166827471267</v>
      </c>
      <c r="GD46" s="60">
        <f t="shared" si="26"/>
        <v>817.80500160804604</v>
      </c>
      <c r="GE46" s="60">
        <f ca="1">AVERAGE(OFFSET($GD$3,0,0,'Données projet'!$E$17+1,1))-AVERAGE(OFFSET($H$3,0,0,'Données projet'!$E$17+1,1))</f>
        <v>323.56667371063662</v>
      </c>
      <c r="GF46" s="60">
        <f t="shared" si="50"/>
        <v>275.70373467723385</v>
      </c>
      <c r="GG46" s="16">
        <f>IF(ISNA(VLOOKUP(A46,'Données projet'!$A$243:$I$263,3,0)),0,VLOOKUP(A46,'Données projet'!$A$243:$I$263,3,0))</f>
        <v>3</v>
      </c>
      <c r="GH46" s="16">
        <f>IF(ISNA(VLOOKUP(A46,'Données projet'!$A$243:$I$263,4,0)),0,VLOOKUP(A46,'Données projet'!$A$243:$I$263,4,0))</f>
        <v>126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>
        <f>EXP(-LN(2)/35)*GL45+(1-EXP(-LN(2)/35))/(LN(2)/35)*GH46*GI46*VLOOKUP('Données projet'!$B$17,Paramètres!$A$1:$I$89,3,0)*0.475*44/12</f>
        <v>0</v>
      </c>
      <c r="GM46" s="23">
        <f>EXP(-LN(2)/25)*GM45+(1-EXP(-LN(2)/25))/(LN(2)/25)*Calculateur!GH46*Calculateur!GJ46*VLOOKUP('Données projet'!$B$17,Paramètres!$A$1:$I$89,3,0)*0.475*44/12</f>
        <v>0</v>
      </c>
      <c r="GN46" s="23">
        <f>EXP(-LN(2)/2)*GN45+(1-EXP(-LN(2)/2))/(LN(2)/2)*GH46*GK46*VLOOKUP('Données projet'!$B$17,Paramètres!$A$1:$I$89,3,0)*0.475*44/12</f>
        <v>0</v>
      </c>
      <c r="GO46" s="23">
        <f t="shared" si="27"/>
        <v>0</v>
      </c>
      <c r="GP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0" t="e">
        <f t="shared" si="29"/>
        <v>#N/A</v>
      </c>
      <c r="GZ46" s="60" t="e">
        <f ca="1">AVERAGE(OFFSET($GY$3,0,0,'Données projet'!$E$18+1,1))-AVERAGE(OFFSET($H$3,0,0,'Données projet'!$E$18+1,1))</f>
        <v>#N/A</v>
      </c>
      <c r="HA46" s="60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4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2">
        <f t="shared" si="32"/>
        <v>7.6469855389835546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>
        <f>VLOOKUP(A47,'Données projet'!$A$35:$I$55,2,0)</f>
        <v>367.35</v>
      </c>
      <c r="L47" s="13">
        <f>VLOOKUP(A47,'Données projet'!$A$35:$I$55,9,0)</f>
        <v>16.536250000000003</v>
      </c>
      <c r="M47" s="13">
        <f t="array" ref="M47">INDEX(L:L,MIN(IF(ISNUMBER(L47:L243),ROW(L47:L243),"")))</f>
        <v>16.536250000000003</v>
      </c>
      <c r="N47" s="14">
        <f>IF('Données projet'!$A$36&gt;35,N46+M47-V46,IF(A47&lt;'Données projet'!$A$36,$K$205^A47,IF(A47='Données projet'!$A$36,'Données projet'!$B$36,N46+M47-V46)))</f>
        <v>367.34999999999991</v>
      </c>
      <c r="O47" s="14">
        <f>N47*VLOOKUP('Données projet'!$B$9,Paramètres!$A$1:$I$89,3,0)*VLOOKUP('Données projet'!$B$9,Paramètres!$A$1:$I$89,5,0)</f>
        <v>219.67529999999996</v>
      </c>
      <c r="P47" s="14">
        <f t="shared" si="33"/>
        <v>54.044307714561441</v>
      </c>
      <c r="Q47" s="22">
        <f t="shared" si="53"/>
        <v>476.72831676952774</v>
      </c>
      <c r="R47" s="60">
        <f t="shared" si="0"/>
        <v>770.06165010286099</v>
      </c>
      <c r="S47" s="60">
        <f ca="1">AVERAGE(OFFSET($R$3,0,0,'Données projet'!$E$9+1,1))-AVERAGE(OFFSET($H$3,0,0,'Données projet'!$E$9+1,1))</f>
        <v>235.63766249714581</v>
      </c>
      <c r="T47" s="60">
        <f t="shared" si="34"/>
        <v>231.3297293785277</v>
      </c>
      <c r="U47" s="16">
        <f>IF(ISNA(VLOOKUP(A47,'Données projet'!$A$35:$I$55,3,0)),0,VLOOKUP(A47,'Données projet'!$A$35:$I$55,3,0))</f>
        <v>5</v>
      </c>
      <c r="V47" s="16">
        <f>IF(ISNA(VLOOKUP(A47,'Données projet'!$A$35:$I$55,4,0)),0,VLOOKUP(A47,'Données projet'!$A$35:$I$55,4,0))</f>
        <v>77.91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8.6954315355577556</v>
      </c>
      <c r="AA47" s="23">
        <f>EXP(-LN(2)/25)*AA46+(1-EXP(-LN(2)/25))/(LN(2)/25)*Calculateur!V47*Calculateur!X47*VLOOKUP('Données projet'!$B$9,Paramètres!$A$1:$I$89,3,0)*0.475*44/12</f>
        <v>11.727133782206442</v>
      </c>
      <c r="AB47" s="23">
        <f>EXP(-LN(2)/2)*AB46+(1-EXP(-LN(2)/2))/(LN(2)/2)*V47*Y47*VLOOKUP('Données projet'!$B$9,Paramètres!$A$1:$I$89,3,0)*0.475*44/12</f>
        <v>5.5565875960146324E-2</v>
      </c>
      <c r="AC47" s="24">
        <f t="shared" si="3"/>
        <v>20.478131193724341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149.60000000000005</v>
      </c>
      <c r="AJ47" s="14">
        <f>AI47*VLOOKUP('Données projet'!$B$10,Paramètres!$A$1:$I$89,3,0)*VLOOKUP('Données projet'!$B$10,Paramètres!$A$1:$I$89,5,0)</f>
        <v>151.69440000000006</v>
      </c>
      <c r="AK47" s="14">
        <f t="shared" si="35"/>
        <v>38.963392010880654</v>
      </c>
      <c r="AL47" s="22">
        <f t="shared" si="4"/>
        <v>332.06232108561721</v>
      </c>
      <c r="AM47" s="60">
        <f t="shared" si="5"/>
        <v>625.39565441895047</v>
      </c>
      <c r="AN47" s="60">
        <f ca="1">AVERAGE(OFFSET($AM$3,0,0,'Données projet'!$E$10+1,1))-AVERAGE(OFFSET($H$3,0,0,'Données projet'!$E$10+1,1))</f>
        <v>350.3652766444938</v>
      </c>
      <c r="AO47" s="60">
        <f t="shared" si="36"/>
        <v>197.04549436738586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6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8.4</v>
      </c>
      <c r="BD47" s="13">
        <f>IF('Données projet'!$A$88&gt;35,BD46+BC47-BL46,IF(A47&lt;'Données projet'!$A$88,$BA$205^A47,IF(A47='Données projet'!$A$88,'Données projet'!$B$88,BD46+BC47-BL46)))</f>
        <v>149.60000000000005</v>
      </c>
      <c r="BE47" s="14">
        <f>BD47*VLOOKUP('Données projet'!$B$11,Paramètres!$A$1:$I$89,3,0)*VLOOKUP('Données projet'!$B$11,Paramètres!$A$1:$I$89,5,0)</f>
        <v>144.69312000000005</v>
      </c>
      <c r="BF47" s="14">
        <f t="shared" si="37"/>
        <v>37.370061524802772</v>
      </c>
      <c r="BG47" s="22">
        <f t="shared" si="7"/>
        <v>317.09337448903153</v>
      </c>
      <c r="BH47" s="60">
        <f t="shared" si="8"/>
        <v>610.42670782236485</v>
      </c>
      <c r="BI47" s="60">
        <f ca="1">AVERAGE(OFFSET($BH$3,0,0,'Données projet'!$E$11+1,1))-AVERAGE(OFFSET($H$3,0,0,'Données projet'!$E$11+1,1))</f>
        <v>330.39429528665841</v>
      </c>
      <c r="BJ47" s="60">
        <f t="shared" si="38"/>
        <v>186.45728006007261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6.7948717948717956</v>
      </c>
      <c r="BY47" s="13">
        <f>IF('Données projet'!$A$114&gt;35,BY46+BX47-CG46,IF(A47&lt;'Données projet'!$A$114,$BV$205^A47,IF(A47='Données projet'!$A$114,'Données projet'!$B$114,BY46+BX47-CG46)))</f>
        <v>183.58974358974362</v>
      </c>
      <c r="BZ47" s="14">
        <f>BY47*VLOOKUP('Données projet'!$B$12,Paramètres!$A$1:$I$89,3,0)*VLOOKUP('Données projet'!$B$12,Paramètres!$A$1:$I$89,5,0)</f>
        <v>123.15200000000002</v>
      </c>
      <c r="CA47" s="14">
        <f t="shared" si="39"/>
        <v>32.409038525483382</v>
      </c>
      <c r="CB47" s="22">
        <f t="shared" si="10"/>
        <v>270.93547543188362</v>
      </c>
      <c r="CC47" s="60">
        <f t="shared" si="11"/>
        <v>564.26880876521693</v>
      </c>
      <c r="CD47" s="60">
        <f ca="1">AVERAGE(OFFSET($CC$3,0,0,'Données projet'!$E$12+1,1))-AVERAGE(OFFSET($H$3,0,0,'Données projet'!$E$12+1,1))</f>
        <v>212.33913923444732</v>
      </c>
      <c r="CE47" s="60">
        <f t="shared" si="40"/>
        <v>183.51194426094372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7.6</v>
      </c>
      <c r="CT47" s="13">
        <f>IF('Données projet'!$A$140&gt;35,CT46+CS47-DB46,IF(A47&lt;'Données projet'!$A$140,$CQ$205^A47,IF(A47='Données projet'!$A$140,'Données projet'!$B$140,CT46+CS47-DB46)))</f>
        <v>200.39999999999984</v>
      </c>
      <c r="CU47" s="18">
        <f>CT47*VLOOKUP('Données projet'!$B$13,Paramètres!$A$1:$I$89,3,0)*VLOOKUP('Données projet'!$B$13,Paramètres!$A$1:$I$89,5,0)</f>
        <v>175.06943999999987</v>
      </c>
      <c r="CV47" s="14">
        <f t="shared" si="41"/>
        <v>44.22346053021456</v>
      </c>
      <c r="CW47" s="22">
        <f t="shared" si="13"/>
        <v>381.93513509012342</v>
      </c>
      <c r="CX47" s="60">
        <f t="shared" si="14"/>
        <v>675.26846842345674</v>
      </c>
      <c r="CY47" s="60">
        <f ca="1">AVERAGE(OFFSET($CX$3,0,0,'Données projet'!$E$13+1,1))-AVERAGE(OFFSET($H$3,0,0,'Données projet'!$E$13+1,1))</f>
        <v>228.0393346366489</v>
      </c>
      <c r="CZ47" s="60">
        <f t="shared" si="42"/>
        <v>238.591781509447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8.4</v>
      </c>
      <c r="DO47" s="13">
        <f>IF('Données projet'!$A$166&gt;35,DO46+DN47-DW46,IF(A47&lt;'Données projet'!$A$166,$DL$205^A47,IF(A47='Données projet'!$A$166,'Données projet'!$B$166,DO46+DN47-DW46)))</f>
        <v>149.60000000000005</v>
      </c>
      <c r="DP47" s="18">
        <f>DO47*VLOOKUP('Données projet'!$B$14,Paramètres!$A$1:$I$89,3,0)*VLOOKUP('Données projet'!$B$14,Paramètres!$A$1:$I$89,5,0)</f>
        <v>135.35808000000006</v>
      </c>
      <c r="DQ47" s="14">
        <f t="shared" si="43"/>
        <v>35.231528980112834</v>
      </c>
      <c r="DR47" s="22">
        <f t="shared" si="16"/>
        <v>297.11023564036327</v>
      </c>
      <c r="DS47" s="60">
        <f t="shared" si="17"/>
        <v>590.44356897369653</v>
      </c>
      <c r="DT47" s="60">
        <f ca="1">AVERAGE(OFFSET($DS$3,0,0,'Données projet'!$E$14+1,1))-AVERAGE(OFFSET($H$3,0,0,'Données projet'!$E$14+1,1))</f>
        <v>303.73499739059076</v>
      </c>
      <c r="DU47" s="60">
        <f t="shared" si="44"/>
        <v>172.32171001882188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15.725555555555552</v>
      </c>
      <c r="EJ47" s="13">
        <f>IF('Données projet'!$A$192&gt;35,EJ46+EI47-ER46,IF(A47&lt;'Données projet'!$A$192,$EG$205^A47,IF(A47='Données projet'!$A$192,'Données projet'!$B$192,EJ46+EI47-ER46)))</f>
        <v>275.58666666666687</v>
      </c>
      <c r="EK47" s="18">
        <f>EJ47*VLOOKUP('Données projet'!$B$15,Paramètres!$A$1:$I$89,3,0)*VLOOKUP('Données projet'!$B$15,Paramètres!$A$1:$I$89,5,0)</f>
        <v>164.80082666666681</v>
      </c>
      <c r="EL47" s="14">
        <f t="shared" si="45"/>
        <v>41.923485083367801</v>
      </c>
      <c r="EM47" s="22">
        <f t="shared" si="19"/>
        <v>360.04484296464358</v>
      </c>
      <c r="EN47" s="60">
        <f t="shared" si="20"/>
        <v>653.37817629797689</v>
      </c>
      <c r="EO47" s="60">
        <f ca="1">AVERAGE(OFFSET($EN$3,0,0,'Données projet'!$E$15+1,1))-AVERAGE(OFFSET($H$3,0,0,'Données projet'!$E$15+1,1))</f>
        <v>269.94948820700841</v>
      </c>
      <c r="EP47" s="60">
        <f t="shared" si="46"/>
        <v>183.45158355135192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9.2620173245695128</v>
      </c>
      <c r="EX47" s="23">
        <f>EXP(-LN(2)/2)*EX46+(1-EXP(-LN(2)/2))/(LN(2)/2)*ER47*EU47*VLOOKUP('Données projet'!$B$15,Paramètres!$A$1:$I$89,3,0)*0.475*44/12</f>
        <v>4.4047122542816876E-2</v>
      </c>
      <c r="EY47" s="24">
        <f t="shared" si="21"/>
        <v>9.3060644471123304</v>
      </c>
      <c r="EZ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9.8888888888888893</v>
      </c>
      <c r="FE47" s="13">
        <f>IF('Données projet'!$A$218&gt;35,FE46+FD47-FM46,IF(A47&lt;'Données projet'!$A$218,$FB$205^A47,IF(A47='Données projet'!$A$218,'Données projet'!$B$218,FE46+FD47-FM46)))</f>
        <v>134.55555555555554</v>
      </c>
      <c r="FF47" s="18">
        <f>FE47*VLOOKUP('Données projet'!$B$16,Paramètres!$A$1:$I$89,3,0)*VLOOKUP('Données projet'!$B$16,Paramètres!$A$1:$I$89,5,0)</f>
        <v>80.464222222222219</v>
      </c>
      <c r="FG47" s="14">
        <f t="shared" si="47"/>
        <v>22.250650624858352</v>
      </c>
      <c r="FH47" s="22">
        <f t="shared" si="22"/>
        <v>178.89507020866532</v>
      </c>
      <c r="FI47" s="60">
        <f t="shared" si="23"/>
        <v>472.22840354199866</v>
      </c>
      <c r="FJ47" s="60">
        <f ca="1">AVERAGE(OFFSET($FI$3,0,0,'Données projet'!$E$16+1,1))-AVERAGE(OFFSET($H$3,0,0,'Données projet'!$E$16+1,1))</f>
        <v>111.24788725253484</v>
      </c>
      <c r="FK47" s="60">
        <f t="shared" si="48"/>
        <v>82.434879813357327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projet'!$B$16,Paramètres!$A$1:$I$89,3,0)*0.475*44/12</f>
        <v>0</v>
      </c>
      <c r="FR47" s="23">
        <f>EXP(-LN(2)/25)*FR46+(1-EXP(-LN(2)/25))/(LN(2)/25)*Calculateur!FM47*Calculateur!FO47*VLOOKUP('Données projet'!$B$16,Paramètres!$A$1:$I$89,3,0)*0.475*44/12</f>
        <v>0</v>
      </c>
      <c r="FS47" s="23">
        <f>EXP(-LN(2)/2)*FS46+(1-EXP(-LN(2)/2))/(LN(2)/2)*FM47*FP47*VLOOKUP('Données projet'!$B$16,Paramètres!$A$1:$I$89,3,0)*0.475*44/12</f>
        <v>0</v>
      </c>
      <c r="FT47" s="24">
        <f t="shared" si="24"/>
        <v>0</v>
      </c>
      <c r="FU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23</v>
      </c>
      <c r="FZ47" s="13">
        <f>IF('Données projet'!$A$244&gt;35,FZ46+FY47-GH46,IF(A47&lt;'Données projet'!$A$244,$FW$205^A47,IF(A47='Données projet'!$A$244,'Données projet'!$B$244,FZ46+FY47-GH46)))</f>
        <v>444.99999999999989</v>
      </c>
      <c r="GA47" s="18">
        <f>FZ47*VLOOKUP('Données projet'!$B$17,Paramètres!$A$1:$I$89,3,0)*VLOOKUP('Données projet'!$B$17,Paramètres!$A$1:$I$89,5,0)</f>
        <v>196.69</v>
      </c>
      <c r="GB47" s="14">
        <f t="shared" si="49"/>
        <v>49.016024880232543</v>
      </c>
      <c r="GC47" s="22">
        <f t="shared" si="25"/>
        <v>427.93799333307169</v>
      </c>
      <c r="GD47" s="60">
        <f t="shared" si="26"/>
        <v>721.271326666405</v>
      </c>
      <c r="GE47" s="60">
        <f ca="1">AVERAGE(OFFSET($GD$3,0,0,'Données projet'!$E$17+1,1))-AVERAGE(OFFSET($H$3,0,0,'Données projet'!$E$17+1,1))</f>
        <v>323.56667371063662</v>
      </c>
      <c r="GF47" s="60">
        <f t="shared" si="50"/>
        <v>275.70373467723385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>
        <f>EXP(-LN(2)/35)*GL46+(1-EXP(-LN(2)/35))/(LN(2)/35)*GH47*GI47*VLOOKUP('Données projet'!$B$17,Paramètres!$A$1:$I$89,3,0)*0.475*44/12</f>
        <v>0</v>
      </c>
      <c r="GM47" s="23">
        <f>EXP(-LN(2)/25)*GM46+(1-EXP(-LN(2)/25))/(LN(2)/25)*Calculateur!GH47*Calculateur!GJ47*VLOOKUP('Données projet'!$B$17,Paramètres!$A$1:$I$89,3,0)*0.475*44/12</f>
        <v>0</v>
      </c>
      <c r="GN47" s="23">
        <f>EXP(-LN(2)/2)*GN46+(1-EXP(-LN(2)/2))/(LN(2)/2)*GH47*GK47*VLOOKUP('Données projet'!$B$17,Paramètres!$A$1:$I$89,3,0)*0.475*44/12</f>
        <v>0</v>
      </c>
      <c r="GO47" s="23">
        <f t="shared" si="27"/>
        <v>0</v>
      </c>
      <c r="GP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0" t="e">
        <f t="shared" si="29"/>
        <v>#N/A</v>
      </c>
      <c r="GZ47" s="60" t="e">
        <f ca="1">AVERAGE(OFFSET($GY$3,0,0,'Données projet'!$E$18+1,1))-AVERAGE(OFFSET($H$3,0,0,'Données projet'!$E$18+1,1))</f>
        <v>#N/A</v>
      </c>
      <c r="HA47" s="60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4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2">
        <f t="shared" si="32"/>
        <v>7.8003494846849248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14.64374999999999</v>
      </c>
      <c r="N48" s="14">
        <f>IF('Données projet'!$A$36&gt;35,N47+M48-V47,IF(A48&lt;'Données projet'!$A$36,$K$205^A48,IF(A48='Données projet'!$A$36,'Données projet'!$B$36,N47+M48-V47)))</f>
        <v>304.0837499999999</v>
      </c>
      <c r="O48" s="14">
        <f>N48*VLOOKUP('Données projet'!$B$9,Paramètres!$A$1:$I$89,3,0)*VLOOKUP('Données projet'!$B$9,Paramètres!$A$1:$I$89,5,0)</f>
        <v>181.84208249999998</v>
      </c>
      <c r="P48" s="14">
        <f t="shared" si="33"/>
        <v>45.731772411922861</v>
      </c>
      <c r="Q48" s="22">
        <f t="shared" si="53"/>
        <v>396.35779730493226</v>
      </c>
      <c r="R48" s="60">
        <f t="shared" si="0"/>
        <v>689.69113063826558</v>
      </c>
      <c r="S48" s="60">
        <f ca="1">AVERAGE(OFFSET($R$3,0,0,'Données projet'!$E$9+1,1))-AVERAGE(OFFSET($H$3,0,0,'Données projet'!$E$9+1,1))</f>
        <v>235.63766249714581</v>
      </c>
      <c r="T48" s="60">
        <f t="shared" si="34"/>
        <v>231.3297293785277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8.5249194268350088</v>
      </c>
      <c r="AA48" s="23">
        <f>EXP(-LN(2)/25)*AA47+(1-EXP(-LN(2)/25))/(LN(2)/25)*Calculateur!V48*Calculateur!X48*VLOOKUP('Données projet'!$B$9,Paramètres!$A$1:$I$89,3,0)*0.475*44/12</f>
        <v>11.406454692228843</v>
      </c>
      <c r="AB48" s="23">
        <f>EXP(-LN(2)/2)*AB47+(1-EXP(-LN(2)/2))/(LN(2)/2)*V48*Y48*VLOOKUP('Données projet'!$B$9,Paramètres!$A$1:$I$89,3,0)*0.475*44/12</f>
        <v>3.9291007693990028E-2</v>
      </c>
      <c r="AC48" s="24">
        <f t="shared" si="3"/>
        <v>19.970665126757844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158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158.00000000000006</v>
      </c>
      <c r="AJ48" s="14">
        <f>AI48*VLOOKUP('Données projet'!$B$10,Paramètres!$A$1:$I$89,3,0)*VLOOKUP('Données projet'!$B$10,Paramètres!$A$1:$I$89,5,0)</f>
        <v>160.21200000000007</v>
      </c>
      <c r="AK48" s="14">
        <f t="shared" si="35"/>
        <v>40.890328912852731</v>
      </c>
      <c r="AL48" s="22">
        <f t="shared" si="4"/>
        <v>350.25322285655193</v>
      </c>
      <c r="AM48" s="60">
        <f t="shared" si="5"/>
        <v>643.58655618988519</v>
      </c>
      <c r="AN48" s="60">
        <f ca="1">AVERAGE(OFFSET($AM$3,0,0,'Données projet'!$E$10+1,1))-AVERAGE(OFFSET($H$3,0,0,'Données projet'!$E$10+1,1))</f>
        <v>350.3652766444938</v>
      </c>
      <c r="AO48" s="60">
        <f t="shared" si="36"/>
        <v>197.04549436738586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6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158</v>
      </c>
      <c r="BB48" s="13">
        <f>VLOOKUP(A48,'Données projet'!$A$87:$I$107,9,0)</f>
        <v>8.4</v>
      </c>
      <c r="BC48" s="13">
        <f t="array" ref="BC48">INDEX(BB:BB,MIN(IF(ISNUMBER(BB48:BB244),ROW(BB48:BB244),"")))</f>
        <v>8.4</v>
      </c>
      <c r="BD48" s="13">
        <f>IF('Données projet'!$A$88&gt;35,BD47+BC48-BL47,IF(A48&lt;'Données projet'!$A$88,$BA$205^A48,IF(A48='Données projet'!$A$88,'Données projet'!$B$88,BD47+BC48-BL47)))</f>
        <v>158.00000000000006</v>
      </c>
      <c r="BE48" s="14">
        <f>BD48*VLOOKUP('Données projet'!$B$11,Paramètres!$A$1:$I$89,3,0)*VLOOKUP('Données projet'!$B$11,Paramètres!$A$1:$I$89,5,0)</f>
        <v>152.81760000000006</v>
      </c>
      <c r="BF48" s="14">
        <f t="shared" si="37"/>
        <v>39.218200171484227</v>
      </c>
      <c r="BG48" s="22">
        <f t="shared" si="7"/>
        <v>334.46235196533513</v>
      </c>
      <c r="BH48" s="60">
        <f t="shared" si="8"/>
        <v>627.79568529866845</v>
      </c>
      <c r="BI48" s="60">
        <f ca="1">AVERAGE(OFFSET($BH$3,0,0,'Données projet'!$E$11+1,1))-AVERAGE(OFFSET($H$3,0,0,'Données projet'!$E$11+1,1))</f>
        <v>330.39429528665841</v>
      </c>
      <c r="BJ48" s="60">
        <f t="shared" si="38"/>
        <v>186.45728006007261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190.38461538461539</v>
      </c>
      <c r="BW48" s="13">
        <f>VLOOKUP(A48,'Données projet'!$A$113:$I$133,9,0)</f>
        <v>6.7948717948717956</v>
      </c>
      <c r="BX48" s="13">
        <f t="array" ref="BX48">INDEX(BW:BW,MIN(IF(ISNUMBER(BW48:BW244),ROW(BW48:BW244),"")))</f>
        <v>6.7948717948717956</v>
      </c>
      <c r="BY48" s="13">
        <f>IF('Données projet'!$A$114&gt;35,BY47+BX48-CG47,IF(A48&lt;'Données projet'!$A$114,$BV$205^A48,IF(A48='Données projet'!$A$114,'Données projet'!$B$114,BY47+BX48-CG47)))</f>
        <v>190.38461538461542</v>
      </c>
      <c r="BZ48" s="14">
        <f>BY48*VLOOKUP('Données projet'!$B$12,Paramètres!$A$1:$I$89,3,0)*VLOOKUP('Données projet'!$B$12,Paramètres!$A$1:$I$89,5,0)</f>
        <v>127.71000000000002</v>
      </c>
      <c r="CA48" s="14">
        <f t="shared" si="39"/>
        <v>33.466661484162984</v>
      </c>
      <c r="CB48" s="22">
        <f t="shared" si="10"/>
        <v>280.71601875158382</v>
      </c>
      <c r="CC48" s="60">
        <f t="shared" si="11"/>
        <v>574.04935208491713</v>
      </c>
      <c r="CD48" s="60">
        <f ca="1">AVERAGE(OFFSET($CC$3,0,0,'Données projet'!$E$12+1,1))-AVERAGE(OFFSET($H$3,0,0,'Données projet'!$E$12+1,1))</f>
        <v>212.33913923444732</v>
      </c>
      <c r="CE48" s="60">
        <f t="shared" si="40"/>
        <v>183.51194426094372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208</v>
      </c>
      <c r="CR48" s="13">
        <f>VLOOKUP(A48,'Données projet'!$A$139:$I$159,9,0)</f>
        <v>7.6</v>
      </c>
      <c r="CS48" s="13">
        <f t="array" ref="CS48">INDEX(CR:CR,MIN(IF(ISNUMBER(CR48:CR244),ROW(CR48:CR244),"")))</f>
        <v>7.6</v>
      </c>
      <c r="CT48" s="13">
        <f>IF('Données projet'!$A$140&gt;35,CT47+CS48-DB47,IF(A48&lt;'Données projet'!$A$140,$CQ$205^A48,IF(A48='Données projet'!$A$140,'Données projet'!$B$140,CT47+CS48-DB47)))</f>
        <v>207.99999999999983</v>
      </c>
      <c r="CU48" s="18">
        <f>CT48*VLOOKUP('Données projet'!$B$13,Paramètres!$A$1:$I$89,3,0)*VLOOKUP('Données projet'!$B$13,Paramètres!$A$1:$I$89,5,0)</f>
        <v>181.70879999999988</v>
      </c>
      <c r="CV48" s="14">
        <f t="shared" si="41"/>
        <v>45.702153370067769</v>
      </c>
      <c r="CW48" s="22">
        <f t="shared" si="13"/>
        <v>396.07407711953448</v>
      </c>
      <c r="CX48" s="60">
        <f t="shared" si="14"/>
        <v>689.40741045286779</v>
      </c>
      <c r="CY48" s="60">
        <f ca="1">AVERAGE(OFFSET($CX$3,0,0,'Données projet'!$E$13+1,1))-AVERAGE(OFFSET($H$3,0,0,'Données projet'!$E$13+1,1))</f>
        <v>228.0393346366489</v>
      </c>
      <c r="CZ48" s="60">
        <f t="shared" si="42"/>
        <v>238.591781509447</v>
      </c>
      <c r="DA48" s="16">
        <f>IF(ISNA(VLOOKUP(A48,'Données projet'!$A$139:$I$159,3,0)),0,VLOOKUP(A48,'Données projet'!$A$139:$I$159,3,0))</f>
        <v>3</v>
      </c>
      <c r="DB48" s="16">
        <f>IF(ISNA(VLOOKUP(A48,'Données projet'!$A$139:$I$159,4,0)),0,VLOOKUP(A48,'Données projet'!$A$139:$I$159,4,0))</f>
        <v>54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158</v>
      </c>
      <c r="DM48" s="13">
        <f>VLOOKUP(A48,'Données projet'!$A$165:$I$185,9,0)</f>
        <v>8.4</v>
      </c>
      <c r="DN48" s="13">
        <f t="array" ref="DN48">INDEX(DM:DM,MIN(IF(ISNUMBER(DM48:DM244),ROW(DM48:DM244),"")))</f>
        <v>8.4</v>
      </c>
      <c r="DO48" s="13">
        <f>IF('Données projet'!$A$166&gt;35,DO47+DN48-DW47,IF(A48&lt;'Données projet'!$A$166,$DL$205^A48,IF(A48='Données projet'!$A$166,'Données projet'!$B$166,DO47+DN48-DW47)))</f>
        <v>158.00000000000006</v>
      </c>
      <c r="DP48" s="18">
        <f>DO48*VLOOKUP('Données projet'!$B$14,Paramètres!$A$1:$I$89,3,0)*VLOOKUP('Données projet'!$B$14,Paramètres!$A$1:$I$89,5,0)</f>
        <v>142.95840000000004</v>
      </c>
      <c r="DQ48" s="14">
        <f t="shared" si="43"/>
        <v>36.973906370811264</v>
      </c>
      <c r="DR48" s="22">
        <f t="shared" si="16"/>
        <v>313.38210026249641</v>
      </c>
      <c r="DS48" s="60">
        <f t="shared" si="17"/>
        <v>606.71543359582972</v>
      </c>
      <c r="DT48" s="60">
        <f ca="1">AVERAGE(OFFSET($DS$3,0,0,'Données projet'!$E$14+1,1))-AVERAGE(OFFSET($H$3,0,0,'Données projet'!$E$14+1,1))</f>
        <v>303.73499739059076</v>
      </c>
      <c r="DU48" s="60">
        <f t="shared" si="44"/>
        <v>172.32171001882188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15.725555555555552</v>
      </c>
      <c r="EJ48" s="13">
        <f>IF('Données projet'!$A$192&gt;35,EJ47+EI48-ER47,IF(A48&lt;'Données projet'!$A$192,$EG$205^A48,IF(A48='Données projet'!$A$192,'Données projet'!$B$192,EJ47+EI48-ER47)))</f>
        <v>291.31222222222243</v>
      </c>
      <c r="EK48" s="18">
        <f>EJ48*VLOOKUP('Données projet'!$B$15,Paramètres!$A$1:$I$89,3,0)*VLOOKUP('Données projet'!$B$15,Paramètres!$A$1:$I$89,5,0)</f>
        <v>174.20470888888903</v>
      </c>
      <c r="EL48" s="14">
        <f t="shared" si="45"/>
        <v>44.030395226989455</v>
      </c>
      <c r="EM48" s="22">
        <f t="shared" si="19"/>
        <v>380.09280633515499</v>
      </c>
      <c r="EN48" s="60">
        <f t="shared" si="20"/>
        <v>673.4261396684883</v>
      </c>
      <c r="EO48" s="60">
        <f ca="1">AVERAGE(OFFSET($EN$3,0,0,'Données projet'!$E$15+1,1))-AVERAGE(OFFSET($H$3,0,0,'Données projet'!$E$15+1,1))</f>
        <v>269.94948820700841</v>
      </c>
      <c r="EP48" s="60">
        <f t="shared" si="46"/>
        <v>183.45158355135192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9.0087469737608377</v>
      </c>
      <c r="EX48" s="23">
        <f>EXP(-LN(2)/2)*EX47+(1-EXP(-LN(2)/2))/(LN(2)/2)*ER48*EU48*VLOOKUP('Données projet'!$B$15,Paramètres!$A$1:$I$89,3,0)*0.475*44/12</f>
        <v>3.1146019041780659E-2</v>
      </c>
      <c r="EY48" s="24">
        <f t="shared" si="21"/>
        <v>9.0398929928026188</v>
      </c>
      <c r="EZ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9.8888888888888893</v>
      </c>
      <c r="FE48" s="13">
        <f>IF('Données projet'!$A$218&gt;35,FE47+FD48-FM47,IF(A48&lt;'Données projet'!$A$218,$FB$205^A48,IF(A48='Données projet'!$A$218,'Données projet'!$B$218,FE47+FD48-FM47)))</f>
        <v>144.44444444444443</v>
      </c>
      <c r="FF48" s="18">
        <f>FE48*VLOOKUP('Données projet'!$B$16,Paramètres!$A$1:$I$89,3,0)*VLOOKUP('Données projet'!$B$16,Paramètres!$A$1:$I$89,5,0)</f>
        <v>86.37777777777778</v>
      </c>
      <c r="FG48" s="14">
        <f t="shared" si="47"/>
        <v>23.689554621982808</v>
      </c>
      <c r="FH48" s="22">
        <f t="shared" si="22"/>
        <v>191.70060392958302</v>
      </c>
      <c r="FI48" s="60">
        <f t="shared" si="23"/>
        <v>485.03393726291631</v>
      </c>
      <c r="FJ48" s="60">
        <f ca="1">AVERAGE(OFFSET($FI$3,0,0,'Données projet'!$E$16+1,1))-AVERAGE(OFFSET($H$3,0,0,'Données projet'!$E$16+1,1))</f>
        <v>111.24788725253484</v>
      </c>
      <c r="FK48" s="60">
        <f t="shared" si="48"/>
        <v>82.434879813357327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projet'!$B$16,Paramètres!$A$1:$I$89,3,0)*0.475*44/12</f>
        <v>0</v>
      </c>
      <c r="FR48" s="23">
        <f>EXP(-LN(2)/25)*FR47+(1-EXP(-LN(2)/25))/(LN(2)/25)*Calculateur!FM48*Calculateur!FO48*VLOOKUP('Données projet'!$B$16,Paramètres!$A$1:$I$89,3,0)*0.475*44/12</f>
        <v>0</v>
      </c>
      <c r="FS48" s="23">
        <f>EXP(-LN(2)/2)*FS47+(1-EXP(-LN(2)/2))/(LN(2)/2)*FM48*FP48*VLOOKUP('Données projet'!$B$16,Paramètres!$A$1:$I$89,3,0)*0.475*44/12</f>
        <v>0</v>
      </c>
      <c r="FT48" s="24">
        <f t="shared" si="24"/>
        <v>0</v>
      </c>
      <c r="FU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23</v>
      </c>
      <c r="FZ48" s="13">
        <f>IF('Données projet'!$A$244&gt;35,FZ47+FY48-GH47,IF(A48&lt;'Données projet'!$A$244,$FW$205^A48,IF(A48='Données projet'!$A$244,'Données projet'!$B$244,FZ47+FY48-GH47)))</f>
        <v>467.99999999999989</v>
      </c>
      <c r="GA48" s="18">
        <f>FZ48*VLOOKUP('Données projet'!$B$17,Paramètres!$A$1:$I$89,3,0)*VLOOKUP('Données projet'!$B$17,Paramètres!$A$1:$I$89,5,0)</f>
        <v>206.85599999999997</v>
      </c>
      <c r="GB48" s="14">
        <f t="shared" si="49"/>
        <v>51.247940588293027</v>
      </c>
      <c r="GC48" s="22">
        <f t="shared" si="25"/>
        <v>449.53102985794357</v>
      </c>
      <c r="GD48" s="60">
        <f t="shared" si="26"/>
        <v>742.86436319127688</v>
      </c>
      <c r="GE48" s="60">
        <f ca="1">AVERAGE(OFFSET($GD$3,0,0,'Données projet'!$E$17+1,1))-AVERAGE(OFFSET($H$3,0,0,'Données projet'!$E$17+1,1))</f>
        <v>323.56667371063662</v>
      </c>
      <c r="GF48" s="60">
        <f t="shared" si="50"/>
        <v>275.70373467723385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>
        <f>EXP(-LN(2)/35)*GL47+(1-EXP(-LN(2)/35))/(LN(2)/35)*GH48*GI48*VLOOKUP('Données projet'!$B$17,Paramètres!$A$1:$I$89,3,0)*0.475*44/12</f>
        <v>0</v>
      </c>
      <c r="GM48" s="23">
        <f>EXP(-LN(2)/25)*GM47+(1-EXP(-LN(2)/25))/(LN(2)/25)*Calculateur!GH48*Calculateur!GJ48*VLOOKUP('Données projet'!$B$17,Paramètres!$A$1:$I$89,3,0)*0.475*44/12</f>
        <v>0</v>
      </c>
      <c r="GN48" s="23">
        <f>EXP(-LN(2)/2)*GN47+(1-EXP(-LN(2)/2))/(LN(2)/2)*GH48*GK48*VLOOKUP('Données projet'!$B$17,Paramètres!$A$1:$I$89,3,0)*0.475*44/12</f>
        <v>0</v>
      </c>
      <c r="GO48" s="23">
        <f t="shared" si="27"/>
        <v>0</v>
      </c>
      <c r="GP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0" t="e">
        <f t="shared" si="29"/>
        <v>#N/A</v>
      </c>
      <c r="GZ48" s="60" t="e">
        <f ca="1">AVERAGE(OFFSET($GY$3,0,0,'Données projet'!$E$18+1,1))-AVERAGE(OFFSET($H$3,0,0,'Données projet'!$E$18+1,1))</f>
        <v>#N/A</v>
      </c>
      <c r="HA48" s="60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4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2">
        <f t="shared" si="32"/>
        <v>7.9533172071366991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14.64374999999999</v>
      </c>
      <c r="N49" s="14">
        <f>IF('Données projet'!$A$36&gt;35,N48+M49-V48,IF(A49&lt;'Données projet'!$A$36,$K$205^A49,IF(A49='Données projet'!$A$36,'Données projet'!$B$36,N48+M49-V48)))</f>
        <v>318.72749999999991</v>
      </c>
      <c r="O49" s="14">
        <f>N49*VLOOKUP('Données projet'!$B$9,Paramètres!$A$1:$I$89,3,0)*VLOOKUP('Données projet'!$B$9,Paramètres!$A$1:$I$89,5,0)</f>
        <v>190.59904499999996</v>
      </c>
      <c r="P49" s="14">
        <f t="shared" si="33"/>
        <v>47.672368921426973</v>
      </c>
      <c r="Q49" s="22">
        <f t="shared" si="53"/>
        <v>414.98937924648521</v>
      </c>
      <c r="R49" s="60">
        <f t="shared" si="0"/>
        <v>708.32271257981847</v>
      </c>
      <c r="S49" s="60">
        <f ca="1">AVERAGE(OFFSET($R$3,0,0,'Données projet'!$E$9+1,1))-AVERAGE(OFFSET($H$3,0,0,'Données projet'!$E$9+1,1))</f>
        <v>235.63766249714581</v>
      </c>
      <c r="T49" s="60">
        <f t="shared" si="34"/>
        <v>231.3297293785277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8.3577509565621977</v>
      </c>
      <c r="AA49" s="23">
        <f>EXP(-LN(2)/25)*AA48+(1-EXP(-LN(2)/25))/(LN(2)/25)*Calculateur!V49*Calculateur!X49*VLOOKUP('Données projet'!$B$9,Paramètres!$A$1:$I$89,3,0)*0.475*44/12</f>
        <v>11.094544588830463</v>
      </c>
      <c r="AB49" s="23">
        <f>EXP(-LN(2)/2)*AB48+(1-EXP(-LN(2)/2))/(LN(2)/2)*V49*Y49*VLOOKUP('Données projet'!$B$9,Paramètres!$A$1:$I$89,3,0)*0.475*44/12</f>
        <v>2.7782937980073162E-2</v>
      </c>
      <c r="AC49" s="24">
        <f t="shared" si="3"/>
        <v>19.480078483372733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8.1999999999999993</v>
      </c>
      <c r="AI49" s="14">
        <f>IF('Données projet'!$A$62&gt;35,AI48+AH49-AQ48,IF(A49&lt;'Données projet'!$A$62,$AF$205^A49,IF(A49='Données projet'!$A$62,'Données projet'!$B$62,AI48+AH49-AQ48)))</f>
        <v>166.20000000000005</v>
      </c>
      <c r="AJ49" s="14">
        <f>AI49*VLOOKUP('Données projet'!$B$10,Paramètres!$A$1:$I$89,3,0)*VLOOKUP('Données projet'!$B$10,Paramètres!$A$1:$I$89,5,0)</f>
        <v>168.52680000000007</v>
      </c>
      <c r="AK49" s="14">
        <f t="shared" si="35"/>
        <v>42.759908842532369</v>
      </c>
      <c r="AL49" s="22">
        <f t="shared" si="4"/>
        <v>367.991017900744</v>
      </c>
      <c r="AM49" s="60">
        <f t="shared" si="5"/>
        <v>661.32435123407731</v>
      </c>
      <c r="AN49" s="60">
        <f ca="1">AVERAGE(OFFSET($AM$3,0,0,'Données projet'!$E$10+1,1))-AVERAGE(OFFSET($H$3,0,0,'Données projet'!$E$10+1,1))</f>
        <v>350.3652766444938</v>
      </c>
      <c r="AO49" s="60">
        <f t="shared" si="36"/>
        <v>197.04549436738586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6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8.1999999999999993</v>
      </c>
      <c r="BD49" s="13">
        <f>IF('Données projet'!$A$88&gt;35,BD48+BC49-BL48,IF(A49&lt;'Données projet'!$A$88,$BA$205^A49,IF(A49='Données projet'!$A$88,'Données projet'!$B$88,BD48+BC49-BL48)))</f>
        <v>166.20000000000005</v>
      </c>
      <c r="BE49" s="14">
        <f>BD49*VLOOKUP('Données projet'!$B$11,Paramètres!$A$1:$I$89,3,0)*VLOOKUP('Données projet'!$B$11,Paramètres!$A$1:$I$89,5,0)</f>
        <v>160.74864000000005</v>
      </c>
      <c r="BF49" s="14">
        <f t="shared" si="37"/>
        <v>41.011327345272264</v>
      </c>
      <c r="BG49" s="22">
        <f t="shared" si="7"/>
        <v>351.39860979301596</v>
      </c>
      <c r="BH49" s="60">
        <f t="shared" si="8"/>
        <v>644.73194312634928</v>
      </c>
      <c r="BI49" s="60">
        <f ca="1">AVERAGE(OFFSET($BH$3,0,0,'Données projet'!$E$11+1,1))-AVERAGE(OFFSET($H$3,0,0,'Données projet'!$E$11+1,1))</f>
        <v>330.39429528665841</v>
      </c>
      <c r="BJ49" s="60">
        <f t="shared" si="38"/>
        <v>186.45728006007261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6.2820512820512819</v>
      </c>
      <c r="BY49" s="13">
        <f>IF('Données projet'!$A$114&gt;35,BY48+BX49-CG48,IF(A49&lt;'Données projet'!$A$114,$BV$205^A49,IF(A49='Données projet'!$A$114,'Données projet'!$B$114,BY48+BX49-CG48)))</f>
        <v>196.66666666666669</v>
      </c>
      <c r="BZ49" s="14">
        <f>BY49*VLOOKUP('Données projet'!$B$12,Paramètres!$A$1:$I$89,3,0)*VLOOKUP('Données projet'!$B$12,Paramètres!$A$1:$I$89,5,0)</f>
        <v>131.92400000000001</v>
      </c>
      <c r="CA49" s="14">
        <f t="shared" si="39"/>
        <v>34.440558391692079</v>
      </c>
      <c r="CB49" s="22">
        <f t="shared" si="10"/>
        <v>289.75160586553034</v>
      </c>
      <c r="CC49" s="60">
        <f t="shared" si="11"/>
        <v>583.08493919886359</v>
      </c>
      <c r="CD49" s="60">
        <f ca="1">AVERAGE(OFFSET($CC$3,0,0,'Données projet'!$E$12+1,1))-AVERAGE(OFFSET($H$3,0,0,'Données projet'!$E$12+1,1))</f>
        <v>212.33913923444732</v>
      </c>
      <c r="CE49" s="60">
        <f t="shared" si="40"/>
        <v>183.51194426094372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6.6</v>
      </c>
      <c r="CT49" s="13">
        <f>IF('Données projet'!$A$140&gt;35,CT48+CS49-DB48,IF(A49&lt;'Données projet'!$A$140,$CQ$205^A49,IF(A49='Données projet'!$A$140,'Données projet'!$B$140,CT48+CS49-DB48)))</f>
        <v>160.59999999999982</v>
      </c>
      <c r="CU49" s="18">
        <f>CT49*VLOOKUP('Données projet'!$B$13,Paramètres!$A$1:$I$89,3,0)*VLOOKUP('Données projet'!$B$13,Paramètres!$A$1:$I$89,5,0)</f>
        <v>140.30015999999986</v>
      </c>
      <c r="CV49" s="14">
        <f t="shared" si="41"/>
        <v>36.36575936262836</v>
      </c>
      <c r="CW49" s="22">
        <f t="shared" si="13"/>
        <v>307.6931428899108</v>
      </c>
      <c r="CX49" s="60">
        <f t="shared" si="14"/>
        <v>601.02647622324412</v>
      </c>
      <c r="CY49" s="60">
        <f ca="1">AVERAGE(OFFSET($CX$3,0,0,'Données projet'!$E$13+1,1))-AVERAGE(OFFSET($H$3,0,0,'Données projet'!$E$13+1,1))</f>
        <v>228.0393346366489</v>
      </c>
      <c r="CZ49" s="60">
        <f t="shared" si="42"/>
        <v>238.591781509447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8.1999999999999993</v>
      </c>
      <c r="DO49" s="13">
        <f>IF('Données projet'!$A$166&gt;35,DO48+DN49-DW48,IF(A49&lt;'Données projet'!$A$166,$DL$205^A49,IF(A49='Données projet'!$A$166,'Données projet'!$B$166,DO48+DN49-DW48)))</f>
        <v>166.20000000000005</v>
      </c>
      <c r="DP49" s="18">
        <f>DO49*VLOOKUP('Données projet'!$B$14,Paramètres!$A$1:$I$89,3,0)*VLOOKUP('Données projet'!$B$14,Paramètres!$A$1:$I$89,5,0)</f>
        <v>150.37776000000002</v>
      </c>
      <c r="DQ49" s="14">
        <f t="shared" si="43"/>
        <v>38.664420365454049</v>
      </c>
      <c r="DR49" s="22">
        <f t="shared" si="16"/>
        <v>329.24846413649914</v>
      </c>
      <c r="DS49" s="60">
        <f t="shared" si="17"/>
        <v>622.58179746983251</v>
      </c>
      <c r="DT49" s="60">
        <f ca="1">AVERAGE(OFFSET($DS$3,0,0,'Données projet'!$E$14+1,1))-AVERAGE(OFFSET($H$3,0,0,'Données projet'!$E$14+1,1))</f>
        <v>303.73499739059076</v>
      </c>
      <c r="DU49" s="60">
        <f t="shared" si="44"/>
        <v>172.32171001882188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15.725555555555552</v>
      </c>
      <c r="EJ49" s="13">
        <f>IF('Données projet'!$A$192&gt;35,EJ48+EI49-ER48,IF(A49&lt;'Données projet'!$A$192,$EG$205^A49,IF(A49='Données projet'!$A$192,'Données projet'!$B$192,EJ48+EI49-ER48)))</f>
        <v>307.03777777777799</v>
      </c>
      <c r="EK49" s="18">
        <f>EJ49*VLOOKUP('Données projet'!$B$15,Paramètres!$A$1:$I$89,3,0)*VLOOKUP('Données projet'!$B$15,Paramètres!$A$1:$I$89,5,0)</f>
        <v>183.60859111111125</v>
      </c>
      <c r="EL49" s="14">
        <f t="shared" si="45"/>
        <v>46.12410137795834</v>
      </c>
      <c r="EM49" s="22">
        <f t="shared" si="19"/>
        <v>400.11777275179617</v>
      </c>
      <c r="EN49" s="60">
        <f t="shared" si="20"/>
        <v>693.45110608512948</v>
      </c>
      <c r="EO49" s="60">
        <f ca="1">AVERAGE(OFFSET($EN$3,0,0,'Données projet'!$E$15+1,1))-AVERAGE(OFFSET($H$3,0,0,'Données projet'!$E$15+1,1))</f>
        <v>269.94948820700841</v>
      </c>
      <c r="EP49" s="60">
        <f t="shared" si="46"/>
        <v>183.45158355135192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8.7624023140139347</v>
      </c>
      <c r="EX49" s="23">
        <f>EXP(-LN(2)/2)*EX48+(1-EXP(-LN(2)/2))/(LN(2)/2)*ER49*EU49*VLOOKUP('Données projet'!$B$15,Paramètres!$A$1:$I$89,3,0)*0.475*44/12</f>
        <v>2.2023561271408441E-2</v>
      </c>
      <c r="EY49" s="24">
        <f t="shared" si="21"/>
        <v>8.7844258752853435</v>
      </c>
      <c r="EZ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9.8888888888888893</v>
      </c>
      <c r="FE49" s="13">
        <f>IF('Données projet'!$A$218&gt;35,FE48+FD49-FM48,IF(A49&lt;'Données projet'!$A$218,$FB$205^A49,IF(A49='Données projet'!$A$218,'Données projet'!$B$218,FE48+FD49-FM48)))</f>
        <v>154.33333333333331</v>
      </c>
      <c r="FF49" s="18">
        <f>FE49*VLOOKUP('Données projet'!$B$16,Paramètres!$A$1:$I$89,3,0)*VLOOKUP('Données projet'!$B$16,Paramètres!$A$1:$I$89,5,0)</f>
        <v>92.291333333333327</v>
      </c>
      <c r="FG49" s="14">
        <f t="shared" si="47"/>
        <v>25.117028248833339</v>
      </c>
      <c r="FH49" s="22">
        <f t="shared" si="22"/>
        <v>204.48622975560693</v>
      </c>
      <c r="FI49" s="60">
        <f t="shared" si="23"/>
        <v>497.81956308894024</v>
      </c>
      <c r="FJ49" s="60">
        <f ca="1">AVERAGE(OFFSET($FI$3,0,0,'Données projet'!$E$16+1,1))-AVERAGE(OFFSET($H$3,0,0,'Données projet'!$E$16+1,1))</f>
        <v>111.24788725253484</v>
      </c>
      <c r="FK49" s="60">
        <f t="shared" si="48"/>
        <v>82.434879813357327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projet'!$B$16,Paramètres!$A$1:$I$89,3,0)*0.475*44/12</f>
        <v>0</v>
      </c>
      <c r="FR49" s="23">
        <f>EXP(-LN(2)/25)*FR48+(1-EXP(-LN(2)/25))/(LN(2)/25)*Calculateur!FM49*Calculateur!FO49*VLOOKUP('Données projet'!$B$16,Paramètres!$A$1:$I$89,3,0)*0.475*44/12</f>
        <v>0</v>
      </c>
      <c r="FS49" s="23">
        <f>EXP(-LN(2)/2)*FS48+(1-EXP(-LN(2)/2))/(LN(2)/2)*FM49*FP49*VLOOKUP('Données projet'!$B$16,Paramètres!$A$1:$I$89,3,0)*0.475*44/12</f>
        <v>0</v>
      </c>
      <c r="FT49" s="24">
        <f t="shared" si="24"/>
        <v>0</v>
      </c>
      <c r="FU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23</v>
      </c>
      <c r="FZ49" s="13">
        <f>IF('Données projet'!$A$244&gt;35,FZ48+FY49-GH48,IF(A49&lt;'Données projet'!$A$244,$FW$205^A49,IF(A49='Données projet'!$A$244,'Données projet'!$B$244,FZ48+FY49-GH48)))</f>
        <v>490.99999999999989</v>
      </c>
      <c r="GA49" s="18">
        <f>FZ49*VLOOKUP('Données projet'!$B$17,Paramètres!$A$1:$I$89,3,0)*VLOOKUP('Données projet'!$B$17,Paramètres!$A$1:$I$89,5,0)</f>
        <v>217.02199999999996</v>
      </c>
      <c r="GB49" s="14">
        <f t="shared" si="49"/>
        <v>53.467119630174551</v>
      </c>
      <c r="GC49" s="22">
        <f t="shared" si="25"/>
        <v>471.1018833558872</v>
      </c>
      <c r="GD49" s="60">
        <f t="shared" si="26"/>
        <v>764.43521668922051</v>
      </c>
      <c r="GE49" s="60">
        <f ca="1">AVERAGE(OFFSET($GD$3,0,0,'Données projet'!$E$17+1,1))-AVERAGE(OFFSET($H$3,0,0,'Données projet'!$E$17+1,1))</f>
        <v>323.56667371063662</v>
      </c>
      <c r="GF49" s="60">
        <f t="shared" si="50"/>
        <v>275.70373467723385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>
        <f>EXP(-LN(2)/35)*GL48+(1-EXP(-LN(2)/35))/(LN(2)/35)*GH49*GI49*VLOOKUP('Données projet'!$B$17,Paramètres!$A$1:$I$89,3,0)*0.475*44/12</f>
        <v>0</v>
      </c>
      <c r="GM49" s="23">
        <f>EXP(-LN(2)/25)*GM48+(1-EXP(-LN(2)/25))/(LN(2)/25)*Calculateur!GH49*Calculateur!GJ49*VLOOKUP('Données projet'!$B$17,Paramètres!$A$1:$I$89,3,0)*0.475*44/12</f>
        <v>0</v>
      </c>
      <c r="GN49" s="23">
        <f>EXP(-LN(2)/2)*GN48+(1-EXP(-LN(2)/2))/(LN(2)/2)*GH49*GK49*VLOOKUP('Données projet'!$B$17,Paramètres!$A$1:$I$89,3,0)*0.475*44/12</f>
        <v>0</v>
      </c>
      <c r="GO49" s="23">
        <f t="shared" si="27"/>
        <v>0</v>
      </c>
      <c r="GP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0" t="e">
        <f t="shared" si="29"/>
        <v>#N/A</v>
      </c>
      <c r="GZ49" s="60" t="e">
        <f ca="1">AVERAGE(OFFSET($GY$3,0,0,'Données projet'!$E$18+1,1))-AVERAGE(OFFSET($H$3,0,0,'Données projet'!$E$18+1,1))</f>
        <v>#N/A</v>
      </c>
      <c r="HA49" s="60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4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2">
        <f t="shared" si="32"/>
        <v>8.1058983118768051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14.64374999999999</v>
      </c>
      <c r="N50" s="14">
        <f>IF('Données projet'!$A$36&gt;35,N49+M50-V49,IF(A50&lt;'Données projet'!$A$36,$K$205^A50,IF(A50='Données projet'!$A$36,'Données projet'!$B$36,N49+M50-V49)))</f>
        <v>333.37124999999992</v>
      </c>
      <c r="O50" s="14">
        <f>N50*VLOOKUP('Données projet'!$B$9,Paramètres!$A$1:$I$89,3,0)*VLOOKUP('Données projet'!$B$9,Paramètres!$A$1:$I$89,5,0)</f>
        <v>199.35600749999998</v>
      </c>
      <c r="P50" s="14">
        <f t="shared" si="33"/>
        <v>49.602611110771242</v>
      </c>
      <c r="Q50" s="22">
        <f t="shared" si="53"/>
        <v>433.6029274137598</v>
      </c>
      <c r="R50" s="60">
        <f t="shared" si="0"/>
        <v>726.93626074709312</v>
      </c>
      <c r="S50" s="60">
        <f ca="1">AVERAGE(OFFSET($R$3,0,0,'Données projet'!$E$9+1,1))-AVERAGE(OFFSET($H$3,0,0,'Données projet'!$E$9+1,1))</f>
        <v>235.63766249714581</v>
      </c>
      <c r="T50" s="60">
        <f t="shared" si="34"/>
        <v>231.3297293785277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8.1938605580287387</v>
      </c>
      <c r="AA50" s="23">
        <f>EXP(-LN(2)/25)*AA49+(1-EXP(-LN(2)/25))/(LN(2)/25)*Calculateur!V50*Calculateur!X50*VLOOKUP('Données projet'!$B$9,Paramètres!$A$1:$I$89,3,0)*0.475*44/12</f>
        <v>10.791163683612151</v>
      </c>
      <c r="AB50" s="23">
        <f>EXP(-LN(2)/2)*AB49+(1-EXP(-LN(2)/2))/(LN(2)/2)*V50*Y50*VLOOKUP('Données projet'!$B$9,Paramètres!$A$1:$I$89,3,0)*0.475*44/12</f>
        <v>1.9645503846995014E-2</v>
      </c>
      <c r="AC50" s="24">
        <f t="shared" si="3"/>
        <v>19.004669745487885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8.1999999999999993</v>
      </c>
      <c r="AI50" s="14">
        <f>IF('Données projet'!$A$62&gt;35,AI49+AH50-AQ49,IF(A50&lt;'Données projet'!$A$62,$AF$205^A50,IF(A50='Données projet'!$A$62,'Données projet'!$B$62,AI49+AH50-AQ49)))</f>
        <v>174.40000000000003</v>
      </c>
      <c r="AJ50" s="14">
        <f>AI50*VLOOKUP('Données projet'!$B$10,Paramètres!$A$1:$I$89,3,0)*VLOOKUP('Données projet'!$B$10,Paramètres!$A$1:$I$89,5,0)</f>
        <v>176.84160000000006</v>
      </c>
      <c r="AK50" s="14">
        <f t="shared" si="35"/>
        <v>44.618778032982952</v>
      </c>
      <c r="AL50" s="22">
        <f t="shared" si="4"/>
        <v>385.71015840744536</v>
      </c>
      <c r="AM50" s="60">
        <f t="shared" si="5"/>
        <v>679.04349174077868</v>
      </c>
      <c r="AN50" s="60">
        <f ca="1">AVERAGE(OFFSET($AM$3,0,0,'Données projet'!$E$10+1,1))-AVERAGE(OFFSET($H$3,0,0,'Données projet'!$E$10+1,1))</f>
        <v>350.3652766444938</v>
      </c>
      <c r="AO50" s="60">
        <f t="shared" si="36"/>
        <v>197.04549436738586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6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8.1999999999999993</v>
      </c>
      <c r="BD50" s="13">
        <f>IF('Données projet'!$A$88&gt;35,BD49+BC50-BL49,IF(A50&lt;'Données projet'!$A$88,$BA$205^A50,IF(A50='Données projet'!$A$88,'Données projet'!$B$88,BD49+BC50-BL49)))</f>
        <v>174.40000000000003</v>
      </c>
      <c r="BE50" s="14">
        <f>BD50*VLOOKUP('Données projet'!$B$11,Paramètres!$A$1:$I$89,3,0)*VLOOKUP('Données projet'!$B$11,Paramètres!$A$1:$I$89,5,0)</f>
        <v>168.67968000000002</v>
      </c>
      <c r="BF50" s="14">
        <f t="shared" si="37"/>
        <v>42.794181774227013</v>
      </c>
      <c r="BG50" s="22">
        <f t="shared" si="7"/>
        <v>368.3169759234454</v>
      </c>
      <c r="BH50" s="60">
        <f t="shared" si="8"/>
        <v>661.65030925677866</v>
      </c>
      <c r="BI50" s="60">
        <f ca="1">AVERAGE(OFFSET($BH$3,0,0,'Données projet'!$E$11+1,1))-AVERAGE(OFFSET($H$3,0,0,'Données projet'!$E$11+1,1))</f>
        <v>330.39429528665841</v>
      </c>
      <c r="BJ50" s="60">
        <f t="shared" si="38"/>
        <v>186.45728006007261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6.2820512820512819</v>
      </c>
      <c r="BY50" s="13">
        <f>IF('Données projet'!$A$114&gt;35,BY49+BX50-CG49,IF(A50&lt;'Données projet'!$A$114,$BV$205^A50,IF(A50='Données projet'!$A$114,'Données projet'!$B$114,BY49+BX50-CG49)))</f>
        <v>202.94871794871796</v>
      </c>
      <c r="BZ50" s="14">
        <f>BY50*VLOOKUP('Données projet'!$B$12,Paramètres!$A$1:$I$89,3,0)*VLOOKUP('Données projet'!$B$12,Paramètres!$A$1:$I$89,5,0)</f>
        <v>136.13800000000001</v>
      </c>
      <c r="CA50" s="14">
        <f t="shared" si="39"/>
        <v>35.410840305135217</v>
      </c>
      <c r="CB50" s="22">
        <f t="shared" si="10"/>
        <v>298.78089686477716</v>
      </c>
      <c r="CC50" s="60">
        <f t="shared" si="11"/>
        <v>592.11423019811048</v>
      </c>
      <c r="CD50" s="60">
        <f ca="1">AVERAGE(OFFSET($CC$3,0,0,'Données projet'!$E$12+1,1))-AVERAGE(OFFSET($H$3,0,0,'Données projet'!$E$12+1,1))</f>
        <v>212.33913923444732</v>
      </c>
      <c r="CE50" s="60">
        <f t="shared" si="40"/>
        <v>183.51194426094372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6.6</v>
      </c>
      <c r="CT50" s="13">
        <f>IF('Données projet'!$A$140&gt;35,CT49+CS50-DB49,IF(A50&lt;'Données projet'!$A$140,$CQ$205^A50,IF(A50='Données projet'!$A$140,'Données projet'!$B$140,CT49+CS50-DB49)))</f>
        <v>167.19999999999982</v>
      </c>
      <c r="CU50" s="18">
        <f>CT50*VLOOKUP('Données projet'!$B$13,Paramètres!$A$1:$I$89,3,0)*VLOOKUP('Données projet'!$B$13,Paramètres!$A$1:$I$89,5,0)</f>
        <v>146.06591999999986</v>
      </c>
      <c r="CV50" s="14">
        <f t="shared" si="41"/>
        <v>37.683173643014364</v>
      </c>
      <c r="CW50" s="22">
        <f t="shared" si="13"/>
        <v>320.02967142824974</v>
      </c>
      <c r="CX50" s="60">
        <f t="shared" si="14"/>
        <v>613.36300476158306</v>
      </c>
      <c r="CY50" s="60">
        <f ca="1">AVERAGE(OFFSET($CX$3,0,0,'Données projet'!$E$13+1,1))-AVERAGE(OFFSET($H$3,0,0,'Données projet'!$E$13+1,1))</f>
        <v>228.0393346366489</v>
      </c>
      <c r="CZ50" s="60">
        <f t="shared" si="42"/>
        <v>238.591781509447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8.1999999999999993</v>
      </c>
      <c r="DO50" s="13">
        <f>IF('Données projet'!$A$166&gt;35,DO49+DN50-DW49,IF(A50&lt;'Données projet'!$A$166,$DL$205^A50,IF(A50='Données projet'!$A$166,'Données projet'!$B$166,DO49+DN50-DW49)))</f>
        <v>174.40000000000003</v>
      </c>
      <c r="DP50" s="18">
        <f>DO50*VLOOKUP('Données projet'!$B$14,Paramètres!$A$1:$I$89,3,0)*VLOOKUP('Données projet'!$B$14,Paramètres!$A$1:$I$89,5,0)</f>
        <v>157.79712000000004</v>
      </c>
      <c r="DQ50" s="14">
        <f t="shared" si="43"/>
        <v>40.345249481546155</v>
      </c>
      <c r="DR50" s="22">
        <f t="shared" si="16"/>
        <v>345.09796018035962</v>
      </c>
      <c r="DS50" s="60">
        <f t="shared" si="17"/>
        <v>638.43129351369294</v>
      </c>
      <c r="DT50" s="60">
        <f ca="1">AVERAGE(OFFSET($DS$3,0,0,'Données projet'!$E$14+1,1))-AVERAGE(OFFSET($H$3,0,0,'Données projet'!$E$14+1,1))</f>
        <v>303.73499739059076</v>
      </c>
      <c r="DU50" s="60">
        <f t="shared" si="44"/>
        <v>172.32171001882188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15.725555555555552</v>
      </c>
      <c r="EJ50" s="13">
        <f>IF('Données projet'!$A$192&gt;35,EJ49+EI50-ER49,IF(A50&lt;'Données projet'!$A$192,$EG$205^A50,IF(A50='Données projet'!$A$192,'Données projet'!$B$192,EJ49+EI50-ER49)))</f>
        <v>322.76333333333355</v>
      </c>
      <c r="EK50" s="18">
        <f>EJ50*VLOOKUP('Données projet'!$B$15,Paramètres!$A$1:$I$89,3,0)*VLOOKUP('Données projet'!$B$15,Paramètres!$A$1:$I$89,5,0)</f>
        <v>193.01247333333347</v>
      </c>
      <c r="EL50" s="14">
        <f t="shared" si="45"/>
        <v>48.205356952003704</v>
      </c>
      <c r="EM50" s="22">
        <f t="shared" si="19"/>
        <v>420.12105441362888</v>
      </c>
      <c r="EN50" s="60">
        <f t="shared" si="20"/>
        <v>713.4543877469622</v>
      </c>
      <c r="EO50" s="60">
        <f ca="1">AVERAGE(OFFSET($EN$3,0,0,'Données projet'!$E$15+1,1))-AVERAGE(OFFSET($H$3,0,0,'Données projet'!$E$15+1,1))</f>
        <v>269.94948820700841</v>
      </c>
      <c r="EP50" s="60">
        <f t="shared" si="46"/>
        <v>183.45158355135192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8.5227939619425133</v>
      </c>
      <c r="EX50" s="23">
        <f>EXP(-LN(2)/2)*EX49+(1-EXP(-LN(2)/2))/(LN(2)/2)*ER50*EU50*VLOOKUP('Données projet'!$B$15,Paramètres!$A$1:$I$89,3,0)*0.475*44/12</f>
        <v>1.5573009520890331E-2</v>
      </c>
      <c r="EY50" s="24">
        <f t="shared" si="21"/>
        <v>8.5383669714634038</v>
      </c>
      <c r="EZ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9.8888888888888893</v>
      </c>
      <c r="FE50" s="13">
        <f>IF('Données projet'!$A$218&gt;35,FE49+FD50-FM49,IF(A50&lt;'Données projet'!$A$218,$FB$205^A50,IF(A50='Données projet'!$A$218,'Données projet'!$B$218,FE49+FD50-FM49)))</f>
        <v>164.2222222222222</v>
      </c>
      <c r="FF50" s="18">
        <f>FE50*VLOOKUP('Données projet'!$B$16,Paramètres!$A$1:$I$89,3,0)*VLOOKUP('Données projet'!$B$16,Paramètres!$A$1:$I$89,5,0)</f>
        <v>98.204888888888888</v>
      </c>
      <c r="FG50" s="14">
        <f t="shared" si="47"/>
        <v>26.533887266447675</v>
      </c>
      <c r="FH50" s="22">
        <f t="shared" si="22"/>
        <v>217.2533684705445</v>
      </c>
      <c r="FI50" s="60">
        <f t="shared" si="23"/>
        <v>510.58670180387782</v>
      </c>
      <c r="FJ50" s="60">
        <f ca="1">AVERAGE(OFFSET($FI$3,0,0,'Données projet'!$E$16+1,1))-AVERAGE(OFFSET($H$3,0,0,'Données projet'!$E$16+1,1))</f>
        <v>111.24788725253484</v>
      </c>
      <c r="FK50" s="60">
        <f t="shared" si="48"/>
        <v>82.434879813357327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projet'!$B$16,Paramètres!$A$1:$I$89,3,0)*0.475*44/12</f>
        <v>0</v>
      </c>
      <c r="FR50" s="23">
        <f>EXP(-LN(2)/25)*FR49+(1-EXP(-LN(2)/25))/(LN(2)/25)*Calculateur!FM50*Calculateur!FO50*VLOOKUP('Données projet'!$B$16,Paramètres!$A$1:$I$89,3,0)*0.475*44/12</f>
        <v>0</v>
      </c>
      <c r="FS50" s="23">
        <f>EXP(-LN(2)/2)*FS49+(1-EXP(-LN(2)/2))/(LN(2)/2)*FM50*FP50*VLOOKUP('Données projet'!$B$16,Paramètres!$A$1:$I$89,3,0)*0.475*44/12</f>
        <v>0</v>
      </c>
      <c r="FT50" s="24">
        <f t="shared" si="24"/>
        <v>0</v>
      </c>
      <c r="FU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23</v>
      </c>
      <c r="FZ50" s="13">
        <f>IF('Données projet'!$A$244&gt;35,FZ49+FY50-GH49,IF(A50&lt;'Données projet'!$A$244,$FW$205^A50,IF(A50='Données projet'!$A$244,'Données projet'!$B$244,FZ49+FY50-GH49)))</f>
        <v>513.99999999999989</v>
      </c>
      <c r="GA50" s="18">
        <f>FZ50*VLOOKUP('Données projet'!$B$17,Paramètres!$A$1:$I$89,3,0)*VLOOKUP('Données projet'!$B$17,Paramètres!$A$1:$I$89,5,0)</f>
        <v>227.18799999999996</v>
      </c>
      <c r="GB50" s="14">
        <f t="shared" si="49"/>
        <v>55.674226763576875</v>
      </c>
      <c r="GC50" s="22">
        <f t="shared" si="25"/>
        <v>492.65171161322957</v>
      </c>
      <c r="GD50" s="60">
        <f t="shared" si="26"/>
        <v>785.98504494656288</v>
      </c>
      <c r="GE50" s="60">
        <f ca="1">AVERAGE(OFFSET($GD$3,0,0,'Données projet'!$E$17+1,1))-AVERAGE(OFFSET($H$3,0,0,'Données projet'!$E$17+1,1))</f>
        <v>323.56667371063662</v>
      </c>
      <c r="GF50" s="60">
        <f t="shared" si="50"/>
        <v>275.70373467723385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>
        <f>EXP(-LN(2)/35)*GL49+(1-EXP(-LN(2)/35))/(LN(2)/35)*GH50*GI50*VLOOKUP('Données projet'!$B$17,Paramètres!$A$1:$I$89,3,0)*0.475*44/12</f>
        <v>0</v>
      </c>
      <c r="GM50" s="23">
        <f>EXP(-LN(2)/25)*GM49+(1-EXP(-LN(2)/25))/(LN(2)/25)*Calculateur!GH50*Calculateur!GJ50*VLOOKUP('Données projet'!$B$17,Paramètres!$A$1:$I$89,3,0)*0.475*44/12</f>
        <v>0</v>
      </c>
      <c r="GN50" s="23">
        <f>EXP(-LN(2)/2)*GN49+(1-EXP(-LN(2)/2))/(LN(2)/2)*GH50*GK50*VLOOKUP('Données projet'!$B$17,Paramètres!$A$1:$I$89,3,0)*0.475*44/12</f>
        <v>0</v>
      </c>
      <c r="GO50" s="23">
        <f t="shared" si="27"/>
        <v>0</v>
      </c>
      <c r="GP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0" t="e">
        <f t="shared" si="29"/>
        <v>#N/A</v>
      </c>
      <c r="GZ50" s="60" t="e">
        <f ca="1">AVERAGE(OFFSET($GY$3,0,0,'Données projet'!$E$18+1,1))-AVERAGE(OFFSET($H$3,0,0,'Données projet'!$E$18+1,1))</f>
        <v>#N/A</v>
      </c>
      <c r="HA50" s="60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4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2">
        <f t="shared" si="32"/>
        <v>8.2581019723450915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14.64374999999999</v>
      </c>
      <c r="N51" s="14">
        <f>IF('Données projet'!$A$36&gt;35,N50+M51-V50,IF(A51&lt;'Données projet'!$A$36,$K$205^A51,IF(A51='Données projet'!$A$36,'Données projet'!$B$36,N50+M51-V50)))</f>
        <v>348.01499999999993</v>
      </c>
      <c r="O51" s="14">
        <f>N51*VLOOKUP('Données projet'!$B$9,Paramètres!$A$1:$I$89,3,0)*VLOOKUP('Données projet'!$B$9,Paramètres!$A$1:$I$89,5,0)</f>
        <v>208.11296999999999</v>
      </c>
      <c r="P51" s="14">
        <f t="shared" si="33"/>
        <v>51.52300578513217</v>
      </c>
      <c r="Q51" s="22">
        <f t="shared" si="53"/>
        <v>452.19932449243839</v>
      </c>
      <c r="R51" s="60">
        <f t="shared" si="0"/>
        <v>745.53265782577171</v>
      </c>
      <c r="S51" s="60">
        <f ca="1">AVERAGE(OFFSET($R$3,0,0,'Données projet'!$E$9+1,1))-AVERAGE(OFFSET($H$3,0,0,'Données projet'!$E$9+1,1))</f>
        <v>235.63766249714581</v>
      </c>
      <c r="T51" s="60">
        <f t="shared" si="34"/>
        <v>231.3297293785277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8.0331839502472473</v>
      </c>
      <c r="AA51" s="23">
        <f>EXP(-LN(2)/25)*AA50+(1-EXP(-LN(2)/25))/(LN(2)/25)*Calculateur!V51*Calculateur!X51*VLOOKUP('Données projet'!$B$9,Paramètres!$A$1:$I$89,3,0)*0.475*44/12</f>
        <v>10.496078745201142</v>
      </c>
      <c r="AB51" s="23">
        <f>EXP(-LN(2)/2)*AB50+(1-EXP(-LN(2)/2))/(LN(2)/2)*V51*Y51*VLOOKUP('Données projet'!$B$9,Paramètres!$A$1:$I$89,3,0)*0.475*44/12</f>
        <v>1.3891468990036581E-2</v>
      </c>
      <c r="AC51" s="24">
        <f t="shared" si="3"/>
        <v>18.543154164438423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8.1999999999999993</v>
      </c>
      <c r="AI51" s="14">
        <f>IF('Données projet'!$A$62&gt;35,AI50+AH51-AQ50,IF(A51&lt;'Données projet'!$A$62,$AF$205^A51,IF(A51='Données projet'!$A$62,'Données projet'!$B$62,AI50+AH51-AQ50)))</f>
        <v>182.60000000000002</v>
      </c>
      <c r="AJ51" s="14">
        <f>AI51*VLOOKUP('Données projet'!$B$10,Paramètres!$A$1:$I$89,3,0)*VLOOKUP('Données projet'!$B$10,Paramètres!$A$1:$I$89,5,0)</f>
        <v>185.15640000000002</v>
      </c>
      <c r="AK51" s="14">
        <f t="shared" si="35"/>
        <v>46.467497591770453</v>
      </c>
      <c r="AL51" s="22">
        <f t="shared" si="4"/>
        <v>403.4116216390002</v>
      </c>
      <c r="AM51" s="60">
        <f t="shared" si="5"/>
        <v>696.74495497233352</v>
      </c>
      <c r="AN51" s="60">
        <f ca="1">AVERAGE(OFFSET($AM$3,0,0,'Données projet'!$E$10+1,1))-AVERAGE(OFFSET($H$3,0,0,'Données projet'!$E$10+1,1))</f>
        <v>350.3652766444938</v>
      </c>
      <c r="AO51" s="60">
        <f t="shared" si="36"/>
        <v>197.04549436738586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6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8.1999999999999993</v>
      </c>
      <c r="BD51" s="13">
        <f>IF('Données projet'!$A$88&gt;35,BD50+BC51-BL50,IF(A51&lt;'Données projet'!$A$88,$BA$205^A51,IF(A51='Données projet'!$A$88,'Données projet'!$B$88,BD50+BC51-BL50)))</f>
        <v>182.60000000000002</v>
      </c>
      <c r="BE51" s="14">
        <f>BD51*VLOOKUP('Données projet'!$B$11,Paramètres!$A$1:$I$89,3,0)*VLOOKUP('Données projet'!$B$11,Paramètres!$A$1:$I$89,5,0)</f>
        <v>176.61072000000004</v>
      </c>
      <c r="BF51" s="14">
        <f t="shared" si="37"/>
        <v>44.56730162053563</v>
      </c>
      <c r="BG51" s="22">
        <f t="shared" si="7"/>
        <v>385.21838765576626</v>
      </c>
      <c r="BH51" s="60">
        <f t="shared" si="8"/>
        <v>678.55172098909952</v>
      </c>
      <c r="BI51" s="60">
        <f ca="1">AVERAGE(OFFSET($BH$3,0,0,'Données projet'!$E$11+1,1))-AVERAGE(OFFSET($H$3,0,0,'Données projet'!$E$11+1,1))</f>
        <v>330.39429528665841</v>
      </c>
      <c r="BJ51" s="60">
        <f t="shared" si="38"/>
        <v>186.45728006007261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6.2820512820512819</v>
      </c>
      <c r="BY51" s="13">
        <f>IF('Données projet'!$A$114&gt;35,BY50+BX51-CG50,IF(A51&lt;'Données projet'!$A$114,$BV$205^A51,IF(A51='Données projet'!$A$114,'Données projet'!$B$114,BY50+BX51-CG50)))</f>
        <v>209.23076923076923</v>
      </c>
      <c r="BZ51" s="14">
        <f>BY51*VLOOKUP('Données projet'!$B$12,Paramètres!$A$1:$I$89,3,0)*VLOOKUP('Données projet'!$B$12,Paramètres!$A$1:$I$89,5,0)</f>
        <v>140.352</v>
      </c>
      <c r="CA51" s="14">
        <f t="shared" si="39"/>
        <v>36.377631963176114</v>
      </c>
      <c r="CB51" s="22">
        <f t="shared" si="10"/>
        <v>307.80410900253173</v>
      </c>
      <c r="CC51" s="60">
        <f t="shared" si="11"/>
        <v>601.13744233586499</v>
      </c>
      <c r="CD51" s="60">
        <f ca="1">AVERAGE(OFFSET($CC$3,0,0,'Données projet'!$E$12+1,1))-AVERAGE(OFFSET($H$3,0,0,'Données projet'!$E$12+1,1))</f>
        <v>212.33913923444732</v>
      </c>
      <c r="CE51" s="60">
        <f t="shared" si="40"/>
        <v>183.51194426094372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6.6</v>
      </c>
      <c r="CT51" s="13">
        <f>IF('Données projet'!$A$140&gt;35,CT50+CS51-DB50,IF(A51&lt;'Données projet'!$A$140,$CQ$205^A51,IF(A51='Données projet'!$A$140,'Données projet'!$B$140,CT50+CS51-DB50)))</f>
        <v>173.79999999999981</v>
      </c>
      <c r="CU51" s="18">
        <f>CT51*VLOOKUP('Données projet'!$B$13,Paramètres!$A$1:$I$89,3,0)*VLOOKUP('Données projet'!$B$13,Paramètres!$A$1:$I$89,5,0)</f>
        <v>151.83167999999986</v>
      </c>
      <c r="CV51" s="14">
        <f t="shared" si="41"/>
        <v>38.994546979637654</v>
      </c>
      <c r="CW51" s="22">
        <f t="shared" si="13"/>
        <v>332.35567865620197</v>
      </c>
      <c r="CX51" s="60">
        <f t="shared" si="14"/>
        <v>625.68901198953529</v>
      </c>
      <c r="CY51" s="60">
        <f ca="1">AVERAGE(OFFSET($CX$3,0,0,'Données projet'!$E$13+1,1))-AVERAGE(OFFSET($H$3,0,0,'Données projet'!$E$13+1,1))</f>
        <v>228.0393346366489</v>
      </c>
      <c r="CZ51" s="60">
        <f t="shared" si="42"/>
        <v>238.591781509447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8.1999999999999993</v>
      </c>
      <c r="DO51" s="13">
        <f>IF('Données projet'!$A$166&gt;35,DO50+DN51-DW50,IF(A51&lt;'Données projet'!$A$166,$DL$205^A51,IF(A51='Données projet'!$A$166,'Données projet'!$B$166,DO50+DN51-DW50)))</f>
        <v>182.60000000000002</v>
      </c>
      <c r="DP51" s="18">
        <f>DO51*VLOOKUP('Données projet'!$B$14,Paramètres!$A$1:$I$89,3,0)*VLOOKUP('Données projet'!$B$14,Paramètres!$A$1:$I$89,5,0)</f>
        <v>165.21648000000002</v>
      </c>
      <c r="DQ51" s="14">
        <f t="shared" si="43"/>
        <v>42.016901084500397</v>
      </c>
      <c r="DR51" s="22">
        <f t="shared" si="16"/>
        <v>360.93147205550491</v>
      </c>
      <c r="DS51" s="60">
        <f t="shared" si="17"/>
        <v>654.26480538883823</v>
      </c>
      <c r="DT51" s="60">
        <f ca="1">AVERAGE(OFFSET($DS$3,0,0,'Données projet'!$E$14+1,1))-AVERAGE(OFFSET($H$3,0,0,'Données projet'!$E$14+1,1))</f>
        <v>303.73499739059076</v>
      </c>
      <c r="DU51" s="60">
        <f t="shared" si="44"/>
        <v>172.32171001882188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15.725555555555552</v>
      </c>
      <c r="EJ51" s="13">
        <f>IF('Données projet'!$A$192&gt;35,EJ50+EI51-ER50,IF(A51&lt;'Données projet'!$A$192,$EG$205^A51,IF(A51='Données projet'!$A$192,'Données projet'!$B$192,EJ50+EI51-ER50)))</f>
        <v>338.48888888888911</v>
      </c>
      <c r="EK51" s="18">
        <f>EJ51*VLOOKUP('Données projet'!$B$15,Paramètres!$A$1:$I$89,3,0)*VLOOKUP('Données projet'!$B$15,Paramètres!$A$1:$I$89,5,0)</f>
        <v>202.4163555555557</v>
      </c>
      <c r="EL51" s="14">
        <f t="shared" si="45"/>
        <v>50.274837801805468</v>
      </c>
      <c r="EM51" s="22">
        <f t="shared" si="19"/>
        <v>440.10382843073734</v>
      </c>
      <c r="EN51" s="60">
        <f t="shared" si="20"/>
        <v>733.43716176407065</v>
      </c>
      <c r="EO51" s="60">
        <f ca="1">AVERAGE(OFFSET($EN$3,0,0,'Données projet'!$E$15+1,1))-AVERAGE(OFFSET($H$3,0,0,'Données projet'!$E$15+1,1))</f>
        <v>269.94948820700841</v>
      </c>
      <c r="EP51" s="60">
        <f t="shared" si="46"/>
        <v>183.45158355135192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8.2897377128589405</v>
      </c>
      <c r="EX51" s="23">
        <f>EXP(-LN(2)/2)*EX50+(1-EXP(-LN(2)/2))/(LN(2)/2)*ER51*EU51*VLOOKUP('Données projet'!$B$15,Paramètres!$A$1:$I$89,3,0)*0.475*44/12</f>
        <v>1.1011780635704222E-2</v>
      </c>
      <c r="EY51" s="24">
        <f t="shared" si="21"/>
        <v>8.300749493494644</v>
      </c>
      <c r="EZ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9.8888888888888893</v>
      </c>
      <c r="FE51" s="13">
        <f>IF('Données projet'!$A$218&gt;35,FE50+FD51-FM50,IF(A51&lt;'Données projet'!$A$218,$FB$205^A51,IF(A51='Données projet'!$A$218,'Données projet'!$B$218,FE50+FD51-FM50)))</f>
        <v>174.11111111111109</v>
      </c>
      <c r="FF51" s="18">
        <f>FE51*VLOOKUP('Données projet'!$B$16,Paramètres!$A$1:$I$89,3,0)*VLOOKUP('Données projet'!$B$16,Paramètres!$A$1:$I$89,5,0)</f>
        <v>104.11844444444444</v>
      </c>
      <c r="FG51" s="14">
        <f t="shared" si="47"/>
        <v>27.940843640496194</v>
      </c>
      <c r="FH51" s="22">
        <f t="shared" si="22"/>
        <v>230.00326008127158</v>
      </c>
      <c r="FI51" s="60">
        <f t="shared" si="23"/>
        <v>523.33659341460486</v>
      </c>
      <c r="FJ51" s="60">
        <f ca="1">AVERAGE(OFFSET($FI$3,0,0,'Données projet'!$E$16+1,1))-AVERAGE(OFFSET($H$3,0,0,'Données projet'!$E$16+1,1))</f>
        <v>111.24788725253484</v>
      </c>
      <c r="FK51" s="60">
        <f t="shared" si="48"/>
        <v>82.434879813357327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projet'!$B$16,Paramètres!$A$1:$I$89,3,0)*0.475*44/12</f>
        <v>0</v>
      </c>
      <c r="FR51" s="23">
        <f>EXP(-LN(2)/25)*FR50+(1-EXP(-LN(2)/25))/(LN(2)/25)*Calculateur!FM51*Calculateur!FO51*VLOOKUP('Données projet'!$B$16,Paramètres!$A$1:$I$89,3,0)*0.475*44/12</f>
        <v>0</v>
      </c>
      <c r="FS51" s="23">
        <f>EXP(-LN(2)/2)*FS50+(1-EXP(-LN(2)/2))/(LN(2)/2)*FM51*FP51*VLOOKUP('Données projet'!$B$16,Paramètres!$A$1:$I$89,3,0)*0.475*44/12</f>
        <v>0</v>
      </c>
      <c r="FT51" s="24">
        <f t="shared" si="24"/>
        <v>0</v>
      </c>
      <c r="FU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>
        <f>VLOOKUP(A51,'Données projet'!$A$243:$I$263,2,0)</f>
        <v>537</v>
      </c>
      <c r="FX51" s="13">
        <f>VLOOKUP(A51,'Données projet'!$A$243:$I$263,9,0)</f>
        <v>23</v>
      </c>
      <c r="FY51" s="13">
        <f t="array" ref="FY51">INDEX(FX:FX,MIN(IF(ISNUMBER(FX51:FX247),ROW(FX51:FX247),"")))</f>
        <v>23</v>
      </c>
      <c r="FZ51" s="13">
        <f>IF('Données projet'!$A$244&gt;35,FZ50+FY51-GH50,IF(A51&lt;'Données projet'!$A$244,$FW$205^A51,IF(A51='Données projet'!$A$244,'Données projet'!$B$244,FZ50+FY51-GH50)))</f>
        <v>536.99999999999989</v>
      </c>
      <c r="GA51" s="18">
        <f>FZ51*VLOOKUP('Données projet'!$B$17,Paramètres!$A$1:$I$89,3,0)*VLOOKUP('Données projet'!$B$17,Paramètres!$A$1:$I$89,5,0)</f>
        <v>237.35399999999998</v>
      </c>
      <c r="GB51" s="14">
        <f t="shared" si="49"/>
        <v>57.869863890934155</v>
      </c>
      <c r="GC51" s="22">
        <f t="shared" si="25"/>
        <v>514.18156294337689</v>
      </c>
      <c r="GD51" s="60">
        <f t="shared" si="26"/>
        <v>807.51489627671026</v>
      </c>
      <c r="GE51" s="60">
        <f ca="1">AVERAGE(OFFSET($GD$3,0,0,'Données projet'!$E$17+1,1))-AVERAGE(OFFSET($H$3,0,0,'Données projet'!$E$17+1,1))</f>
        <v>323.56667371063662</v>
      </c>
      <c r="GF51" s="60">
        <f t="shared" si="50"/>
        <v>275.70373467723385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>
        <f>EXP(-LN(2)/35)*GL50+(1-EXP(-LN(2)/35))/(LN(2)/35)*GH51*GI51*VLOOKUP('Données projet'!$B$17,Paramètres!$A$1:$I$89,3,0)*0.475*44/12</f>
        <v>0</v>
      </c>
      <c r="GM51" s="23">
        <f>EXP(-LN(2)/25)*GM50+(1-EXP(-LN(2)/25))/(LN(2)/25)*Calculateur!GH51*Calculateur!GJ51*VLOOKUP('Données projet'!$B$17,Paramètres!$A$1:$I$89,3,0)*0.475*44/12</f>
        <v>0</v>
      </c>
      <c r="GN51" s="23">
        <f>EXP(-LN(2)/2)*GN50+(1-EXP(-LN(2)/2))/(LN(2)/2)*GH51*GK51*VLOOKUP('Données projet'!$B$17,Paramètres!$A$1:$I$89,3,0)*0.475*44/12</f>
        <v>0</v>
      </c>
      <c r="GO51" s="23">
        <f t="shared" si="27"/>
        <v>0</v>
      </c>
      <c r="GP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0" t="e">
        <f t="shared" si="29"/>
        <v>#N/A</v>
      </c>
      <c r="GZ51" s="60" t="e">
        <f ca="1">AVERAGE(OFFSET($GY$3,0,0,'Données projet'!$E$18+1,1))-AVERAGE(OFFSET($H$3,0,0,'Données projet'!$E$18+1,1))</f>
        <v>#N/A</v>
      </c>
      <c r="HA51" s="60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4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2">
        <f t="shared" si="32"/>
        <v>8.4099369579114391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14.64374999999999</v>
      </c>
      <c r="N52" s="14">
        <f>IF('Données projet'!$A$36&gt;35,N51+M52-V51,IF(A52&lt;'Données projet'!$A$36,$K$205^A52,IF(A52='Données projet'!$A$36,'Données projet'!$B$36,N51+M52-V51)))</f>
        <v>362.65874999999994</v>
      </c>
      <c r="O52" s="14">
        <f>N52*VLOOKUP('Données projet'!$B$9,Paramètres!$A$1:$I$89,3,0)*VLOOKUP('Données projet'!$B$9,Paramètres!$A$1:$I$89,5,0)</f>
        <v>216.86993249999998</v>
      </c>
      <c r="P52" s="14">
        <f t="shared" si="33"/>
        <v>53.434014686329654</v>
      </c>
      <c r="Q52" s="22">
        <f t="shared" si="53"/>
        <v>470.77937468285745</v>
      </c>
      <c r="R52" s="60">
        <f t="shared" si="0"/>
        <v>764.11270801619071</v>
      </c>
      <c r="S52" s="60">
        <f ca="1">AVERAGE(OFFSET($R$3,0,0,'Données projet'!$E$9+1,1))-AVERAGE(OFFSET($H$3,0,0,'Données projet'!$E$9+1,1))</f>
        <v>235.63766249714581</v>
      </c>
      <c r="T52" s="60">
        <f t="shared" si="34"/>
        <v>231.3297293785277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7.8756581127412977</v>
      </c>
      <c r="AA52" s="23">
        <f>EXP(-LN(2)/25)*AA51+(1-EXP(-LN(2)/25))/(LN(2)/25)*Calculateur!V52*Calculateur!X52*VLOOKUP('Données projet'!$B$9,Paramètres!$A$1:$I$89,3,0)*0.475*44/12</f>
        <v>10.209062919948826</v>
      </c>
      <c r="AB52" s="23">
        <f>EXP(-LN(2)/2)*AB51+(1-EXP(-LN(2)/2))/(LN(2)/2)*V52*Y52*VLOOKUP('Données projet'!$B$9,Paramètres!$A$1:$I$89,3,0)*0.475*44/12</f>
        <v>9.822751923497507E-3</v>
      </c>
      <c r="AC52" s="24">
        <f t="shared" si="3"/>
        <v>18.09454378461362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8.1999999999999993</v>
      </c>
      <c r="AI52" s="14">
        <f>IF('Données projet'!$A$62&gt;35,AI51+AH52-AQ51,IF(A52&lt;'Données projet'!$A$62,$AF$205^A52,IF(A52='Données projet'!$A$62,'Données projet'!$B$62,AI51+AH52-AQ51)))</f>
        <v>190.8</v>
      </c>
      <c r="AJ52" s="14">
        <f>AI52*VLOOKUP('Données projet'!$B$10,Paramètres!$A$1:$I$89,3,0)*VLOOKUP('Données projet'!$B$10,Paramètres!$A$1:$I$89,5,0)</f>
        <v>193.47120000000001</v>
      </c>
      <c r="AK52" s="14">
        <f t="shared" si="35"/>
        <v>48.306575382296536</v>
      </c>
      <c r="AL52" s="22">
        <f t="shared" si="4"/>
        <v>421.09629212416644</v>
      </c>
      <c r="AM52" s="60">
        <f t="shared" si="5"/>
        <v>714.4296254574997</v>
      </c>
      <c r="AN52" s="60">
        <f ca="1">AVERAGE(OFFSET($AM$3,0,0,'Données projet'!$E$10+1,1))-AVERAGE(OFFSET($H$3,0,0,'Données projet'!$E$10+1,1))</f>
        <v>350.3652766444938</v>
      </c>
      <c r="AO52" s="60">
        <f t="shared" si="36"/>
        <v>197.04549436738586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6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8.1999999999999993</v>
      </c>
      <c r="BD52" s="13">
        <f>IF('Données projet'!$A$88&gt;35,BD51+BC52-BL51,IF(A52&lt;'Données projet'!$A$88,$BA$205^A52,IF(A52='Données projet'!$A$88,'Données projet'!$B$88,BD51+BC52-BL51)))</f>
        <v>190.8</v>
      </c>
      <c r="BE52" s="14">
        <f>BD52*VLOOKUP('Données projet'!$B$11,Paramètres!$A$1:$I$89,3,0)*VLOOKUP('Données projet'!$B$11,Paramètres!$A$1:$I$89,5,0)</f>
        <v>184.54176000000001</v>
      </c>
      <c r="BF52" s="14">
        <f t="shared" si="37"/>
        <v>46.33117397953523</v>
      </c>
      <c r="BG52" s="22">
        <f t="shared" si="7"/>
        <v>402.10369334769052</v>
      </c>
      <c r="BH52" s="60">
        <f t="shared" si="8"/>
        <v>695.43702668102378</v>
      </c>
      <c r="BI52" s="60">
        <f ca="1">AVERAGE(OFFSET($BH$3,0,0,'Données projet'!$E$11+1,1))-AVERAGE(OFFSET($H$3,0,0,'Données projet'!$E$11+1,1))</f>
        <v>330.39429528665841</v>
      </c>
      <c r="BJ52" s="60">
        <f t="shared" si="38"/>
        <v>186.45728006007261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6.2820512820512819</v>
      </c>
      <c r="BY52" s="13">
        <f>IF('Données projet'!$A$114&gt;35,BY51+BX52-CG51,IF(A52&lt;'Données projet'!$A$114,$BV$205^A52,IF(A52='Données projet'!$A$114,'Données projet'!$B$114,BY51+BX52-CG51)))</f>
        <v>215.5128205128205</v>
      </c>
      <c r="BZ52" s="14">
        <f>BY52*VLOOKUP('Données projet'!$B$12,Paramètres!$A$1:$I$89,3,0)*VLOOKUP('Données projet'!$B$12,Paramètres!$A$1:$I$89,5,0)</f>
        <v>144.566</v>
      </c>
      <c r="CA52" s="14">
        <f t="shared" si="39"/>
        <v>37.341050188349875</v>
      </c>
      <c r="CB52" s="22">
        <f t="shared" si="10"/>
        <v>316.82144574470937</v>
      </c>
      <c r="CC52" s="60">
        <f t="shared" si="11"/>
        <v>610.15477907804268</v>
      </c>
      <c r="CD52" s="60">
        <f ca="1">AVERAGE(OFFSET($CC$3,0,0,'Données projet'!$E$12+1,1))-AVERAGE(OFFSET($H$3,0,0,'Données projet'!$E$12+1,1))</f>
        <v>212.33913923444732</v>
      </c>
      <c r="CE52" s="60">
        <f t="shared" si="40"/>
        <v>183.51194426094372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6.6</v>
      </c>
      <c r="CT52" s="13">
        <f>IF('Données projet'!$A$140&gt;35,CT51+CS52-DB51,IF(A52&lt;'Données projet'!$A$140,$CQ$205^A52,IF(A52='Données projet'!$A$140,'Données projet'!$B$140,CT51+CS52-DB51)))</f>
        <v>180.39999999999981</v>
      </c>
      <c r="CU52" s="18">
        <f>CT52*VLOOKUP('Données projet'!$B$13,Paramètres!$A$1:$I$89,3,0)*VLOOKUP('Données projet'!$B$13,Paramètres!$A$1:$I$89,5,0)</f>
        <v>157.59743999999986</v>
      </c>
      <c r="CV52" s="14">
        <f t="shared" si="41"/>
        <v>40.300135037830493</v>
      </c>
      <c r="CW52" s="22">
        <f t="shared" si="13"/>
        <v>344.67160985755453</v>
      </c>
      <c r="CX52" s="60">
        <f t="shared" si="14"/>
        <v>638.00494319088784</v>
      </c>
      <c r="CY52" s="60">
        <f ca="1">AVERAGE(OFFSET($CX$3,0,0,'Données projet'!$E$13+1,1))-AVERAGE(OFFSET($H$3,0,0,'Données projet'!$E$13+1,1))</f>
        <v>228.0393346366489</v>
      </c>
      <c r="CZ52" s="60">
        <f t="shared" si="42"/>
        <v>238.591781509447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8.1999999999999993</v>
      </c>
      <c r="DO52" s="13">
        <f>IF('Données projet'!$A$166&gt;35,DO51+DN52-DW51,IF(A52&lt;'Données projet'!$A$166,$DL$205^A52,IF(A52='Données projet'!$A$166,'Données projet'!$B$166,DO51+DN52-DW51)))</f>
        <v>190.8</v>
      </c>
      <c r="DP52" s="18">
        <f>DO52*VLOOKUP('Données projet'!$B$14,Paramètres!$A$1:$I$89,3,0)*VLOOKUP('Données projet'!$B$14,Paramètres!$A$1:$I$89,5,0)</f>
        <v>172.63584</v>
      </c>
      <c r="DQ52" s="14">
        <f t="shared" si="43"/>
        <v>43.679834395222109</v>
      </c>
      <c r="DR52" s="22">
        <f t="shared" si="16"/>
        <v>376.74979957167847</v>
      </c>
      <c r="DS52" s="60">
        <f t="shared" si="17"/>
        <v>670.08313290501178</v>
      </c>
      <c r="DT52" s="60">
        <f ca="1">AVERAGE(OFFSET($DS$3,0,0,'Données projet'!$E$14+1,1))-AVERAGE(OFFSET($H$3,0,0,'Données projet'!$E$14+1,1))</f>
        <v>303.73499739059076</v>
      </c>
      <c r="DU52" s="60">
        <f t="shared" si="44"/>
        <v>172.32171001882188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15.725555555555552</v>
      </c>
      <c r="EJ52" s="13">
        <f>IF('Données projet'!$A$192&gt;35,EJ51+EI52-ER51,IF(A52&lt;'Données projet'!$A$192,$EG$205^A52,IF(A52='Données projet'!$A$192,'Données projet'!$B$192,EJ51+EI52-ER51)))</f>
        <v>354.21444444444467</v>
      </c>
      <c r="EK52" s="18">
        <f>EJ52*VLOOKUP('Données projet'!$B$15,Paramètres!$A$1:$I$89,3,0)*VLOOKUP('Données projet'!$B$15,Paramètres!$A$1:$I$89,5,0)</f>
        <v>211.82023777777792</v>
      </c>
      <c r="EL52" s="14">
        <f t="shared" si="45"/>
        <v>52.333153433287507</v>
      </c>
      <c r="EM52" s="22">
        <f t="shared" si="19"/>
        <v>460.06715635927225</v>
      </c>
      <c r="EN52" s="60">
        <f t="shared" si="20"/>
        <v>753.40048969260556</v>
      </c>
      <c r="EO52" s="60">
        <f ca="1">AVERAGE(OFFSET($EN$3,0,0,'Données projet'!$E$15+1,1))-AVERAGE(OFFSET($H$3,0,0,'Données projet'!$E$15+1,1))</f>
        <v>269.94948820700841</v>
      </c>
      <c r="EP52" s="60">
        <f t="shared" si="46"/>
        <v>183.45158355135192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8.0630543991624535</v>
      </c>
      <c r="EX52" s="23">
        <f>EXP(-LN(2)/2)*EX51+(1-EXP(-LN(2)/2))/(LN(2)/2)*ER52*EU52*VLOOKUP('Données projet'!$B$15,Paramètres!$A$1:$I$89,3,0)*0.475*44/12</f>
        <v>7.7865047604451674E-3</v>
      </c>
      <c r="EY52" s="24">
        <f t="shared" si="21"/>
        <v>8.0708409039228979</v>
      </c>
      <c r="EZ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>
        <f>VLOOKUP(A52,'Données projet'!$A$217:$I$237,2,0)</f>
        <v>184</v>
      </c>
      <c r="FC52" s="13">
        <f>VLOOKUP(A52,'Données projet'!$A$217:$I$237,9,0)</f>
        <v>9.8888888888888893</v>
      </c>
      <c r="FD52" s="13">
        <f t="array" ref="FD52">INDEX(FC:FC,MIN(IF(ISNUMBER(FC52:FC248),ROW(FC52:FC248),"")))</f>
        <v>9.8888888888888893</v>
      </c>
      <c r="FE52" s="13">
        <f>IF('Données projet'!$A$218&gt;35,FE51+FD52-FM51,IF(A52&lt;'Données projet'!$A$218,$FB$205^A52,IF(A52='Données projet'!$A$218,'Données projet'!$B$218,FE51+FD52-FM51)))</f>
        <v>183.99999999999997</v>
      </c>
      <c r="FF52" s="18">
        <f>FE52*VLOOKUP('Données projet'!$B$16,Paramètres!$A$1:$I$89,3,0)*VLOOKUP('Données projet'!$B$16,Paramètres!$A$1:$I$89,5,0)</f>
        <v>110.03199999999998</v>
      </c>
      <c r="FG52" s="14">
        <f t="shared" si="47"/>
        <v>29.338523894513916</v>
      </c>
      <c r="FH52" s="22">
        <f t="shared" si="22"/>
        <v>242.736995782945</v>
      </c>
      <c r="FI52" s="60">
        <f t="shared" si="23"/>
        <v>536.07032911627834</v>
      </c>
      <c r="FJ52" s="60">
        <f ca="1">AVERAGE(OFFSET($FI$3,0,0,'Données projet'!$E$16+1,1))-AVERAGE(OFFSET($H$3,0,0,'Données projet'!$E$16+1,1))</f>
        <v>111.24788725253484</v>
      </c>
      <c r="FK52" s="60">
        <f t="shared" si="48"/>
        <v>82.434879813357327</v>
      </c>
      <c r="FL52" s="16">
        <f>IF(ISNA(VLOOKUP(A52,'Données projet'!$A$217:$I$237,3,0)),0,VLOOKUP(A52,'Données projet'!$A$217:$I$237,3,0))</f>
        <v>3</v>
      </c>
      <c r="FM52" s="16">
        <f>IF(ISNA(VLOOKUP(A52,'Données projet'!$A$217:$I$237,4,0)),0,VLOOKUP(A52,'Données projet'!$A$217:$I$237,4,0))</f>
        <v>64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projet'!$B$16,Paramètres!$A$1:$I$89,3,0)*0.475*44/12</f>
        <v>0</v>
      </c>
      <c r="FR52" s="23">
        <f>EXP(-LN(2)/25)*FR51+(1-EXP(-LN(2)/25))/(LN(2)/25)*Calculateur!FM52*Calculateur!FO52*VLOOKUP('Données projet'!$B$16,Paramètres!$A$1:$I$89,3,0)*0.475*44/12</f>
        <v>0</v>
      </c>
      <c r="FS52" s="23">
        <f>EXP(-LN(2)/2)*FS51+(1-EXP(-LN(2)/2))/(LN(2)/2)*FM52*FP52*VLOOKUP('Données projet'!$B$16,Paramètres!$A$1:$I$89,3,0)*0.475*44/12</f>
        <v>0</v>
      </c>
      <c r="FT52" s="24">
        <f t="shared" si="24"/>
        <v>0</v>
      </c>
      <c r="FU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20.2</v>
      </c>
      <c r="FZ52" s="13">
        <f>IF('Données projet'!$A$244&gt;35,FZ51+FY52-GH51,IF(A52&lt;'Données projet'!$A$244,$FW$205^A52,IF(A52='Données projet'!$A$244,'Données projet'!$B$244,FZ51+FY52-GH51)))</f>
        <v>557.19999999999993</v>
      </c>
      <c r="GA52" s="18">
        <f>FZ52*VLOOKUP('Données projet'!$B$17,Paramètres!$A$1:$I$89,3,0)*VLOOKUP('Données projet'!$B$17,Paramètres!$A$1:$I$89,5,0)</f>
        <v>246.28239999999997</v>
      </c>
      <c r="GB52" s="14">
        <f t="shared" si="49"/>
        <v>59.789179958883544</v>
      </c>
      <c r="GC52" s="22">
        <f t="shared" si="25"/>
        <v>533.07466842838869</v>
      </c>
      <c r="GD52" s="60">
        <f t="shared" si="26"/>
        <v>826.40800176172206</v>
      </c>
      <c r="GE52" s="60">
        <f ca="1">AVERAGE(OFFSET($GD$3,0,0,'Données projet'!$E$17+1,1))-AVERAGE(OFFSET($H$3,0,0,'Données projet'!$E$17+1,1))</f>
        <v>323.56667371063662</v>
      </c>
      <c r="GF52" s="60">
        <f t="shared" si="50"/>
        <v>275.70373467723385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>
        <f>EXP(-LN(2)/35)*GL51+(1-EXP(-LN(2)/35))/(LN(2)/35)*GH52*GI52*VLOOKUP('Données projet'!$B$17,Paramètres!$A$1:$I$89,3,0)*0.475*44/12</f>
        <v>0</v>
      </c>
      <c r="GM52" s="23">
        <f>EXP(-LN(2)/25)*GM51+(1-EXP(-LN(2)/25))/(LN(2)/25)*Calculateur!GH52*Calculateur!GJ52*VLOOKUP('Données projet'!$B$17,Paramètres!$A$1:$I$89,3,0)*0.475*44/12</f>
        <v>0</v>
      </c>
      <c r="GN52" s="23">
        <f>EXP(-LN(2)/2)*GN51+(1-EXP(-LN(2)/2))/(LN(2)/2)*GH52*GK52*VLOOKUP('Données projet'!$B$17,Paramètres!$A$1:$I$89,3,0)*0.475*44/12</f>
        <v>0</v>
      </c>
      <c r="GO52" s="23">
        <f t="shared" si="27"/>
        <v>0</v>
      </c>
      <c r="GP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0" t="e">
        <f t="shared" si="29"/>
        <v>#N/A</v>
      </c>
      <c r="GZ52" s="60" t="e">
        <f ca="1">AVERAGE(OFFSET($GY$3,0,0,'Données projet'!$E$18+1,1))-AVERAGE(OFFSET($H$3,0,0,'Données projet'!$E$18+1,1))</f>
        <v>#N/A</v>
      </c>
      <c r="HA52" s="60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4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2">
        <f t="shared" si="32"/>
        <v>8.5614116595512399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14.64374999999999</v>
      </c>
      <c r="N53" s="14">
        <f>IF('Données projet'!$A$36&gt;35,N52+M53-V52,IF(A53&lt;'Données projet'!$A$36,$K$205^A53,IF(A53='Données projet'!$A$36,'Données projet'!$B$36,N52+M53-V52)))</f>
        <v>377.30249999999995</v>
      </c>
      <c r="O53" s="14">
        <f>N53*VLOOKUP('Données projet'!$B$9,Paramètres!$A$1:$I$89,3,0)*VLOOKUP('Données projet'!$B$9,Paramètres!$A$1:$I$89,5,0)</f>
        <v>225.62689499999999</v>
      </c>
      <c r="P53" s="14">
        <f t="shared" si="33"/>
        <v>55.336060156511813</v>
      </c>
      <c r="Q53" s="22">
        <f t="shared" si="53"/>
        <v>489.34381356425803</v>
      </c>
      <c r="R53" s="60">
        <f t="shared" si="0"/>
        <v>782.67714689759134</v>
      </c>
      <c r="S53" s="60">
        <f ca="1">AVERAGE(OFFSET($R$3,0,0,'Données projet'!$E$9+1,1))-AVERAGE(OFFSET($H$3,0,0,'Données projet'!$E$9+1,1))</f>
        <v>235.63766249714581</v>
      </c>
      <c r="T53" s="60">
        <f t="shared" si="34"/>
        <v>231.3297293785277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7.7212212608275657</v>
      </c>
      <c r="AA53" s="23">
        <f>EXP(-LN(2)/25)*AA52+(1-EXP(-LN(2)/25))/(LN(2)/25)*Calculateur!V53*Calculateur!X53*VLOOKUP('Données projet'!$B$9,Paramètres!$A$1:$I$89,3,0)*0.475*44/12</f>
        <v>9.9298955575315393</v>
      </c>
      <c r="AB53" s="23">
        <f>EXP(-LN(2)/2)*AB52+(1-EXP(-LN(2)/2))/(LN(2)/2)*V53*Y53*VLOOKUP('Données projet'!$B$9,Paramètres!$A$1:$I$89,3,0)*0.475*44/12</f>
        <v>6.9457344950182905E-3</v>
      </c>
      <c r="AC53" s="24">
        <f t="shared" si="3"/>
        <v>17.658062552854126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199</v>
      </c>
      <c r="AG53" s="13">
        <f>VLOOKUP(A53,'Données projet'!$A$61:$I$81,9,0)</f>
        <v>8.1999999999999993</v>
      </c>
      <c r="AH53" s="13">
        <f t="array" ref="AH53">INDEX(AG:AG,MIN(IF(ISNUMBER(AG53:AG249),ROW(AG53:AG249),"")))</f>
        <v>8.1999999999999993</v>
      </c>
      <c r="AI53" s="14">
        <f>IF('Données projet'!$A$62&gt;35,AI52+AH53-AQ52,IF(A53&lt;'Données projet'!$A$62,$AF$205^A53,IF(A53='Données projet'!$A$62,'Données projet'!$B$62,AI52+AH53-AQ52)))</f>
        <v>199</v>
      </c>
      <c r="AJ53" s="14">
        <f>AI53*VLOOKUP('Données projet'!$B$10,Paramètres!$A$1:$I$89,3,0)*VLOOKUP('Données projet'!$B$10,Paramètres!$A$1:$I$89,5,0)</f>
        <v>201.786</v>
      </c>
      <c r="AK53" s="14">
        <f t="shared" si="35"/>
        <v>50.136473146268756</v>
      </c>
      <c r="AL53" s="22">
        <f t="shared" si="4"/>
        <v>438.76497406308476</v>
      </c>
      <c r="AM53" s="60">
        <f t="shared" si="5"/>
        <v>732.09830739641802</v>
      </c>
      <c r="AN53" s="60">
        <f ca="1">AVERAGE(OFFSET($AM$3,0,0,'Données projet'!$E$10+1,1))-AVERAGE(OFFSET($H$3,0,0,'Données projet'!$E$10+1,1))</f>
        <v>350.3652766444938</v>
      </c>
      <c r="AO53" s="60">
        <f t="shared" si="36"/>
        <v>197.04549436738586</v>
      </c>
      <c r="AP53" s="16">
        <f>IF(ISNA(VLOOKUP(A53,'Données projet'!$A$61:$I$81,3,0)),0,VLOOKUP(A53,'Données projet'!$A$61:$I$81,3,0))</f>
        <v>3</v>
      </c>
      <c r="AQ53" s="16">
        <f>IF(ISNA(VLOOKUP(A53,'Données projet'!$A$61:$I$81,4,0)),0,VLOOKUP(A53,'Données projet'!$A$61:$I$81,4,0))</f>
        <v>42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6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199</v>
      </c>
      <c r="BB53" s="13">
        <f>VLOOKUP(A53,'Données projet'!$A$87:$I$107,9,0)</f>
        <v>8.1999999999999993</v>
      </c>
      <c r="BC53" s="13">
        <f t="array" ref="BC53">INDEX(BB:BB,MIN(IF(ISNUMBER(BB53:BB249),ROW(BB53:BB249),"")))</f>
        <v>8.1999999999999993</v>
      </c>
      <c r="BD53" s="13">
        <f>IF('Données projet'!$A$88&gt;35,BD52+BC53-BL52,IF(A53&lt;'Données projet'!$A$88,$BA$205^A53,IF(A53='Données projet'!$A$88,'Données projet'!$B$88,BD52+BC53-BL52)))</f>
        <v>199</v>
      </c>
      <c r="BE53" s="14">
        <f>BD53*VLOOKUP('Données projet'!$B$11,Paramètres!$A$1:$I$89,3,0)*VLOOKUP('Données projet'!$B$11,Paramètres!$A$1:$I$89,5,0)</f>
        <v>192.47280000000001</v>
      </c>
      <c r="BF53" s="14">
        <f t="shared" si="37"/>
        <v>48.086241710923829</v>
      </c>
      <c r="BG53" s="22">
        <f t="shared" si="7"/>
        <v>418.97366431319239</v>
      </c>
      <c r="BH53" s="60">
        <f t="shared" si="8"/>
        <v>712.3069976465257</v>
      </c>
      <c r="BI53" s="60">
        <f ca="1">AVERAGE(OFFSET($BH$3,0,0,'Données projet'!$E$11+1,1))-AVERAGE(OFFSET($H$3,0,0,'Données projet'!$E$11+1,1))</f>
        <v>330.39429528665841</v>
      </c>
      <c r="BJ53" s="60">
        <f t="shared" si="38"/>
        <v>186.45728006007261</v>
      </c>
      <c r="BK53" s="16">
        <f>IF(ISNA(VLOOKUP(A53,'Données projet'!$A$87:$I$107,3,0)),0,VLOOKUP(A53,'Données projet'!$A$87:$I$107,3,0))</f>
        <v>3</v>
      </c>
      <c r="BL53" s="16">
        <f>IF(ISNA(VLOOKUP(A53,'Données projet'!$A$87:$I$107,4,0)),0,VLOOKUP(A53,'Données projet'!$A$87:$I$107,4,0))</f>
        <v>42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221.7948717948718</v>
      </c>
      <c r="BW53" s="13">
        <f>VLOOKUP(A53,'Données projet'!$A$113:$I$133,9,0)</f>
        <v>6.2820512820512819</v>
      </c>
      <c r="BX53" s="13">
        <f t="array" ref="BX53">INDEX(BW:BW,MIN(IF(ISNUMBER(BW53:BW249),ROW(BW53:BW249),"")))</f>
        <v>6.2820512820512819</v>
      </c>
      <c r="BY53" s="13">
        <f>IF('Données projet'!$A$114&gt;35,BY52+BX53-CG52,IF(A53&lt;'Données projet'!$A$114,$BV$205^A53,IF(A53='Données projet'!$A$114,'Données projet'!$B$114,BY52+BX53-CG52)))</f>
        <v>221.79487179487177</v>
      </c>
      <c r="BZ53" s="14">
        <f>BY53*VLOOKUP('Données projet'!$B$12,Paramètres!$A$1:$I$89,3,0)*VLOOKUP('Données projet'!$B$12,Paramètres!$A$1:$I$89,5,0)</f>
        <v>148.78</v>
      </c>
      <c r="CA53" s="14">
        <f t="shared" si="39"/>
        <v>38.301204605347834</v>
      </c>
      <c r="CB53" s="22">
        <f t="shared" si="10"/>
        <v>325.8330980209808</v>
      </c>
      <c r="CC53" s="60">
        <f t="shared" si="11"/>
        <v>619.16643135431411</v>
      </c>
      <c r="CD53" s="60">
        <f ca="1">AVERAGE(OFFSET($CC$3,0,0,'Données projet'!$E$12+1,1))-AVERAGE(OFFSET($H$3,0,0,'Données projet'!$E$12+1,1))</f>
        <v>212.33913923444732</v>
      </c>
      <c r="CE53" s="60">
        <f t="shared" si="40"/>
        <v>183.51194426094372</v>
      </c>
      <c r="CF53" s="16">
        <f>IF(ISNA(VLOOKUP(A53,'Données projet'!$A$113:$I$133,3,0)),0,VLOOKUP(A53,'Données projet'!$A$113:$I$133,3,0))</f>
        <v>4</v>
      </c>
      <c r="CG53" s="16">
        <f>IF(ISNA(VLOOKUP(A53,'Données projet'!$A$113:$I$133,4,0)),0,VLOOKUP(A53,'Données projet'!$A$113:$I$133,4,0))</f>
        <v>32.692307692307693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187</v>
      </c>
      <c r="CR53" s="13">
        <f>VLOOKUP(A53,'Données projet'!$A$139:$I$159,9,0)</f>
        <v>6.6</v>
      </c>
      <c r="CS53" s="13">
        <f t="array" ref="CS53">INDEX(CR:CR,MIN(IF(ISNUMBER(CR53:CR249),ROW(CR53:CR249),"")))</f>
        <v>6.6</v>
      </c>
      <c r="CT53" s="13">
        <f>IF('Données projet'!$A$140&gt;35,CT52+CS53-DB52,IF(A53&lt;'Données projet'!$A$140,$CQ$205^A53,IF(A53='Données projet'!$A$140,'Données projet'!$B$140,CT52+CS53-DB52)))</f>
        <v>186.9999999999998</v>
      </c>
      <c r="CU53" s="18">
        <f>CT53*VLOOKUP('Données projet'!$B$13,Paramètres!$A$1:$I$89,3,0)*VLOOKUP('Données projet'!$B$13,Paramètres!$A$1:$I$89,5,0)</f>
        <v>163.36319999999984</v>
      </c>
      <c r="CV53" s="14">
        <f t="shared" si="41"/>
        <v>41.60017371558159</v>
      </c>
      <c r="CW53" s="22">
        <f t="shared" si="13"/>
        <v>356.97787588797092</v>
      </c>
      <c r="CX53" s="60">
        <f t="shared" si="14"/>
        <v>650.31120922130424</v>
      </c>
      <c r="CY53" s="60">
        <f ca="1">AVERAGE(OFFSET($CX$3,0,0,'Données projet'!$E$13+1,1))-AVERAGE(OFFSET($H$3,0,0,'Données projet'!$E$13+1,1))</f>
        <v>228.0393346366489</v>
      </c>
      <c r="CZ53" s="60">
        <f t="shared" si="42"/>
        <v>238.591781509447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199</v>
      </c>
      <c r="DM53" s="13">
        <f>VLOOKUP(A53,'Données projet'!$A$165:$I$185,9,0)</f>
        <v>8.1999999999999993</v>
      </c>
      <c r="DN53" s="13">
        <f t="array" ref="DN53">INDEX(DM:DM,MIN(IF(ISNUMBER(DM53:DM249),ROW(DM53:DM249),"")))</f>
        <v>8.1999999999999993</v>
      </c>
      <c r="DO53" s="13">
        <f>IF('Données projet'!$A$166&gt;35,DO52+DN53-DW52,IF(A53&lt;'Données projet'!$A$166,$DL$205^A53,IF(A53='Données projet'!$A$166,'Données projet'!$B$166,DO52+DN53-DW52)))</f>
        <v>199</v>
      </c>
      <c r="DP53" s="18">
        <f>DO53*VLOOKUP('Données projet'!$B$14,Paramètres!$A$1:$I$89,3,0)*VLOOKUP('Données projet'!$B$14,Paramètres!$A$1:$I$89,5,0)</f>
        <v>180.05519999999999</v>
      </c>
      <c r="DQ53" s="14">
        <f t="shared" si="43"/>
        <v>45.334466930398364</v>
      </c>
      <c r="DR53" s="22">
        <f t="shared" si="16"/>
        <v>392.55366990377706</v>
      </c>
      <c r="DS53" s="60">
        <f t="shared" si="17"/>
        <v>685.88700323711032</v>
      </c>
      <c r="DT53" s="60">
        <f ca="1">AVERAGE(OFFSET($DS$3,0,0,'Données projet'!$E$14+1,1))-AVERAGE(OFFSET($H$3,0,0,'Données projet'!$E$14+1,1))</f>
        <v>303.73499739059076</v>
      </c>
      <c r="DU53" s="60">
        <f t="shared" si="44"/>
        <v>172.32171001882188</v>
      </c>
      <c r="DV53" s="16">
        <f>IF(ISNA(VLOOKUP(A53,'Données projet'!$A$165:$I$185,3,0)),0,VLOOKUP(A53,'Données projet'!$A$165:$I$185,3,0))</f>
        <v>3</v>
      </c>
      <c r="DW53" s="16">
        <f>IF(ISNA(VLOOKUP(A53,'Données projet'!$A$165:$I$185,4,0)),0,VLOOKUP(A53,'Données projet'!$A$165:$I$185,4,0))</f>
        <v>42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369.94</v>
      </c>
      <c r="EH53" s="13">
        <f>VLOOKUP(A53,'Données projet'!$A$191:$I$211,9,0)</f>
        <v>15.725555555555552</v>
      </c>
      <c r="EI53" s="13">
        <f t="array" ref="EI53">INDEX(EH:EH,MIN(IF(ISNUMBER(EH53:EH249),ROW(EH53:EH249),"")))</f>
        <v>15.725555555555552</v>
      </c>
      <c r="EJ53" s="13">
        <f>IF('Données projet'!$A$192&gt;35,EJ52+EI53-ER52,IF(A53&lt;'Données projet'!$A$192,$EG$205^A53,IF(A53='Données projet'!$A$192,'Données projet'!$B$192,EJ52+EI53-ER52)))</f>
        <v>369.94000000000023</v>
      </c>
      <c r="EK53" s="18">
        <f>EJ53*VLOOKUP('Données projet'!$B$15,Paramètres!$A$1:$I$89,3,0)*VLOOKUP('Données projet'!$B$15,Paramètres!$A$1:$I$89,5,0)</f>
        <v>221.22412000000017</v>
      </c>
      <c r="EL53" s="14">
        <f t="shared" si="45"/>
        <v>54.380856173847832</v>
      </c>
      <c r="EM53" s="22">
        <f t="shared" si="19"/>
        <v>480.01200016945194</v>
      </c>
      <c r="EN53" s="60">
        <f t="shared" si="20"/>
        <v>773.34533350278525</v>
      </c>
      <c r="EO53" s="60">
        <f ca="1">AVERAGE(OFFSET($EN$3,0,0,'Données projet'!$E$15+1,1))-AVERAGE(OFFSET($H$3,0,0,'Données projet'!$E$15+1,1))</f>
        <v>269.94948820700841</v>
      </c>
      <c r="EP53" s="60">
        <f t="shared" si="46"/>
        <v>183.45158355135192</v>
      </c>
      <c r="EQ53" s="16">
        <f>IF(ISNA(VLOOKUP(A53,'Données projet'!$A$191:$I$211,3,0)),0,VLOOKUP(A53,'Données projet'!$A$191:$I$211,3,0))</f>
        <v>5</v>
      </c>
      <c r="ER53" s="16">
        <f>IF(ISNA(VLOOKUP(A53,'Données projet'!$A$191:$I$211,4,0)),0,VLOOKUP(A53,'Données projet'!$A$191:$I$211,4,0))</f>
        <v>70.2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7.8425697525997533</v>
      </c>
      <c r="EX53" s="23">
        <f>EXP(-LN(2)/2)*EX52+(1-EXP(-LN(2)/2))/(LN(2)/2)*ER53*EU53*VLOOKUP('Données projet'!$B$15,Paramètres!$A$1:$I$89,3,0)*0.475*44/12</f>
        <v>5.5058903178521121E-3</v>
      </c>
      <c r="EY53" s="24">
        <f t="shared" si="21"/>
        <v>7.8480756429176051</v>
      </c>
      <c r="EZ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8.7272727272727266</v>
      </c>
      <c r="FE53" s="13">
        <f>IF('Données projet'!$A$218&gt;35,FE52+FD53-FM52,IF(A53&lt;'Données projet'!$A$218,$FB$205^A53,IF(A53='Données projet'!$A$218,'Données projet'!$B$218,FE52+FD53-FM52)))</f>
        <v>128.72727272727269</v>
      </c>
      <c r="FF53" s="18">
        <f>FE53*VLOOKUP('Données projet'!$B$16,Paramètres!$A$1:$I$89,3,0)*VLOOKUP('Données projet'!$B$16,Paramètres!$A$1:$I$89,5,0)</f>
        <v>76.97890909090907</v>
      </c>
      <c r="FG53" s="14">
        <f t="shared" si="47"/>
        <v>21.396864927225952</v>
      </c>
      <c r="FH53" s="22">
        <f t="shared" si="22"/>
        <v>171.33780641491845</v>
      </c>
      <c r="FI53" s="60">
        <f t="shared" si="23"/>
        <v>464.67113974825179</v>
      </c>
      <c r="FJ53" s="60">
        <f ca="1">AVERAGE(OFFSET($FI$3,0,0,'Données projet'!$E$16+1,1))-AVERAGE(OFFSET($H$3,0,0,'Données projet'!$E$16+1,1))</f>
        <v>111.24788725253484</v>
      </c>
      <c r="FK53" s="60">
        <f t="shared" si="48"/>
        <v>82.434879813357327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projet'!$B$16,Paramètres!$A$1:$I$89,3,0)*0.475*44/12</f>
        <v>0</v>
      </c>
      <c r="FR53" s="23">
        <f>EXP(-LN(2)/25)*FR52+(1-EXP(-LN(2)/25))/(LN(2)/25)*Calculateur!FM53*Calculateur!FO53*VLOOKUP('Données projet'!$B$16,Paramètres!$A$1:$I$89,3,0)*0.475*44/12</f>
        <v>0</v>
      </c>
      <c r="FS53" s="23">
        <f>EXP(-LN(2)/2)*FS52+(1-EXP(-LN(2)/2))/(LN(2)/2)*FM53*FP53*VLOOKUP('Données projet'!$B$16,Paramètres!$A$1:$I$89,3,0)*0.475*44/12</f>
        <v>0</v>
      </c>
      <c r="FT53" s="24">
        <f t="shared" si="24"/>
        <v>0</v>
      </c>
      <c r="FU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20.2</v>
      </c>
      <c r="FZ53" s="13">
        <f>IF('Données projet'!$A$244&gt;35,FZ52+FY53-GH52,IF(A53&lt;'Données projet'!$A$244,$FW$205^A53,IF(A53='Données projet'!$A$244,'Données projet'!$B$244,FZ52+FY53-GH52)))</f>
        <v>577.4</v>
      </c>
      <c r="GA53" s="18">
        <f>FZ53*VLOOKUP('Données projet'!$B$17,Paramètres!$A$1:$I$89,3,0)*VLOOKUP('Données projet'!$B$17,Paramètres!$A$1:$I$89,5,0)</f>
        <v>255.21080000000001</v>
      </c>
      <c r="GB53" s="14">
        <f t="shared" si="49"/>
        <v>61.700412065276019</v>
      </c>
      <c r="GC53" s="22">
        <f t="shared" si="25"/>
        <v>551.95369434702229</v>
      </c>
      <c r="GD53" s="60">
        <f t="shared" si="26"/>
        <v>845.28702768035555</v>
      </c>
      <c r="GE53" s="60">
        <f ca="1">AVERAGE(OFFSET($GD$3,0,0,'Données projet'!$E$17+1,1))-AVERAGE(OFFSET($H$3,0,0,'Données projet'!$E$17+1,1))</f>
        <v>323.56667371063662</v>
      </c>
      <c r="GF53" s="60">
        <f t="shared" si="50"/>
        <v>275.70373467723385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>
        <f>EXP(-LN(2)/35)*GL52+(1-EXP(-LN(2)/35))/(LN(2)/35)*GH53*GI53*VLOOKUP('Données projet'!$B$17,Paramètres!$A$1:$I$89,3,0)*0.475*44/12</f>
        <v>0</v>
      </c>
      <c r="GM53" s="23">
        <f>EXP(-LN(2)/25)*GM52+(1-EXP(-LN(2)/25))/(LN(2)/25)*Calculateur!GH53*Calculateur!GJ53*VLOOKUP('Données projet'!$B$17,Paramètres!$A$1:$I$89,3,0)*0.475*44/12</f>
        <v>0</v>
      </c>
      <c r="GN53" s="23">
        <f>EXP(-LN(2)/2)*GN52+(1-EXP(-LN(2)/2))/(LN(2)/2)*GH53*GK53*VLOOKUP('Données projet'!$B$17,Paramètres!$A$1:$I$89,3,0)*0.475*44/12</f>
        <v>0</v>
      </c>
      <c r="GO53" s="23">
        <f t="shared" si="27"/>
        <v>0</v>
      </c>
      <c r="GP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0" t="e">
        <f t="shared" si="29"/>
        <v>#N/A</v>
      </c>
      <c r="GZ53" s="60" t="e">
        <f ca="1">AVERAGE(OFFSET($GY$3,0,0,'Données projet'!$E$18+1,1))-AVERAGE(OFFSET($H$3,0,0,'Données projet'!$E$18+1,1))</f>
        <v>#N/A</v>
      </c>
      <c r="HA53" s="60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4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2">
        <f t="shared" si="32"/>
        <v>8.7125341134088217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14.64374999999999</v>
      </c>
      <c r="N54" s="14">
        <f>IF('Données projet'!$A$36&gt;35,N53+M54-V53,IF(A54&lt;'Données projet'!$A$36,$K$205^A54,IF(A54='Données projet'!$A$36,'Données projet'!$B$36,N53+M54-V53)))</f>
        <v>391.94624999999996</v>
      </c>
      <c r="O54" s="14">
        <f>N54*VLOOKUP('Données projet'!$B$9,Paramètres!$A$1:$I$89,3,0)*VLOOKUP('Données projet'!$B$9,Paramètres!$A$1:$I$89,5,0)</f>
        <v>234.3838575</v>
      </c>
      <c r="P54" s="14">
        <f t="shared" si="33"/>
        <v>57.229529897835612</v>
      </c>
      <c r="Q54" s="22">
        <f t="shared" si="53"/>
        <v>507.89331638456366</v>
      </c>
      <c r="R54" s="60">
        <f t="shared" si="0"/>
        <v>801.22664971789698</v>
      </c>
      <c r="S54" s="60">
        <f ca="1">AVERAGE(OFFSET($R$3,0,0,'Données projet'!$E$9+1,1))-AVERAGE(OFFSET($H$3,0,0,'Données projet'!$E$9+1,1))</f>
        <v>235.63766249714581</v>
      </c>
      <c r="T54" s="60">
        <f t="shared" si="34"/>
        <v>231.3297293785277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7.5698128213826834</v>
      </c>
      <c r="AA54" s="23">
        <f>EXP(-LN(2)/25)*AA53+(1-EXP(-LN(2)/25))/(LN(2)/25)*Calculateur!V54*Calculateur!X54*VLOOKUP('Données projet'!$B$9,Paramètres!$A$1:$I$89,3,0)*0.475*44/12</f>
        <v>9.6583620413203271</v>
      </c>
      <c r="AB54" s="23">
        <f>EXP(-LN(2)/2)*AB53+(1-EXP(-LN(2)/2))/(LN(2)/2)*V54*Y54*VLOOKUP('Données projet'!$B$9,Paramètres!$A$1:$I$89,3,0)*0.475*44/12</f>
        <v>4.9113759617487535E-3</v>
      </c>
      <c r="AC54" s="24">
        <f t="shared" si="3"/>
        <v>17.233086238664761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165</v>
      </c>
      <c r="AJ54" s="14">
        <f>AI54*VLOOKUP('Données projet'!$B$10,Paramètres!$A$1:$I$89,3,0)*VLOOKUP('Données projet'!$B$10,Paramètres!$A$1:$I$89,5,0)</f>
        <v>167.31</v>
      </c>
      <c r="AK54" s="14">
        <f t="shared" si="35"/>
        <v>42.486994942347515</v>
      </c>
      <c r="AL54" s="22">
        <f t="shared" si="4"/>
        <v>365.39643285792187</v>
      </c>
      <c r="AM54" s="60">
        <f t="shared" si="5"/>
        <v>658.72976619125518</v>
      </c>
      <c r="AN54" s="60">
        <f ca="1">AVERAGE(OFFSET($AM$3,0,0,'Données projet'!$E$10+1,1))-AVERAGE(OFFSET($H$3,0,0,'Données projet'!$E$10+1,1))</f>
        <v>350.3652766444938</v>
      </c>
      <c r="AO54" s="60">
        <f t="shared" si="36"/>
        <v>197.04549436738586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6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8</v>
      </c>
      <c r="BD54" s="13">
        <f>IF('Données projet'!$A$88&gt;35,BD53+BC54-BL53,IF(A54&lt;'Données projet'!$A$88,$BA$205^A54,IF(A54='Données projet'!$A$88,'Données projet'!$B$88,BD53+BC54-BL53)))</f>
        <v>165</v>
      </c>
      <c r="BE54" s="14">
        <f>BD54*VLOOKUP('Données projet'!$B$11,Paramètres!$A$1:$I$89,3,0)*VLOOKUP('Données projet'!$B$11,Paramètres!$A$1:$I$89,5,0)</f>
        <v>159.58799999999999</v>
      </c>
      <c r="BF54" s="14">
        <f t="shared" si="37"/>
        <v>40.74957371668588</v>
      </c>
      <c r="BG54" s="22">
        <f t="shared" si="7"/>
        <v>348.92127422322784</v>
      </c>
      <c r="BH54" s="60">
        <f t="shared" si="8"/>
        <v>642.25460755656115</v>
      </c>
      <c r="BI54" s="60">
        <f ca="1">AVERAGE(OFFSET($BH$3,0,0,'Données projet'!$E$11+1,1))-AVERAGE(OFFSET($H$3,0,0,'Données projet'!$E$11+1,1))</f>
        <v>330.39429528665841</v>
      </c>
      <c r="BJ54" s="60">
        <f t="shared" si="38"/>
        <v>186.45728006007261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5.7692307692307683</v>
      </c>
      <c r="BY54" s="13">
        <f>IF('Données projet'!$A$114&gt;35,BY53+BX54-CG53,IF(A54&lt;'Données projet'!$A$114,$BV$205^A54,IF(A54='Données projet'!$A$114,'Données projet'!$B$114,BY53+BX54-CG53)))</f>
        <v>194.87179487179486</v>
      </c>
      <c r="BZ54" s="14">
        <f>BY54*VLOOKUP('Données projet'!$B$12,Paramètres!$A$1:$I$89,3,0)*VLOOKUP('Données projet'!$B$12,Paramètres!$A$1:$I$89,5,0)</f>
        <v>130.72</v>
      </c>
      <c r="CA54" s="14">
        <f t="shared" si="39"/>
        <v>34.162676675108806</v>
      </c>
      <c r="CB54" s="22">
        <f t="shared" si="10"/>
        <v>287.17066187581446</v>
      </c>
      <c r="CC54" s="60">
        <f t="shared" si="11"/>
        <v>580.50399520914777</v>
      </c>
      <c r="CD54" s="60">
        <f ca="1">AVERAGE(OFFSET($CC$3,0,0,'Données projet'!$E$12+1,1))-AVERAGE(OFFSET($H$3,0,0,'Données projet'!$E$12+1,1))</f>
        <v>212.33913923444732</v>
      </c>
      <c r="CE54" s="60">
        <f t="shared" si="40"/>
        <v>183.51194426094372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6.2</v>
      </c>
      <c r="CT54" s="13">
        <f>IF('Données projet'!$A$140&gt;35,CT53+CS54-DB53,IF(A54&lt;'Données projet'!$A$140,$CQ$205^A54,IF(A54='Données projet'!$A$140,'Données projet'!$B$140,CT53+CS54-DB53)))</f>
        <v>193.19999999999979</v>
      </c>
      <c r="CU54" s="18">
        <f>CT54*VLOOKUP('Données projet'!$B$13,Paramètres!$A$1:$I$89,3,0)*VLOOKUP('Données projet'!$B$13,Paramètres!$A$1:$I$89,5,0)</f>
        <v>168.77951999999985</v>
      </c>
      <c r="CV54" s="14">
        <f t="shared" si="41"/>
        <v>42.816562145176988</v>
      </c>
      <c r="CW54" s="22">
        <f t="shared" si="13"/>
        <v>368.52984306951635</v>
      </c>
      <c r="CX54" s="60">
        <f t="shared" si="14"/>
        <v>661.8631764028496</v>
      </c>
      <c r="CY54" s="60">
        <f ca="1">AVERAGE(OFFSET($CX$3,0,0,'Données projet'!$E$13+1,1))-AVERAGE(OFFSET($H$3,0,0,'Données projet'!$E$13+1,1))</f>
        <v>228.0393346366489</v>
      </c>
      <c r="CZ54" s="60">
        <f t="shared" si="42"/>
        <v>238.591781509447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8</v>
      </c>
      <c r="DO54" s="13">
        <f>IF('Données projet'!$A$166&gt;35,DO53+DN54-DW53,IF(A54&lt;'Données projet'!$A$166,$DL$205^A54,IF(A54='Données projet'!$A$166,'Données projet'!$B$166,DO53+DN54-DW53)))</f>
        <v>165</v>
      </c>
      <c r="DP54" s="18">
        <f>DO54*VLOOKUP('Données projet'!$B$14,Paramètres!$A$1:$I$89,3,0)*VLOOKUP('Données projet'!$B$14,Paramètres!$A$1:$I$89,5,0)</f>
        <v>149.29199999999997</v>
      </c>
      <c r="DQ54" s="14">
        <f t="shared" si="43"/>
        <v>38.417645803815411</v>
      </c>
      <c r="DR54" s="22">
        <f t="shared" si="16"/>
        <v>326.9276331083118</v>
      </c>
      <c r="DS54" s="60">
        <f t="shared" si="17"/>
        <v>620.26096644164511</v>
      </c>
      <c r="DT54" s="60">
        <f ca="1">AVERAGE(OFFSET($DS$3,0,0,'Données projet'!$E$14+1,1))-AVERAGE(OFFSET($H$3,0,0,'Données projet'!$E$14+1,1))</f>
        <v>303.73499739059076</v>
      </c>
      <c r="DU54" s="60">
        <f t="shared" si="44"/>
        <v>172.32171001882188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14.12</v>
      </c>
      <c r="EJ54" s="13">
        <f>IF('Données projet'!$A$192&gt;35,EJ53+EI54-ER53,IF(A54&lt;'Données projet'!$A$192,$EG$205^A54,IF(A54='Données projet'!$A$192,'Données projet'!$B$192,EJ53+EI54-ER53)))</f>
        <v>313.86000000000024</v>
      </c>
      <c r="EK54" s="18">
        <f>EJ54*VLOOKUP('Données projet'!$B$15,Paramètres!$A$1:$I$89,3,0)*VLOOKUP('Données projet'!$B$15,Paramètres!$A$1:$I$89,5,0)</f>
        <v>187.68828000000013</v>
      </c>
      <c r="EL54" s="14">
        <f t="shared" si="45"/>
        <v>47.028500822168901</v>
      </c>
      <c r="EM54" s="22">
        <f t="shared" si="19"/>
        <v>408.79839326527775</v>
      </c>
      <c r="EN54" s="60">
        <f t="shared" si="20"/>
        <v>702.13172659861107</v>
      </c>
      <c r="EO54" s="60">
        <f ca="1">AVERAGE(OFFSET($EN$3,0,0,'Données projet'!$E$15+1,1))-AVERAGE(OFFSET($H$3,0,0,'Données projet'!$E$15+1,1))</f>
        <v>269.94948820700841</v>
      </c>
      <c r="EP54" s="60">
        <f t="shared" si="46"/>
        <v>183.45158355135192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7.6281142702920945</v>
      </c>
      <c r="EX54" s="23">
        <f>EXP(-LN(2)/2)*EX53+(1-EXP(-LN(2)/2))/(LN(2)/2)*ER54*EU54*VLOOKUP('Données projet'!$B$15,Paramètres!$A$1:$I$89,3,0)*0.475*44/12</f>
        <v>3.8932523802225841E-3</v>
      </c>
      <c r="EY54" s="24">
        <f t="shared" si="21"/>
        <v>7.6320075226723167</v>
      </c>
      <c r="EZ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8.7272727272727266</v>
      </c>
      <c r="FE54" s="13">
        <f>IF('Données projet'!$A$218&gt;35,FE53+FD54-FM53,IF(A54&lt;'Données projet'!$A$218,$FB$205^A54,IF(A54='Données projet'!$A$218,'Données projet'!$B$218,FE53+FD54-FM53)))</f>
        <v>137.45454545454541</v>
      </c>
      <c r="FF54" s="18">
        <f>FE54*VLOOKUP('Données projet'!$B$16,Paramètres!$A$1:$I$89,3,0)*VLOOKUP('Données projet'!$B$16,Paramètres!$A$1:$I$89,5,0)</f>
        <v>82.197818181818164</v>
      </c>
      <c r="FG54" s="14">
        <f t="shared" si="47"/>
        <v>22.673711538153317</v>
      </c>
      <c r="FH54" s="22">
        <f t="shared" si="22"/>
        <v>182.65124759561698</v>
      </c>
      <c r="FI54" s="60">
        <f t="shared" si="23"/>
        <v>475.98458092895032</v>
      </c>
      <c r="FJ54" s="60">
        <f ca="1">AVERAGE(OFFSET($FI$3,0,0,'Données projet'!$E$16+1,1))-AVERAGE(OFFSET($H$3,0,0,'Données projet'!$E$16+1,1))</f>
        <v>111.24788725253484</v>
      </c>
      <c r="FK54" s="60">
        <f t="shared" si="48"/>
        <v>82.434879813357327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projet'!$B$16,Paramètres!$A$1:$I$89,3,0)*0.475*44/12</f>
        <v>0</v>
      </c>
      <c r="FR54" s="23">
        <f>EXP(-LN(2)/25)*FR53+(1-EXP(-LN(2)/25))/(LN(2)/25)*Calculateur!FM54*Calculateur!FO54*VLOOKUP('Données projet'!$B$16,Paramètres!$A$1:$I$89,3,0)*0.475*44/12</f>
        <v>0</v>
      </c>
      <c r="FS54" s="23">
        <f>EXP(-LN(2)/2)*FS53+(1-EXP(-LN(2)/2))/(LN(2)/2)*FM54*FP54*VLOOKUP('Données projet'!$B$16,Paramètres!$A$1:$I$89,3,0)*0.475*44/12</f>
        <v>0</v>
      </c>
      <c r="FT54" s="24">
        <f t="shared" si="24"/>
        <v>0</v>
      </c>
      <c r="FU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20.2</v>
      </c>
      <c r="FZ54" s="13">
        <f>IF('Données projet'!$A$244&gt;35,FZ53+FY54-GH53,IF(A54&lt;'Données projet'!$A$244,$FW$205^A54,IF(A54='Données projet'!$A$244,'Données projet'!$B$244,FZ53+FY54-GH53)))</f>
        <v>597.6</v>
      </c>
      <c r="GA54" s="18">
        <f>FZ54*VLOOKUP('Données projet'!$B$17,Paramètres!$A$1:$I$89,3,0)*VLOOKUP('Données projet'!$B$17,Paramètres!$A$1:$I$89,5,0)</f>
        <v>264.13920000000002</v>
      </c>
      <c r="GB54" s="14">
        <f t="shared" si="49"/>
        <v>63.60387543087441</v>
      </c>
      <c r="GC54" s="22">
        <f t="shared" si="25"/>
        <v>570.81918970877302</v>
      </c>
      <c r="GD54" s="60">
        <f t="shared" si="26"/>
        <v>864.1525230421064</v>
      </c>
      <c r="GE54" s="60">
        <f ca="1">AVERAGE(OFFSET($GD$3,0,0,'Données projet'!$E$17+1,1))-AVERAGE(OFFSET($H$3,0,0,'Données projet'!$E$17+1,1))</f>
        <v>323.56667371063662</v>
      </c>
      <c r="GF54" s="60">
        <f t="shared" si="50"/>
        <v>275.70373467723385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>
        <f>EXP(-LN(2)/35)*GL53+(1-EXP(-LN(2)/35))/(LN(2)/35)*GH54*GI54*VLOOKUP('Données projet'!$B$17,Paramètres!$A$1:$I$89,3,0)*0.475*44/12</f>
        <v>0</v>
      </c>
      <c r="GM54" s="23">
        <f>EXP(-LN(2)/25)*GM53+(1-EXP(-LN(2)/25))/(LN(2)/25)*Calculateur!GH54*Calculateur!GJ54*VLOOKUP('Données projet'!$B$17,Paramètres!$A$1:$I$89,3,0)*0.475*44/12</f>
        <v>0</v>
      </c>
      <c r="GN54" s="23">
        <f>EXP(-LN(2)/2)*GN53+(1-EXP(-LN(2)/2))/(LN(2)/2)*GH54*GK54*VLOOKUP('Données projet'!$B$17,Paramètres!$A$1:$I$89,3,0)*0.475*44/12</f>
        <v>0</v>
      </c>
      <c r="GO54" s="23">
        <f t="shared" si="27"/>
        <v>0</v>
      </c>
      <c r="GP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0" t="e">
        <f t="shared" si="29"/>
        <v>#N/A</v>
      </c>
      <c r="GZ54" s="60" t="e">
        <f ca="1">AVERAGE(OFFSET($GY$3,0,0,'Données projet'!$E$18+1,1))-AVERAGE(OFFSET($H$3,0,0,'Données projet'!$E$18+1,1))</f>
        <v>#N/A</v>
      </c>
      <c r="HA54" s="60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4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2">
        <f t="shared" si="32"/>
        <v>8.8633120224605459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>
        <f>VLOOKUP(A55,'Données projet'!$A$35:$I$55,2,0)</f>
        <v>406.59</v>
      </c>
      <c r="L55" s="13">
        <f>VLOOKUP(A55,'Données projet'!$A$35:$I$55,9,0)</f>
        <v>14.64374999999999</v>
      </c>
      <c r="M55" s="13">
        <f t="array" ref="M55">INDEX(L:L,MIN(IF(ISNUMBER(L55:L251),ROW(L55:L251),"")))</f>
        <v>14.64374999999999</v>
      </c>
      <c r="N55" s="14">
        <f>IF('Données projet'!$A$36&gt;35,N54+M55-V54,IF(A55&lt;'Données projet'!$A$36,$K$205^A55,IF(A55='Données projet'!$A$36,'Données projet'!$B$36,N54+M55-V54)))</f>
        <v>406.59</v>
      </c>
      <c r="O55" s="14">
        <f>N55*VLOOKUP('Données projet'!$B$9,Paramètres!$A$1:$I$89,3,0)*VLOOKUP('Données projet'!$B$9,Paramètres!$A$1:$I$89,5,0)</f>
        <v>243.14081999999999</v>
      </c>
      <c r="P55" s="14">
        <f t="shared" si="33"/>
        <v>59.114781000830845</v>
      </c>
      <c r="Q55" s="22">
        <f t="shared" si="53"/>
        <v>526.42850507644698</v>
      </c>
      <c r="R55" s="60">
        <f t="shared" si="0"/>
        <v>819.76183840978024</v>
      </c>
      <c r="S55" s="60">
        <f ca="1">AVERAGE(OFFSET($R$3,0,0,'Données projet'!$E$9+1,1))-AVERAGE(OFFSET($H$3,0,0,'Données projet'!$E$9+1,1))</f>
        <v>235.63766249714581</v>
      </c>
      <c r="T55" s="60">
        <f t="shared" si="34"/>
        <v>231.3297293785277</v>
      </c>
      <c r="U55" s="16">
        <f>IF(ISNA(VLOOKUP(A55,'Données projet'!$A$35:$I$55,3,0)),0,VLOOKUP(A55,'Données projet'!$A$35:$I$55,3,0))</f>
        <v>6</v>
      </c>
      <c r="V55" s="16">
        <f>IF(ISNA(VLOOKUP(A55,'Données projet'!$A$35:$I$55,4,0)),0,VLOOKUP(A55,'Données projet'!$A$35:$I$55,4,0))</f>
        <v>75.37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7.4213734090852865</v>
      </c>
      <c r="AA55" s="23">
        <f>EXP(-LN(2)/25)*AA54+(1-EXP(-LN(2)/25))/(LN(2)/25)*Calculateur!V55*Calculateur!X55*VLOOKUP('Données projet'!$B$9,Paramètres!$A$1:$I$89,3,0)*0.475*44/12</f>
        <v>9.394253623389238</v>
      </c>
      <c r="AB55" s="23">
        <f>EXP(-LN(2)/2)*AB54+(1-EXP(-LN(2)/2))/(LN(2)/2)*V55*Y55*VLOOKUP('Données projet'!$B$9,Paramètres!$A$1:$I$89,3,0)*0.475*44/12</f>
        <v>3.4728672475091453E-3</v>
      </c>
      <c r="AC55" s="24">
        <f t="shared" si="3"/>
        <v>16.819099899722033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173</v>
      </c>
      <c r="AJ55" s="14">
        <f>AI55*VLOOKUP('Données projet'!$B$10,Paramètres!$A$1:$I$89,3,0)*VLOOKUP('Données projet'!$B$10,Paramètres!$A$1:$I$89,5,0)</f>
        <v>175.422</v>
      </c>
      <c r="AK55" s="14">
        <f t="shared" si="35"/>
        <v>44.302143412304737</v>
      </c>
      <c r="AL55" s="22">
        <f t="shared" si="4"/>
        <v>382.68621644309741</v>
      </c>
      <c r="AM55" s="60">
        <f t="shared" si="5"/>
        <v>676.01954977643072</v>
      </c>
      <c r="AN55" s="60">
        <f ca="1">AVERAGE(OFFSET($AM$3,0,0,'Données projet'!$E$10+1,1))-AVERAGE(OFFSET($H$3,0,0,'Données projet'!$E$10+1,1))</f>
        <v>350.3652766444938</v>
      </c>
      <c r="AO55" s="60">
        <f t="shared" si="36"/>
        <v>197.04549436738586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6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8</v>
      </c>
      <c r="BD55" s="13">
        <f>IF('Données projet'!$A$88&gt;35,BD54+BC55-BL54,IF(A55&lt;'Données projet'!$A$88,$BA$205^A55,IF(A55='Données projet'!$A$88,'Données projet'!$B$88,BD54+BC55-BL54)))</f>
        <v>173</v>
      </c>
      <c r="BE55" s="14">
        <f>BD55*VLOOKUP('Données projet'!$B$11,Paramètres!$A$1:$I$89,3,0)*VLOOKUP('Données projet'!$B$11,Paramètres!$A$1:$I$89,5,0)</f>
        <v>167.32560000000001</v>
      </c>
      <c r="BF55" s="14">
        <f t="shared" si="37"/>
        <v>42.490495297127609</v>
      </c>
      <c r="BG55" s="22">
        <f t="shared" si="7"/>
        <v>365.42969930916388</v>
      </c>
      <c r="BH55" s="60">
        <f t="shared" si="8"/>
        <v>658.76303264249714</v>
      </c>
      <c r="BI55" s="60">
        <f ca="1">AVERAGE(OFFSET($BH$3,0,0,'Données projet'!$E$11+1,1))-AVERAGE(OFFSET($H$3,0,0,'Données projet'!$E$11+1,1))</f>
        <v>330.39429528665841</v>
      </c>
      <c r="BJ55" s="60">
        <f t="shared" si="38"/>
        <v>186.45728006007261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5.7692307692307683</v>
      </c>
      <c r="BY55" s="13">
        <f>IF('Données projet'!$A$114&gt;35,BY54+BX55-CG54,IF(A55&lt;'Données projet'!$A$114,$BV$205^A55,IF(A55='Données projet'!$A$114,'Données projet'!$B$114,BY54+BX55-CG54)))</f>
        <v>200.64102564102564</v>
      </c>
      <c r="BZ55" s="14">
        <f>BY55*VLOOKUP('Données projet'!$B$12,Paramètres!$A$1:$I$89,3,0)*VLOOKUP('Données projet'!$B$12,Paramètres!$A$1:$I$89,5,0)</f>
        <v>134.59</v>
      </c>
      <c r="CA55" s="14">
        <f t="shared" si="39"/>
        <v>35.054822215165878</v>
      </c>
      <c r="CB55" s="22">
        <f t="shared" si="10"/>
        <v>295.46473202474721</v>
      </c>
      <c r="CC55" s="60">
        <f t="shared" si="11"/>
        <v>588.79806535808052</v>
      </c>
      <c r="CD55" s="60">
        <f ca="1">AVERAGE(OFFSET($CC$3,0,0,'Données projet'!$E$12+1,1))-AVERAGE(OFFSET($H$3,0,0,'Données projet'!$E$12+1,1))</f>
        <v>212.33913923444732</v>
      </c>
      <c r="CE55" s="60">
        <f t="shared" si="40"/>
        <v>183.51194426094372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6.2</v>
      </c>
      <c r="CT55" s="13">
        <f>IF('Données projet'!$A$140&gt;35,CT54+CS55-DB54,IF(A55&lt;'Données projet'!$A$140,$CQ$205^A55,IF(A55='Données projet'!$A$140,'Données projet'!$B$140,CT54+CS55-DB54)))</f>
        <v>199.39999999999978</v>
      </c>
      <c r="CU55" s="18">
        <f>CT55*VLOOKUP('Données projet'!$B$13,Paramètres!$A$1:$I$89,3,0)*VLOOKUP('Données projet'!$B$13,Paramètres!$A$1:$I$89,5,0)</f>
        <v>174.19583999999983</v>
      </c>
      <c r="CV55" s="14">
        <f t="shared" si="41"/>
        <v>44.028414526076702</v>
      </c>
      <c r="CW55" s="22">
        <f t="shared" si="13"/>
        <v>380.07390996625003</v>
      </c>
      <c r="CX55" s="60">
        <f t="shared" si="14"/>
        <v>673.40724329958334</v>
      </c>
      <c r="CY55" s="60">
        <f ca="1">AVERAGE(OFFSET($CX$3,0,0,'Données projet'!$E$13+1,1))-AVERAGE(OFFSET($H$3,0,0,'Données projet'!$E$13+1,1))</f>
        <v>228.0393346366489</v>
      </c>
      <c r="CZ55" s="60">
        <f t="shared" si="42"/>
        <v>238.591781509447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8</v>
      </c>
      <c r="DO55" s="13">
        <f>IF('Données projet'!$A$166&gt;35,DO54+DN55-DW54,IF(A55&lt;'Données projet'!$A$166,$DL$205^A55,IF(A55='Données projet'!$A$166,'Données projet'!$B$166,DO54+DN55-DW54)))</f>
        <v>173</v>
      </c>
      <c r="DP55" s="18">
        <f>DO55*VLOOKUP('Données projet'!$B$14,Paramètres!$A$1:$I$89,3,0)*VLOOKUP('Données projet'!$B$14,Paramètres!$A$1:$I$89,5,0)</f>
        <v>156.53039999999999</v>
      </c>
      <c r="DQ55" s="14">
        <f t="shared" si="43"/>
        <v>40.058941713182037</v>
      </c>
      <c r="DR55" s="22">
        <f t="shared" si="16"/>
        <v>342.393103483792</v>
      </c>
      <c r="DS55" s="60">
        <f t="shared" si="17"/>
        <v>635.72643681712532</v>
      </c>
      <c r="DT55" s="60">
        <f ca="1">AVERAGE(OFFSET($DS$3,0,0,'Données projet'!$E$14+1,1))-AVERAGE(OFFSET($H$3,0,0,'Données projet'!$E$14+1,1))</f>
        <v>303.73499739059076</v>
      </c>
      <c r="DU55" s="60">
        <f t="shared" si="44"/>
        <v>172.32171001882188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14.12</v>
      </c>
      <c r="EJ55" s="13">
        <f>IF('Données projet'!$A$192&gt;35,EJ54+EI55-ER54,IF(A55&lt;'Données projet'!$A$192,$EG$205^A55,IF(A55='Données projet'!$A$192,'Données projet'!$B$192,EJ54+EI55-ER54)))</f>
        <v>327.98000000000025</v>
      </c>
      <c r="EK55" s="18">
        <f>EJ55*VLOOKUP('Données projet'!$B$15,Paramètres!$A$1:$I$89,3,0)*VLOOKUP('Données projet'!$B$15,Paramètres!$A$1:$I$89,5,0)</f>
        <v>196.13204000000016</v>
      </c>
      <c r="EL55" s="14">
        <f t="shared" si="45"/>
        <v>48.893143423385645</v>
      </c>
      <c r="EM55" s="22">
        <f t="shared" si="19"/>
        <v>426.75219446239697</v>
      </c>
      <c r="EN55" s="60">
        <f t="shared" si="20"/>
        <v>720.08552779573029</v>
      </c>
      <c r="EO55" s="60">
        <f ca="1">AVERAGE(OFFSET($EN$3,0,0,'Données projet'!$E$15+1,1))-AVERAGE(OFFSET($H$3,0,0,'Données projet'!$E$15+1,1))</f>
        <v>269.94948820700841</v>
      </c>
      <c r="EP55" s="60">
        <f t="shared" si="46"/>
        <v>183.45158355135192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7.4195230844258617</v>
      </c>
      <c r="EX55" s="23">
        <f>EXP(-LN(2)/2)*EX54+(1-EXP(-LN(2)/2))/(LN(2)/2)*ER55*EU55*VLOOKUP('Données projet'!$B$15,Paramètres!$A$1:$I$89,3,0)*0.475*44/12</f>
        <v>2.7529451589260565E-3</v>
      </c>
      <c r="EY55" s="24">
        <f t="shared" si="21"/>
        <v>7.422276029584788</v>
      </c>
      <c r="EZ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8.7272727272727266</v>
      </c>
      <c r="FE55" s="13">
        <f>IF('Données projet'!$A$218&gt;35,FE54+FD55-FM54,IF(A55&lt;'Données projet'!$A$218,$FB$205^A55,IF(A55='Données projet'!$A$218,'Données projet'!$B$218,FE54+FD55-FM54)))</f>
        <v>146.18181818181813</v>
      </c>
      <c r="FF55" s="18">
        <f>FE55*VLOOKUP('Données projet'!$B$16,Paramètres!$A$1:$I$89,3,0)*VLOOKUP('Données projet'!$B$16,Paramètres!$A$1:$I$89,5,0)</f>
        <v>87.416727272727243</v>
      </c>
      <c r="FG55" s="14">
        <f t="shared" si="47"/>
        <v>23.941149758006731</v>
      </c>
      <c r="FH55" s="22">
        <f t="shared" si="22"/>
        <v>193.94830249519498</v>
      </c>
      <c r="FI55" s="60">
        <f t="shared" si="23"/>
        <v>487.28163582852829</v>
      </c>
      <c r="FJ55" s="60">
        <f ca="1">AVERAGE(OFFSET($FI$3,0,0,'Données projet'!$E$16+1,1))-AVERAGE(OFFSET($H$3,0,0,'Données projet'!$E$16+1,1))</f>
        <v>111.24788725253484</v>
      </c>
      <c r="FK55" s="60">
        <f t="shared" si="48"/>
        <v>82.434879813357327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projet'!$B$16,Paramètres!$A$1:$I$89,3,0)*0.475*44/12</f>
        <v>0</v>
      </c>
      <c r="FR55" s="23">
        <f>EXP(-LN(2)/25)*FR54+(1-EXP(-LN(2)/25))/(LN(2)/25)*Calculateur!FM55*Calculateur!FO55*VLOOKUP('Données projet'!$B$16,Paramètres!$A$1:$I$89,3,0)*0.475*44/12</f>
        <v>0</v>
      </c>
      <c r="FS55" s="23">
        <f>EXP(-LN(2)/2)*FS54+(1-EXP(-LN(2)/2))/(LN(2)/2)*FM55*FP55*VLOOKUP('Données projet'!$B$16,Paramètres!$A$1:$I$89,3,0)*0.475*44/12</f>
        <v>0</v>
      </c>
      <c r="FT55" s="24">
        <f t="shared" si="24"/>
        <v>0</v>
      </c>
      <c r="FU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20.2</v>
      </c>
      <c r="FZ55" s="13">
        <f>IF('Données projet'!$A$244&gt;35,FZ54+FY55-GH54,IF(A55&lt;'Données projet'!$A$244,$FW$205^A55,IF(A55='Données projet'!$A$244,'Données projet'!$B$244,FZ54+FY55-GH54)))</f>
        <v>617.80000000000007</v>
      </c>
      <c r="GA55" s="18">
        <f>FZ55*VLOOKUP('Données projet'!$B$17,Paramètres!$A$1:$I$89,3,0)*VLOOKUP('Données projet'!$B$17,Paramètres!$A$1:$I$89,5,0)</f>
        <v>273.06760000000008</v>
      </c>
      <c r="GB55" s="14">
        <f t="shared" si="49"/>
        <v>65.499862757346591</v>
      </c>
      <c r="GC55" s="22">
        <f t="shared" si="25"/>
        <v>589.67166430237876</v>
      </c>
      <c r="GD55" s="60">
        <f t="shared" si="26"/>
        <v>883.00499763571202</v>
      </c>
      <c r="GE55" s="60">
        <f ca="1">AVERAGE(OFFSET($GD$3,0,0,'Données projet'!$E$17+1,1))-AVERAGE(OFFSET($H$3,0,0,'Données projet'!$E$17+1,1))</f>
        <v>323.56667371063662</v>
      </c>
      <c r="GF55" s="60">
        <f t="shared" si="50"/>
        <v>275.70373467723385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>
        <f>EXP(-LN(2)/35)*GL54+(1-EXP(-LN(2)/35))/(LN(2)/35)*GH55*GI55*VLOOKUP('Données projet'!$B$17,Paramètres!$A$1:$I$89,3,0)*0.475*44/12</f>
        <v>0</v>
      </c>
      <c r="GM55" s="23">
        <f>EXP(-LN(2)/25)*GM54+(1-EXP(-LN(2)/25))/(LN(2)/25)*Calculateur!GH55*Calculateur!GJ55*VLOOKUP('Données projet'!$B$17,Paramètres!$A$1:$I$89,3,0)*0.475*44/12</f>
        <v>0</v>
      </c>
      <c r="GN55" s="23">
        <f>EXP(-LN(2)/2)*GN54+(1-EXP(-LN(2)/2))/(LN(2)/2)*GH55*GK55*VLOOKUP('Données projet'!$B$17,Paramètres!$A$1:$I$89,3,0)*0.475*44/12</f>
        <v>0</v>
      </c>
      <c r="GO55" s="23">
        <f t="shared" si="27"/>
        <v>0</v>
      </c>
      <c r="GP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0" t="e">
        <f t="shared" si="29"/>
        <v>#N/A</v>
      </c>
      <c r="GZ55" s="60" t="e">
        <f ca="1">AVERAGE(OFFSET($GY$3,0,0,'Données projet'!$E$18+1,1))-AVERAGE(OFFSET($H$3,0,0,'Données projet'!$E$18+1,1))</f>
        <v>#N/A</v>
      </c>
      <c r="HA55" s="60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4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2">
        <f t="shared" si="32"/>
        <v>9.0137527764644076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13.14</v>
      </c>
      <c r="N56" s="14">
        <f>IF('Données projet'!$A$36&gt;35,N55+M56-V55,IF(A56&lt;'Données projet'!$A$36,$K$205^A56,IF(A56='Données projet'!$A$36,'Données projet'!$B$36,N55+M56-V55)))</f>
        <v>344.35999999999996</v>
      </c>
      <c r="O56" s="14">
        <f>N56*VLOOKUP('Données projet'!$B$9,Paramètres!$A$1:$I$89,3,0)*VLOOKUP('Données projet'!$B$9,Paramètres!$A$1:$I$89,5,0)</f>
        <v>205.92728</v>
      </c>
      <c r="P56" s="14">
        <f t="shared" si="33"/>
        <v>51.04458202864172</v>
      </c>
      <c r="Q56" s="22">
        <f t="shared" si="53"/>
        <v>447.55932636655098</v>
      </c>
      <c r="R56" s="60">
        <f t="shared" si="0"/>
        <v>740.89265969988423</v>
      </c>
      <c r="S56" s="60">
        <f ca="1">AVERAGE(OFFSET($R$3,0,0,'Données projet'!$E$9+1,1))-AVERAGE(OFFSET($H$3,0,0,'Données projet'!$E$9+1,1))</f>
        <v>235.63766249714581</v>
      </c>
      <c r="T56" s="60">
        <f t="shared" si="34"/>
        <v>231.3297293785277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7.27584480312394</v>
      </c>
      <c r="AA56" s="23">
        <f>EXP(-LN(2)/25)*AA55+(1-EXP(-LN(2)/25))/(LN(2)/25)*Calculateur!V56*Calculateur!X56*VLOOKUP('Données projet'!$B$9,Paramètres!$A$1:$I$89,3,0)*0.475*44/12</f>
        <v>9.1373672640353316</v>
      </c>
      <c r="AB56" s="23">
        <f>EXP(-LN(2)/2)*AB55+(1-EXP(-LN(2)/2))/(LN(2)/2)*V56*Y56*VLOOKUP('Données projet'!$B$9,Paramètres!$A$1:$I$89,3,0)*0.475*44/12</f>
        <v>2.4556879808743767E-3</v>
      </c>
      <c r="AC56" s="24">
        <f t="shared" si="3"/>
        <v>16.415667755140145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181</v>
      </c>
      <c r="AJ56" s="14">
        <f>AI56*VLOOKUP('Données projet'!$B$10,Paramètres!$A$1:$I$89,3,0)*VLOOKUP('Données projet'!$B$10,Paramètres!$A$1:$I$89,5,0)</f>
        <v>183.53400000000002</v>
      </c>
      <c r="AK56" s="14">
        <f t="shared" si="35"/>
        <v>46.107544136839593</v>
      </c>
      <c r="AL56" s="22">
        <f t="shared" si="4"/>
        <v>399.95902270499568</v>
      </c>
      <c r="AM56" s="60">
        <f t="shared" si="5"/>
        <v>693.29235603832899</v>
      </c>
      <c r="AN56" s="60">
        <f ca="1">AVERAGE(OFFSET($AM$3,0,0,'Données projet'!$E$10+1,1))-AVERAGE(OFFSET($H$3,0,0,'Données projet'!$E$10+1,1))</f>
        <v>350.3652766444938</v>
      </c>
      <c r="AO56" s="60">
        <f t="shared" si="36"/>
        <v>197.04549436738586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6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8</v>
      </c>
      <c r="BD56" s="13">
        <f>IF('Données projet'!$A$88&gt;35,BD55+BC56-BL55,IF(A56&lt;'Données projet'!$A$88,$BA$205^A56,IF(A56='Données projet'!$A$88,'Données projet'!$B$88,BD55+BC56-BL55)))</f>
        <v>181</v>
      </c>
      <c r="BE56" s="14">
        <f>BD56*VLOOKUP('Données projet'!$B$11,Paramètres!$A$1:$I$89,3,0)*VLOOKUP('Données projet'!$B$11,Paramètres!$A$1:$I$89,5,0)</f>
        <v>175.06319999999999</v>
      </c>
      <c r="BF56" s="14">
        <f t="shared" si="37"/>
        <v>44.22206774682472</v>
      </c>
      <c r="BG56" s="22">
        <f t="shared" si="7"/>
        <v>381.9218413257197</v>
      </c>
      <c r="BH56" s="60">
        <f t="shared" si="8"/>
        <v>675.25517465905295</v>
      </c>
      <c r="BI56" s="60">
        <f ca="1">AVERAGE(OFFSET($BH$3,0,0,'Données projet'!$E$11+1,1))-AVERAGE(OFFSET($H$3,0,0,'Données projet'!$E$11+1,1))</f>
        <v>330.39429528665841</v>
      </c>
      <c r="BJ56" s="60">
        <f t="shared" si="38"/>
        <v>186.45728006007261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5.7692307692307683</v>
      </c>
      <c r="BY56" s="13">
        <f>IF('Données projet'!$A$114&gt;35,BY55+BX56-CG55,IF(A56&lt;'Données projet'!$A$114,$BV$205^A56,IF(A56='Données projet'!$A$114,'Données projet'!$B$114,BY55+BX56-CG55)))</f>
        <v>206.41025641025641</v>
      </c>
      <c r="BZ56" s="14">
        <f>BY56*VLOOKUP('Données projet'!$B$12,Paramètres!$A$1:$I$89,3,0)*VLOOKUP('Données projet'!$B$12,Paramètres!$A$1:$I$89,5,0)</f>
        <v>138.45999999999998</v>
      </c>
      <c r="CA56" s="14">
        <f t="shared" si="39"/>
        <v>35.943986332761526</v>
      </c>
      <c r="CB56" s="22">
        <f t="shared" si="10"/>
        <v>303.75360952955964</v>
      </c>
      <c r="CC56" s="60">
        <f t="shared" si="11"/>
        <v>597.08694286289301</v>
      </c>
      <c r="CD56" s="60">
        <f ca="1">AVERAGE(OFFSET($CC$3,0,0,'Données projet'!$E$12+1,1))-AVERAGE(OFFSET($H$3,0,0,'Données projet'!$E$12+1,1))</f>
        <v>212.33913923444732</v>
      </c>
      <c r="CE56" s="60">
        <f t="shared" si="40"/>
        <v>183.51194426094372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6.2</v>
      </c>
      <c r="CT56" s="13">
        <f>IF('Données projet'!$A$140&gt;35,CT55+CS56-DB55,IF(A56&lt;'Données projet'!$A$140,$CQ$205^A56,IF(A56='Données projet'!$A$140,'Données projet'!$B$140,CT55+CS56-DB55)))</f>
        <v>205.59999999999977</v>
      </c>
      <c r="CU56" s="18">
        <f>CT56*VLOOKUP('Données projet'!$B$13,Paramètres!$A$1:$I$89,3,0)*VLOOKUP('Données projet'!$B$13,Paramètres!$A$1:$I$89,5,0)</f>
        <v>179.61215999999982</v>
      </c>
      <c r="CV56" s="14">
        <f t="shared" si="41"/>
        <v>45.235888082846152</v>
      </c>
      <c r="CW56" s="22">
        <f t="shared" si="13"/>
        <v>391.6103504109567</v>
      </c>
      <c r="CX56" s="60">
        <f t="shared" si="14"/>
        <v>684.94368374428996</v>
      </c>
      <c r="CY56" s="60">
        <f ca="1">AVERAGE(OFFSET($CX$3,0,0,'Données projet'!$E$13+1,1))-AVERAGE(OFFSET($H$3,0,0,'Données projet'!$E$13+1,1))</f>
        <v>228.0393346366489</v>
      </c>
      <c r="CZ56" s="60">
        <f t="shared" si="42"/>
        <v>238.591781509447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8</v>
      </c>
      <c r="DO56" s="13">
        <f>IF('Données projet'!$A$166&gt;35,DO55+DN56-DW55,IF(A56&lt;'Données projet'!$A$166,$DL$205^A56,IF(A56='Données projet'!$A$166,'Données projet'!$B$166,DO55+DN56-DW55)))</f>
        <v>181</v>
      </c>
      <c r="DP56" s="18">
        <f>DO56*VLOOKUP('Données projet'!$B$14,Paramètres!$A$1:$I$89,3,0)*VLOOKUP('Données projet'!$B$14,Paramètres!$A$1:$I$89,5,0)</f>
        <v>163.7688</v>
      </c>
      <c r="DQ56" s="14">
        <f t="shared" si="43"/>
        <v>41.691423503509803</v>
      </c>
      <c r="DR56" s="22">
        <f t="shared" si="16"/>
        <v>357.84322260194625</v>
      </c>
      <c r="DS56" s="60">
        <f t="shared" si="17"/>
        <v>651.17655593527957</v>
      </c>
      <c r="DT56" s="60">
        <f ca="1">AVERAGE(OFFSET($DS$3,0,0,'Données projet'!$E$14+1,1))-AVERAGE(OFFSET($H$3,0,0,'Données projet'!$E$14+1,1))</f>
        <v>303.73499739059076</v>
      </c>
      <c r="DU56" s="60">
        <f t="shared" si="44"/>
        <v>172.32171001882188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14.12</v>
      </c>
      <c r="EJ56" s="13">
        <f>IF('Données projet'!$A$192&gt;35,EJ55+EI56-ER55,IF(A56&lt;'Données projet'!$A$192,$EG$205^A56,IF(A56='Données projet'!$A$192,'Données projet'!$B$192,EJ55+EI56-ER55)))</f>
        <v>342.10000000000025</v>
      </c>
      <c r="EK56" s="18">
        <f>EJ56*VLOOKUP('Données projet'!$B$15,Paramètres!$A$1:$I$89,3,0)*VLOOKUP('Données projet'!$B$15,Paramètres!$A$1:$I$89,5,0)</f>
        <v>204.57580000000019</v>
      </c>
      <c r="EL56" s="14">
        <f t="shared" si="45"/>
        <v>50.748462290021216</v>
      </c>
      <c r="EM56" s="22">
        <f t="shared" si="19"/>
        <v>444.68975682178728</v>
      </c>
      <c r="EN56" s="60">
        <f t="shared" si="20"/>
        <v>738.0230901551206</v>
      </c>
      <c r="EO56" s="60">
        <f ca="1">AVERAGE(OFFSET($EN$3,0,0,'Données projet'!$E$15+1,1))-AVERAGE(OFFSET($H$3,0,0,'Données projet'!$E$15+1,1))</f>
        <v>269.94948820700841</v>
      </c>
      <c r="EP56" s="60">
        <f t="shared" si="46"/>
        <v>183.45158355135192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7.2166358355064748</v>
      </c>
      <c r="EX56" s="23">
        <f>EXP(-LN(2)/2)*EX55+(1-EXP(-LN(2)/2))/(LN(2)/2)*ER56*EU56*VLOOKUP('Données projet'!$B$15,Paramètres!$A$1:$I$89,3,0)*0.475*44/12</f>
        <v>1.9466261901112925E-3</v>
      </c>
      <c r="EY56" s="24">
        <f t="shared" si="21"/>
        <v>7.2185824616965863</v>
      </c>
      <c r="EZ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8.7272727272727266</v>
      </c>
      <c r="FE56" s="13">
        <f>IF('Données projet'!$A$218&gt;35,FE55+FD56-FM55,IF(A56&lt;'Données projet'!$A$218,$FB$205^A56,IF(A56='Données projet'!$A$218,'Données projet'!$B$218,FE55+FD56-FM55)))</f>
        <v>154.90909090909085</v>
      </c>
      <c r="FF56" s="18">
        <f>FE56*VLOOKUP('Données projet'!$B$16,Paramètres!$A$1:$I$89,3,0)*VLOOKUP('Données projet'!$B$16,Paramètres!$A$1:$I$89,5,0)</f>
        <v>92.635636363636337</v>
      </c>
      <c r="FG56" s="14">
        <f t="shared" si="47"/>
        <v>25.199805254378727</v>
      </c>
      <c r="FH56" s="22">
        <f t="shared" si="22"/>
        <v>205.23006081804292</v>
      </c>
      <c r="FI56" s="60">
        <f t="shared" si="23"/>
        <v>498.5633941513762</v>
      </c>
      <c r="FJ56" s="60">
        <f ca="1">AVERAGE(OFFSET($FI$3,0,0,'Données projet'!$E$16+1,1))-AVERAGE(OFFSET($H$3,0,0,'Données projet'!$E$16+1,1))</f>
        <v>111.24788725253484</v>
      </c>
      <c r="FK56" s="60">
        <f t="shared" si="48"/>
        <v>82.434879813357327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projet'!$B$16,Paramètres!$A$1:$I$89,3,0)*0.475*44/12</f>
        <v>0</v>
      </c>
      <c r="FR56" s="23">
        <f>EXP(-LN(2)/25)*FR55+(1-EXP(-LN(2)/25))/(LN(2)/25)*Calculateur!FM56*Calculateur!FO56*VLOOKUP('Données projet'!$B$16,Paramètres!$A$1:$I$89,3,0)*0.475*44/12</f>
        <v>0</v>
      </c>
      <c r="FS56" s="23">
        <f>EXP(-LN(2)/2)*FS55+(1-EXP(-LN(2)/2))/(LN(2)/2)*FM56*FP56*VLOOKUP('Données projet'!$B$16,Paramètres!$A$1:$I$89,3,0)*0.475*44/12</f>
        <v>0</v>
      </c>
      <c r="FT56" s="24">
        <f t="shared" si="24"/>
        <v>0</v>
      </c>
      <c r="FU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>
        <f>VLOOKUP(A56,'Données projet'!$A$243:$I$263,2,0)</f>
        <v>638</v>
      </c>
      <c r="FX56" s="13">
        <f>VLOOKUP(A56,'Données projet'!$A$243:$I$263,9,0)</f>
        <v>20.2</v>
      </c>
      <c r="FY56" s="13">
        <f t="array" ref="FY56">INDEX(FX:FX,MIN(IF(ISNUMBER(FX56:FX252),ROW(FX56:FX252),"")))</f>
        <v>20.2</v>
      </c>
      <c r="FZ56" s="13">
        <f>IF('Données projet'!$A$244&gt;35,FZ55+FY56-GH55,IF(A56&lt;'Données projet'!$A$244,$FW$205^A56,IF(A56='Données projet'!$A$244,'Données projet'!$B$244,FZ55+FY56-GH55)))</f>
        <v>638.00000000000011</v>
      </c>
      <c r="GA56" s="18">
        <f>FZ56*VLOOKUP('Données projet'!$B$17,Paramètres!$A$1:$I$89,3,0)*VLOOKUP('Données projet'!$B$17,Paramètres!$A$1:$I$89,5,0)</f>
        <v>281.99600000000009</v>
      </c>
      <c r="GB56" s="14">
        <f t="shared" si="49"/>
        <v>67.388646519175396</v>
      </c>
      <c r="GC56" s="22">
        <f t="shared" si="25"/>
        <v>608.51159268756396</v>
      </c>
      <c r="GD56" s="60">
        <f t="shared" si="26"/>
        <v>901.84492602089722</v>
      </c>
      <c r="GE56" s="60">
        <f ca="1">AVERAGE(OFFSET($GD$3,0,0,'Données projet'!$E$17+1,1))-AVERAGE(OFFSET($H$3,0,0,'Données projet'!$E$17+1,1))</f>
        <v>323.56667371063662</v>
      </c>
      <c r="GF56" s="60">
        <f t="shared" si="50"/>
        <v>275.70373467723385</v>
      </c>
      <c r="GG56" s="16">
        <f>IF(ISNA(VLOOKUP(A56,'Données projet'!$A$243:$I$263,3,0)),0,VLOOKUP(A56,'Données projet'!$A$243:$I$263,3,0))</f>
        <v>4</v>
      </c>
      <c r="GH56" s="16">
        <f>IF(ISNA(VLOOKUP(A56,'Données projet'!$A$243:$I$263,4,0)),0,VLOOKUP(A56,'Données projet'!$A$243:$I$263,4,0))</f>
        <v>94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>
        <f>EXP(-LN(2)/35)*GL55+(1-EXP(-LN(2)/35))/(LN(2)/35)*GH56*GI56*VLOOKUP('Données projet'!$B$17,Paramètres!$A$1:$I$89,3,0)*0.475*44/12</f>
        <v>0</v>
      </c>
      <c r="GM56" s="23">
        <f>EXP(-LN(2)/25)*GM55+(1-EXP(-LN(2)/25))/(LN(2)/25)*Calculateur!GH56*Calculateur!GJ56*VLOOKUP('Données projet'!$B$17,Paramètres!$A$1:$I$89,3,0)*0.475*44/12</f>
        <v>0</v>
      </c>
      <c r="GN56" s="23">
        <f>EXP(-LN(2)/2)*GN55+(1-EXP(-LN(2)/2))/(LN(2)/2)*GH56*GK56*VLOOKUP('Données projet'!$B$17,Paramètres!$A$1:$I$89,3,0)*0.475*44/12</f>
        <v>0</v>
      </c>
      <c r="GO56" s="23">
        <f t="shared" si="27"/>
        <v>0</v>
      </c>
      <c r="GP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0" t="e">
        <f t="shared" si="29"/>
        <v>#N/A</v>
      </c>
      <c r="GZ56" s="60" t="e">
        <f ca="1">AVERAGE(OFFSET($GY$3,0,0,'Données projet'!$E$18+1,1))-AVERAGE(OFFSET($H$3,0,0,'Données projet'!$E$18+1,1))</f>
        <v>#N/A</v>
      </c>
      <c r="HA56" s="60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4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2">
        <f t="shared" si="32"/>
        <v>9.163863470361429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13.14</v>
      </c>
      <c r="N57" s="14">
        <f>IF('Données projet'!$A$36&gt;35,N56+M57-V56,IF(A57&lt;'Données projet'!$A$36,$K$205^A57,IF(A57='Données projet'!$A$36,'Données projet'!$B$36,N56+M57-V56)))</f>
        <v>357.49999999999994</v>
      </c>
      <c r="O57" s="14">
        <f>N57*VLOOKUP('Données projet'!$B$9,Paramètres!$A$1:$I$89,3,0)*VLOOKUP('Données projet'!$B$9,Paramètres!$A$1:$I$89,5,0)</f>
        <v>213.785</v>
      </c>
      <c r="P57" s="14">
        <f t="shared" si="33"/>
        <v>52.761841557402377</v>
      </c>
      <c r="Q57" s="22">
        <f t="shared" si="53"/>
        <v>464.23574904580914</v>
      </c>
      <c r="R57" s="60">
        <f t="shared" si="0"/>
        <v>757.5690823791424</v>
      </c>
      <c r="S57" s="60">
        <f ca="1">AVERAGE(OFFSET($R$3,0,0,'Données projet'!$E$9+1,1))-AVERAGE(OFFSET($H$3,0,0,'Données projet'!$E$9+1,1))</f>
        <v>235.63766249714581</v>
      </c>
      <c r="T57" s="60">
        <f t="shared" si="34"/>
        <v>231.3297293785277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7.1331699243618107</v>
      </c>
      <c r="AA57" s="23">
        <f>EXP(-LN(2)/25)*AA56+(1-EXP(-LN(2)/25))/(LN(2)/25)*Calculateur!V57*Calculateur!X57*VLOOKUP('Données projet'!$B$9,Paramètres!$A$1:$I$89,3,0)*0.475*44/12</f>
        <v>8.8875054756870249</v>
      </c>
      <c r="AB57" s="23">
        <f>EXP(-LN(2)/2)*AB56+(1-EXP(-LN(2)/2))/(LN(2)/2)*V57*Y57*VLOOKUP('Données projet'!$B$9,Paramètres!$A$1:$I$89,3,0)*0.475*44/12</f>
        <v>1.7364336237545726E-3</v>
      </c>
      <c r="AC57" s="24">
        <f t="shared" si="3"/>
        <v>16.022411833672592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189</v>
      </c>
      <c r="AJ57" s="14">
        <f>AI57*VLOOKUP('Données projet'!$B$10,Paramètres!$A$1:$I$89,3,0)*VLOOKUP('Données projet'!$B$10,Paramètres!$A$1:$I$89,5,0)</f>
        <v>191.64600000000002</v>
      </c>
      <c r="AK57" s="14">
        <f t="shared" si="35"/>
        <v>47.903677189291635</v>
      </c>
      <c r="AL57" s="22">
        <f t="shared" si="4"/>
        <v>417.21568777134962</v>
      </c>
      <c r="AM57" s="60">
        <f t="shared" si="5"/>
        <v>710.54902110468288</v>
      </c>
      <c r="AN57" s="60">
        <f ca="1">AVERAGE(OFFSET($AM$3,0,0,'Données projet'!$E$10+1,1))-AVERAGE(OFFSET($H$3,0,0,'Données projet'!$E$10+1,1))</f>
        <v>350.3652766444938</v>
      </c>
      <c r="AO57" s="60">
        <f t="shared" si="36"/>
        <v>197.04549436738586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6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8</v>
      </c>
      <c r="BD57" s="13">
        <f>IF('Données projet'!$A$88&gt;35,BD56+BC57-BL56,IF(A57&lt;'Données projet'!$A$88,$BA$205^A57,IF(A57='Données projet'!$A$88,'Données projet'!$B$88,BD56+BC57-BL56)))</f>
        <v>189</v>
      </c>
      <c r="BE57" s="14">
        <f>BD57*VLOOKUP('Données projet'!$B$11,Paramètres!$A$1:$I$89,3,0)*VLOOKUP('Données projet'!$B$11,Paramètres!$A$1:$I$89,5,0)</f>
        <v>182.80079999999998</v>
      </c>
      <c r="BF57" s="14">
        <f t="shared" si="37"/>
        <v>45.944751507471658</v>
      </c>
      <c r="BG57" s="22">
        <f t="shared" si="7"/>
        <v>398.39850220884642</v>
      </c>
      <c r="BH57" s="60">
        <f t="shared" si="8"/>
        <v>691.73183554217974</v>
      </c>
      <c r="BI57" s="60">
        <f ca="1">AVERAGE(OFFSET($BH$3,0,0,'Données projet'!$E$11+1,1))-AVERAGE(OFFSET($H$3,0,0,'Données projet'!$E$11+1,1))</f>
        <v>330.39429528665841</v>
      </c>
      <c r="BJ57" s="60">
        <f t="shared" si="38"/>
        <v>186.45728006007261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5.7692307692307683</v>
      </c>
      <c r="BY57" s="13">
        <f>IF('Données projet'!$A$114&gt;35,BY56+BX57-CG56,IF(A57&lt;'Données projet'!$A$114,$BV$205^A57,IF(A57='Données projet'!$A$114,'Données projet'!$B$114,BY56+BX57-CG56)))</f>
        <v>212.17948717948718</v>
      </c>
      <c r="BZ57" s="14">
        <f>BY57*VLOOKUP('Données projet'!$B$12,Paramètres!$A$1:$I$89,3,0)*VLOOKUP('Données projet'!$B$12,Paramètres!$A$1:$I$89,5,0)</f>
        <v>142.33000000000001</v>
      </c>
      <c r="CA57" s="14">
        <f t="shared" si="39"/>
        <v>36.830261932722308</v>
      </c>
      <c r="CB57" s="22">
        <f t="shared" si="10"/>
        <v>312.03745619949137</v>
      </c>
      <c r="CC57" s="60">
        <f t="shared" si="11"/>
        <v>605.37078953282469</v>
      </c>
      <c r="CD57" s="60">
        <f ca="1">AVERAGE(OFFSET($CC$3,0,0,'Données projet'!$E$12+1,1))-AVERAGE(OFFSET($H$3,0,0,'Données projet'!$E$12+1,1))</f>
        <v>212.33913923444732</v>
      </c>
      <c r="CE57" s="60">
        <f t="shared" si="40"/>
        <v>183.51194426094372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6.2</v>
      </c>
      <c r="CT57" s="13">
        <f>IF('Données projet'!$A$140&gt;35,CT56+CS57-DB56,IF(A57&lt;'Données projet'!$A$140,$CQ$205^A57,IF(A57='Données projet'!$A$140,'Données projet'!$B$140,CT56+CS57-DB56)))</f>
        <v>211.79999999999976</v>
      </c>
      <c r="CU57" s="18">
        <f>CT57*VLOOKUP('Données projet'!$B$13,Paramètres!$A$1:$I$89,3,0)*VLOOKUP('Données projet'!$B$13,Paramètres!$A$1:$I$89,5,0)</f>
        <v>185.0284799999998</v>
      </c>
      <c r="CV57" s="14">
        <f t="shared" si="41"/>
        <v>46.439130018745765</v>
      </c>
      <c r="CW57" s="22">
        <f t="shared" si="13"/>
        <v>403.13942078264853</v>
      </c>
      <c r="CX57" s="60">
        <f t="shared" si="14"/>
        <v>696.47275411598184</v>
      </c>
      <c r="CY57" s="60">
        <f ca="1">AVERAGE(OFFSET($CX$3,0,0,'Données projet'!$E$13+1,1))-AVERAGE(OFFSET($H$3,0,0,'Données projet'!$E$13+1,1))</f>
        <v>228.0393346366489</v>
      </c>
      <c r="CZ57" s="60">
        <f t="shared" si="42"/>
        <v>238.591781509447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8</v>
      </c>
      <c r="DO57" s="13">
        <f>IF('Données projet'!$A$166&gt;35,DO56+DN57-DW56,IF(A57&lt;'Données projet'!$A$166,$DL$205^A57,IF(A57='Données projet'!$A$166,'Données projet'!$B$166,DO56+DN57-DW56)))</f>
        <v>189</v>
      </c>
      <c r="DP57" s="18">
        <f>DO57*VLOOKUP('Données projet'!$B$14,Paramètres!$A$1:$I$89,3,0)*VLOOKUP('Données projet'!$B$14,Paramètres!$A$1:$I$89,5,0)</f>
        <v>171.00719999999998</v>
      </c>
      <c r="DQ57" s="14">
        <f t="shared" si="43"/>
        <v>43.315525267338089</v>
      </c>
      <c r="DR57" s="22">
        <f t="shared" si="16"/>
        <v>373.27874650728046</v>
      </c>
      <c r="DS57" s="60">
        <f t="shared" si="17"/>
        <v>666.61207984061377</v>
      </c>
      <c r="DT57" s="60">
        <f ca="1">AVERAGE(OFFSET($DS$3,0,0,'Données projet'!$E$14+1,1))-AVERAGE(OFFSET($H$3,0,0,'Données projet'!$E$14+1,1))</f>
        <v>303.73499739059076</v>
      </c>
      <c r="DU57" s="60">
        <f t="shared" si="44"/>
        <v>172.32171001882188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14.12</v>
      </c>
      <c r="EJ57" s="13">
        <f>IF('Données projet'!$A$192&gt;35,EJ56+EI57-ER56,IF(A57&lt;'Données projet'!$A$192,$EG$205^A57,IF(A57='Données projet'!$A$192,'Données projet'!$B$192,EJ56+EI57-ER56)))</f>
        <v>356.22000000000025</v>
      </c>
      <c r="EK57" s="18">
        <f>EJ57*VLOOKUP('Données projet'!$B$15,Paramètres!$A$1:$I$89,3,0)*VLOOKUP('Données projet'!$B$15,Paramètres!$A$1:$I$89,5,0)</f>
        <v>213.01956000000015</v>
      </c>
      <c r="EL57" s="14">
        <f t="shared" si="45"/>
        <v>52.594886266766075</v>
      </c>
      <c r="EM57" s="22">
        <f t="shared" si="19"/>
        <v>462.61182724795117</v>
      </c>
      <c r="EN57" s="60">
        <f t="shared" si="20"/>
        <v>755.94516058128443</v>
      </c>
      <c r="EO57" s="60">
        <f ca="1">AVERAGE(OFFSET($EN$3,0,0,'Données projet'!$E$15+1,1))-AVERAGE(OFFSET($H$3,0,0,'Données projet'!$E$15+1,1))</f>
        <v>269.94948820700841</v>
      </c>
      <c r="EP57" s="60">
        <f t="shared" si="46"/>
        <v>183.45158355135192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7.0192965490781658</v>
      </c>
      <c r="EX57" s="23">
        <f>EXP(-LN(2)/2)*EX56+(1-EXP(-LN(2)/2))/(LN(2)/2)*ER57*EU57*VLOOKUP('Données projet'!$B$15,Paramètres!$A$1:$I$89,3,0)*0.475*44/12</f>
        <v>1.3764725794630285E-3</v>
      </c>
      <c r="EY57" s="24">
        <f t="shared" si="21"/>
        <v>7.020673021657629</v>
      </c>
      <c r="EZ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8.7272727272727266</v>
      </c>
      <c r="FE57" s="13">
        <f>IF('Données projet'!$A$218&gt;35,FE56+FD57-FM56,IF(A57&lt;'Données projet'!$A$218,$FB$205^A57,IF(A57='Données projet'!$A$218,'Données projet'!$B$218,FE56+FD57-FM56)))</f>
        <v>163.63636363636357</v>
      </c>
      <c r="FF57" s="18">
        <f>FE57*VLOOKUP('Données projet'!$B$16,Paramètres!$A$1:$I$89,3,0)*VLOOKUP('Données projet'!$B$16,Paramètres!$A$1:$I$89,5,0)</f>
        <v>97.854545454545431</v>
      </c>
      <c r="FG57" s="14">
        <f t="shared" si="47"/>
        <v>26.450229215353271</v>
      </c>
      <c r="FH57" s="22">
        <f t="shared" si="22"/>
        <v>216.49748255007356</v>
      </c>
      <c r="FI57" s="60">
        <f t="shared" si="23"/>
        <v>509.8308158834069</v>
      </c>
      <c r="FJ57" s="60">
        <f ca="1">AVERAGE(OFFSET($FI$3,0,0,'Données projet'!$E$16+1,1))-AVERAGE(OFFSET($H$3,0,0,'Données projet'!$E$16+1,1))</f>
        <v>111.24788725253484</v>
      </c>
      <c r="FK57" s="60">
        <f t="shared" si="48"/>
        <v>82.434879813357327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projet'!$B$16,Paramètres!$A$1:$I$89,3,0)*0.475*44/12</f>
        <v>0</v>
      </c>
      <c r="FR57" s="23">
        <f>EXP(-LN(2)/25)*FR56+(1-EXP(-LN(2)/25))/(LN(2)/25)*Calculateur!FM57*Calculateur!FO57*VLOOKUP('Données projet'!$B$16,Paramètres!$A$1:$I$89,3,0)*0.475*44/12</f>
        <v>0</v>
      </c>
      <c r="FS57" s="23">
        <f>EXP(-LN(2)/2)*FS56+(1-EXP(-LN(2)/2))/(LN(2)/2)*FM57*FP57*VLOOKUP('Données projet'!$B$16,Paramètres!$A$1:$I$89,3,0)*0.475*44/12</f>
        <v>0</v>
      </c>
      <c r="FT57" s="24">
        <f t="shared" si="24"/>
        <v>0</v>
      </c>
      <c r="FU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17.600000000000001</v>
      </c>
      <c r="FZ57" s="13">
        <f>IF('Données projet'!$A$244&gt;35,FZ56+FY57-GH56,IF(A57&lt;'Données projet'!$A$244,$FW$205^A57,IF(A57='Données projet'!$A$244,'Données projet'!$B$244,FZ56+FY57-GH56)))</f>
        <v>561.60000000000014</v>
      </c>
      <c r="GA57" s="18">
        <f>FZ57*VLOOKUP('Données projet'!$B$17,Paramètres!$A$1:$I$89,3,0)*VLOOKUP('Données projet'!$B$17,Paramètres!$A$1:$I$89,5,0)</f>
        <v>248.2272000000001</v>
      </c>
      <c r="GB57" s="14">
        <f t="shared" si="49"/>
        <v>60.20616532763993</v>
      </c>
      <c r="GC57" s="22">
        <f t="shared" si="25"/>
        <v>537.188111278973</v>
      </c>
      <c r="GD57" s="60">
        <f t="shared" si="26"/>
        <v>830.52144461230637</v>
      </c>
      <c r="GE57" s="60">
        <f ca="1">AVERAGE(OFFSET($GD$3,0,0,'Données projet'!$E$17+1,1))-AVERAGE(OFFSET($H$3,0,0,'Données projet'!$E$17+1,1))</f>
        <v>323.56667371063662</v>
      </c>
      <c r="GF57" s="60">
        <f t="shared" si="50"/>
        <v>275.70373467723385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>
        <f>EXP(-LN(2)/35)*GL56+(1-EXP(-LN(2)/35))/(LN(2)/35)*GH57*GI57*VLOOKUP('Données projet'!$B$17,Paramètres!$A$1:$I$89,3,0)*0.475*44/12</f>
        <v>0</v>
      </c>
      <c r="GM57" s="23">
        <f>EXP(-LN(2)/25)*GM56+(1-EXP(-LN(2)/25))/(LN(2)/25)*Calculateur!GH57*Calculateur!GJ57*VLOOKUP('Données projet'!$B$17,Paramètres!$A$1:$I$89,3,0)*0.475*44/12</f>
        <v>0</v>
      </c>
      <c r="GN57" s="23">
        <f>EXP(-LN(2)/2)*GN56+(1-EXP(-LN(2)/2))/(LN(2)/2)*GH57*GK57*VLOOKUP('Données projet'!$B$17,Paramètres!$A$1:$I$89,3,0)*0.475*44/12</f>
        <v>0</v>
      </c>
      <c r="GO57" s="23">
        <f t="shared" si="27"/>
        <v>0</v>
      </c>
      <c r="GP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0" t="e">
        <f t="shared" si="29"/>
        <v>#N/A</v>
      </c>
      <c r="GZ57" s="60" t="e">
        <f ca="1">AVERAGE(OFFSET($GY$3,0,0,'Données projet'!$E$18+1,1))-AVERAGE(OFFSET($H$3,0,0,'Données projet'!$E$18+1,1))</f>
        <v>#N/A</v>
      </c>
      <c r="HA57" s="60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4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2">
        <f t="shared" si="32"/>
        <v>9.3136509212754071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13.14</v>
      </c>
      <c r="N58" s="14">
        <f>IF('Données projet'!$A$36&gt;35,N57+M58-V57,IF(A58&lt;'Données projet'!$A$36,$K$205^A58,IF(A58='Données projet'!$A$36,'Données projet'!$B$36,N57+M58-V57)))</f>
        <v>370.63999999999993</v>
      </c>
      <c r="O58" s="14">
        <f>N58*VLOOKUP('Données projet'!$B$9,Paramètres!$A$1:$I$89,3,0)*VLOOKUP('Données projet'!$B$9,Paramètres!$A$1:$I$89,5,0)</f>
        <v>221.64272</v>
      </c>
      <c r="P58" s="14">
        <f t="shared" si="33"/>
        <v>54.471768066609272</v>
      </c>
      <c r="Q58" s="22">
        <f t="shared" si="53"/>
        <v>480.89940004934442</v>
      </c>
      <c r="R58" s="60">
        <f t="shared" si="0"/>
        <v>774.23273338267768</v>
      </c>
      <c r="S58" s="60">
        <f ca="1">AVERAGE(OFFSET($R$3,0,0,'Données projet'!$E$9+1,1))-AVERAGE(OFFSET($H$3,0,0,'Données projet'!$E$9+1,1))</f>
        <v>235.63766249714581</v>
      </c>
      <c r="T58" s="60">
        <f t="shared" si="34"/>
        <v>231.3297293785277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6.9932928129491234</v>
      </c>
      <c r="AA58" s="23">
        <f>EXP(-LN(2)/25)*AA57+(1-EXP(-LN(2)/25))/(LN(2)/25)*Calculateur!V58*Calculateur!X58*VLOOKUP('Données projet'!$B$9,Paramètres!$A$1:$I$89,3,0)*0.475*44/12</f>
        <v>8.6444761710807629</v>
      </c>
      <c r="AB58" s="23">
        <f>EXP(-LN(2)/2)*AB57+(1-EXP(-LN(2)/2))/(LN(2)/2)*V58*Y58*VLOOKUP('Données projet'!$B$9,Paramètres!$A$1:$I$89,3,0)*0.475*44/12</f>
        <v>1.2278439904371884E-3</v>
      </c>
      <c r="AC58" s="24">
        <f t="shared" si="3"/>
        <v>15.638996828020323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197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197</v>
      </c>
      <c r="AJ58" s="14">
        <f>AI58*VLOOKUP('Données projet'!$B$10,Paramètres!$A$1:$I$89,3,0)*VLOOKUP('Données projet'!$B$10,Paramètres!$A$1:$I$89,5,0)</f>
        <v>199.75800000000004</v>
      </c>
      <c r="AK58" s="14">
        <f t="shared" si="35"/>
        <v>49.690979702964015</v>
      </c>
      <c r="AL58" s="22">
        <f t="shared" si="4"/>
        <v>434.45697298266236</v>
      </c>
      <c r="AM58" s="60">
        <f t="shared" si="5"/>
        <v>727.79030631599562</v>
      </c>
      <c r="AN58" s="60">
        <f ca="1">AVERAGE(OFFSET($AM$3,0,0,'Données projet'!$E$10+1,1))-AVERAGE(OFFSET($H$3,0,0,'Données projet'!$E$10+1,1))</f>
        <v>350.3652766444938</v>
      </c>
      <c r="AO58" s="60">
        <f t="shared" si="36"/>
        <v>197.04549436738586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6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197</v>
      </c>
      <c r="BB58" s="13">
        <f>VLOOKUP(A58,'Données projet'!$A$87:$I$107,9,0)</f>
        <v>8</v>
      </c>
      <c r="BC58" s="13">
        <f t="array" ref="BC58">INDEX(BB:BB,MIN(IF(ISNUMBER(BB58:BB254),ROW(BB58:BB254),"")))</f>
        <v>8</v>
      </c>
      <c r="BD58" s="13">
        <f>IF('Données projet'!$A$88&gt;35,BD57+BC58-BL57,IF(A58&lt;'Données projet'!$A$88,$BA$205^A58,IF(A58='Données projet'!$A$88,'Données projet'!$B$88,BD57+BC58-BL57)))</f>
        <v>197</v>
      </c>
      <c r="BE58" s="14">
        <f>BD58*VLOOKUP('Données projet'!$B$11,Paramètres!$A$1:$I$89,3,0)*VLOOKUP('Données projet'!$B$11,Paramètres!$A$1:$I$89,5,0)</f>
        <v>190.5384</v>
      </c>
      <c r="BF58" s="14">
        <f t="shared" si="37"/>
        <v>47.658965836673829</v>
      </c>
      <c r="BG58" s="22">
        <f t="shared" si="7"/>
        <v>414.86041216554025</v>
      </c>
      <c r="BH58" s="60">
        <f t="shared" si="8"/>
        <v>708.19374549887357</v>
      </c>
      <c r="BI58" s="60">
        <f ca="1">AVERAGE(OFFSET($BH$3,0,0,'Données projet'!$E$11+1,1))-AVERAGE(OFFSET($H$3,0,0,'Données projet'!$E$11+1,1))</f>
        <v>330.39429528665841</v>
      </c>
      <c r="BJ58" s="60">
        <f t="shared" si="38"/>
        <v>186.45728006007261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217.94871794871793</v>
      </c>
      <c r="BW58" s="13">
        <f>VLOOKUP(A58,'Données projet'!$A$113:$I$133,9,0)</f>
        <v>5.7692307692307683</v>
      </c>
      <c r="BX58" s="13">
        <f t="array" ref="BX58">INDEX(BW:BW,MIN(IF(ISNUMBER(BW58:BW254),ROW(BW58:BW254),"")))</f>
        <v>5.7692307692307683</v>
      </c>
      <c r="BY58" s="13">
        <f>IF('Données projet'!$A$114&gt;35,BY57+BX58-CG57,IF(A58&lt;'Données projet'!$A$114,$BV$205^A58,IF(A58='Données projet'!$A$114,'Données projet'!$B$114,BY57+BX58-CG57)))</f>
        <v>217.94871794871796</v>
      </c>
      <c r="BZ58" s="14">
        <f>BY58*VLOOKUP('Données projet'!$B$12,Paramètres!$A$1:$I$89,3,0)*VLOOKUP('Données projet'!$B$12,Paramètres!$A$1:$I$89,5,0)</f>
        <v>146.19999999999999</v>
      </c>
      <c r="CA58" s="14">
        <f t="shared" si="39"/>
        <v>37.713736580072478</v>
      </c>
      <c r="CB58" s="22">
        <f t="shared" si="10"/>
        <v>320.31642454362617</v>
      </c>
      <c r="CC58" s="60">
        <f t="shared" si="11"/>
        <v>613.64975787695948</v>
      </c>
      <c r="CD58" s="60">
        <f ca="1">AVERAGE(OFFSET($CC$3,0,0,'Données projet'!$E$12+1,1))-AVERAGE(OFFSET($H$3,0,0,'Données projet'!$E$12+1,1))</f>
        <v>212.33913923444732</v>
      </c>
      <c r="CE58" s="60">
        <f t="shared" si="40"/>
        <v>183.51194426094372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218</v>
      </c>
      <c r="CR58" s="13">
        <f>VLOOKUP(A58,'Données projet'!$A$139:$I$159,9,0)</f>
        <v>6.2</v>
      </c>
      <c r="CS58" s="13">
        <f t="array" ref="CS58">INDEX(CR:CR,MIN(IF(ISNUMBER(CR58:CR254),ROW(CR58:CR254),"")))</f>
        <v>6.2</v>
      </c>
      <c r="CT58" s="13">
        <f>IF('Données projet'!$A$140&gt;35,CT57+CS58-DB57,IF(A58&lt;'Données projet'!$A$140,$CQ$205^A58,IF(A58='Données projet'!$A$140,'Données projet'!$B$140,CT57+CS58-DB57)))</f>
        <v>217.99999999999974</v>
      </c>
      <c r="CU58" s="18">
        <f>CT58*VLOOKUP('Données projet'!$B$13,Paramètres!$A$1:$I$89,3,0)*VLOOKUP('Données projet'!$B$13,Paramètres!$A$1:$I$89,5,0)</f>
        <v>190.44479999999982</v>
      </c>
      <c r="CV58" s="14">
        <f t="shared" si="41"/>
        <v>47.638278428909189</v>
      </c>
      <c r="CW58" s="22">
        <f t="shared" si="13"/>
        <v>414.66136159701654</v>
      </c>
      <c r="CX58" s="60">
        <f t="shared" si="14"/>
        <v>707.99469493034985</v>
      </c>
      <c r="CY58" s="60">
        <f ca="1">AVERAGE(OFFSET($CX$3,0,0,'Données projet'!$E$13+1,1))-AVERAGE(OFFSET($H$3,0,0,'Données projet'!$E$13+1,1))</f>
        <v>228.0393346366489</v>
      </c>
      <c r="CZ58" s="60">
        <f t="shared" si="42"/>
        <v>238.591781509447</v>
      </c>
      <c r="DA58" s="16">
        <f>IF(ISNA(VLOOKUP(A58,'Données projet'!$A$139:$I$159,3,0)),0,VLOOKUP(A58,'Données projet'!$A$139:$I$159,3,0))</f>
        <v>4</v>
      </c>
      <c r="DB58" s="16">
        <f>IF(ISNA(VLOOKUP(A58,'Données projet'!$A$139:$I$159,4,0)),0,VLOOKUP(A58,'Données projet'!$A$139:$I$159,4,0))</f>
        <v>45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197</v>
      </c>
      <c r="DM58" s="13">
        <f>VLOOKUP(A58,'Données projet'!$A$165:$I$185,9,0)</f>
        <v>8</v>
      </c>
      <c r="DN58" s="13">
        <f t="array" ref="DN58">INDEX(DM:DM,MIN(IF(ISNUMBER(DM58:DM254),ROW(DM58:DM254),"")))</f>
        <v>8</v>
      </c>
      <c r="DO58" s="13">
        <f>IF('Données projet'!$A$166&gt;35,DO57+DN58-DW57,IF(A58&lt;'Données projet'!$A$166,$DL$205^A58,IF(A58='Données projet'!$A$166,'Données projet'!$B$166,DO57+DN58-DW57)))</f>
        <v>197</v>
      </c>
      <c r="DP58" s="18">
        <f>DO58*VLOOKUP('Données projet'!$B$14,Paramètres!$A$1:$I$89,3,0)*VLOOKUP('Données projet'!$B$14,Paramètres!$A$1:$I$89,5,0)</f>
        <v>178.2456</v>
      </c>
      <c r="DQ58" s="14">
        <f t="shared" si="43"/>
        <v>44.931642269910427</v>
      </c>
      <c r="DR58" s="22">
        <f t="shared" si="16"/>
        <v>388.70036362009404</v>
      </c>
      <c r="DS58" s="60">
        <f t="shared" si="17"/>
        <v>682.03369695342735</v>
      </c>
      <c r="DT58" s="60">
        <f ca="1">AVERAGE(OFFSET($DS$3,0,0,'Données projet'!$E$14+1,1))-AVERAGE(OFFSET($H$3,0,0,'Données projet'!$E$14+1,1))</f>
        <v>303.73499739059076</v>
      </c>
      <c r="DU58" s="60">
        <f t="shared" si="44"/>
        <v>172.32171001882188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14.12</v>
      </c>
      <c r="EJ58" s="13">
        <f>IF('Données projet'!$A$192&gt;35,EJ57+EI58-ER57,IF(A58&lt;'Données projet'!$A$192,$EG$205^A58,IF(A58='Données projet'!$A$192,'Données projet'!$B$192,EJ57+EI58-ER57)))</f>
        <v>370.34000000000026</v>
      </c>
      <c r="EK58" s="18">
        <f>EJ58*VLOOKUP('Données projet'!$B$15,Paramètres!$A$1:$I$89,3,0)*VLOOKUP('Données projet'!$B$15,Paramètres!$A$1:$I$89,5,0)</f>
        <v>221.46332000000015</v>
      </c>
      <c r="EL58" s="14">
        <f t="shared" si="45"/>
        <v>54.432808276273747</v>
      </c>
      <c r="EM58" s="22">
        <f t="shared" si="19"/>
        <v>480.51909008117696</v>
      </c>
      <c r="EN58" s="60">
        <f t="shared" si="20"/>
        <v>773.85242341451021</v>
      </c>
      <c r="EO58" s="60">
        <f ca="1">AVERAGE(OFFSET($EN$3,0,0,'Données projet'!$E$15+1,1))-AVERAGE(OFFSET($H$3,0,0,'Données projet'!$E$15+1,1))</f>
        <v>269.94948820700841</v>
      </c>
      <c r="EP58" s="60">
        <f t="shared" si="46"/>
        <v>183.45158355135192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6.8273535158148606</v>
      </c>
      <c r="EX58" s="23">
        <f>EXP(-LN(2)/2)*EX57+(1-EXP(-LN(2)/2))/(LN(2)/2)*ER58*EU58*VLOOKUP('Données projet'!$B$15,Paramètres!$A$1:$I$89,3,0)*0.475*44/12</f>
        <v>9.7331309505564636E-4</v>
      </c>
      <c r="EY58" s="24">
        <f t="shared" si="21"/>
        <v>6.8283268289099164</v>
      </c>
      <c r="EZ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8.7272727272727266</v>
      </c>
      <c r="FE58" s="13">
        <f>IF('Données projet'!$A$218&gt;35,FE57+FD58-FM57,IF(A58&lt;'Données projet'!$A$218,$FB$205^A58,IF(A58='Données projet'!$A$218,'Données projet'!$B$218,FE57+FD58-FM57)))</f>
        <v>172.36363636363629</v>
      </c>
      <c r="FF58" s="18">
        <f>FE58*VLOOKUP('Données projet'!$B$16,Paramètres!$A$1:$I$89,3,0)*VLOOKUP('Données projet'!$B$16,Paramètres!$A$1:$I$89,5,0)</f>
        <v>103.07345454545451</v>
      </c>
      <c r="FG58" s="14">
        <f t="shared" si="47"/>
        <v>27.692910715051308</v>
      </c>
      <c r="FH58" s="22">
        <f t="shared" si="22"/>
        <v>227.75141949538093</v>
      </c>
      <c r="FI58" s="60">
        <f t="shared" si="23"/>
        <v>521.08475282871427</v>
      </c>
      <c r="FJ58" s="60">
        <f ca="1">AVERAGE(OFFSET($FI$3,0,0,'Données projet'!$E$16+1,1))-AVERAGE(OFFSET($H$3,0,0,'Données projet'!$E$16+1,1))</f>
        <v>111.24788725253484</v>
      </c>
      <c r="FK58" s="60">
        <f t="shared" si="48"/>
        <v>82.434879813357327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projet'!$B$16,Paramètres!$A$1:$I$89,3,0)*0.475*44/12</f>
        <v>0</v>
      </c>
      <c r="FR58" s="23">
        <f>EXP(-LN(2)/25)*FR57+(1-EXP(-LN(2)/25))/(LN(2)/25)*Calculateur!FM58*Calculateur!FO58*VLOOKUP('Données projet'!$B$16,Paramètres!$A$1:$I$89,3,0)*0.475*44/12</f>
        <v>0</v>
      </c>
      <c r="FS58" s="23">
        <f>EXP(-LN(2)/2)*FS57+(1-EXP(-LN(2)/2))/(LN(2)/2)*FM58*FP58*VLOOKUP('Données projet'!$B$16,Paramètres!$A$1:$I$89,3,0)*0.475*44/12</f>
        <v>0</v>
      </c>
      <c r="FT58" s="24">
        <f t="shared" si="24"/>
        <v>0</v>
      </c>
      <c r="FU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17.600000000000001</v>
      </c>
      <c r="FZ58" s="13">
        <f>IF('Données projet'!$A$244&gt;35,FZ57+FY58-GH57,IF(A58&lt;'Données projet'!$A$244,$FW$205^A58,IF(A58='Données projet'!$A$244,'Données projet'!$B$244,FZ57+FY58-GH57)))</f>
        <v>579.20000000000016</v>
      </c>
      <c r="GA58" s="18">
        <f>FZ58*VLOOKUP('Données projet'!$B$17,Paramètres!$A$1:$I$89,3,0)*VLOOKUP('Données projet'!$B$17,Paramètres!$A$1:$I$89,5,0)</f>
        <v>256.0064000000001</v>
      </c>
      <c r="GB58" s="14">
        <f t="shared" si="49"/>
        <v>61.870338437443316</v>
      </c>
      <c r="GC58" s="22">
        <f t="shared" si="25"/>
        <v>553.6353194452139</v>
      </c>
      <c r="GD58" s="60">
        <f t="shared" si="26"/>
        <v>846.96865277854727</v>
      </c>
      <c r="GE58" s="60">
        <f ca="1">AVERAGE(OFFSET($GD$3,0,0,'Données projet'!$E$17+1,1))-AVERAGE(OFFSET($H$3,0,0,'Données projet'!$E$17+1,1))</f>
        <v>323.56667371063662</v>
      </c>
      <c r="GF58" s="60">
        <f t="shared" si="50"/>
        <v>275.70373467723385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>
        <f>EXP(-LN(2)/35)*GL57+(1-EXP(-LN(2)/35))/(LN(2)/35)*GH58*GI58*VLOOKUP('Données projet'!$B$17,Paramètres!$A$1:$I$89,3,0)*0.475*44/12</f>
        <v>0</v>
      </c>
      <c r="GM58" s="23">
        <f>EXP(-LN(2)/25)*GM57+(1-EXP(-LN(2)/25))/(LN(2)/25)*Calculateur!GH58*Calculateur!GJ58*VLOOKUP('Données projet'!$B$17,Paramètres!$A$1:$I$89,3,0)*0.475*44/12</f>
        <v>0</v>
      </c>
      <c r="GN58" s="23">
        <f>EXP(-LN(2)/2)*GN57+(1-EXP(-LN(2)/2))/(LN(2)/2)*GH58*GK58*VLOOKUP('Données projet'!$B$17,Paramètres!$A$1:$I$89,3,0)*0.475*44/12</f>
        <v>0</v>
      </c>
      <c r="GO58" s="23">
        <f t="shared" si="27"/>
        <v>0</v>
      </c>
      <c r="GP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0" t="e">
        <f t="shared" si="29"/>
        <v>#N/A</v>
      </c>
      <c r="GZ58" s="60" t="e">
        <f ca="1">AVERAGE(OFFSET($GY$3,0,0,'Données projet'!$E$18+1,1))-AVERAGE(OFFSET($H$3,0,0,'Données projet'!$E$18+1,1))</f>
        <v>#N/A</v>
      </c>
      <c r="HA58" s="60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4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2">
        <f t="shared" si="32"/>
        <v>9.4631216842413828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13.14</v>
      </c>
      <c r="N59" s="14">
        <f>IF('Données projet'!$A$36&gt;35,N58+M59-V58,IF(A59&lt;'Données projet'!$A$36,$K$205^A59,IF(A59='Données projet'!$A$36,'Données projet'!$B$36,N58+M59-V58)))</f>
        <v>383.77999999999992</v>
      </c>
      <c r="O59" s="14">
        <f>N59*VLOOKUP('Données projet'!$B$9,Paramètres!$A$1:$I$89,3,0)*VLOOKUP('Données projet'!$B$9,Paramètres!$A$1:$I$89,5,0)</f>
        <v>229.50043999999997</v>
      </c>
      <c r="P59" s="14">
        <f t="shared" si="33"/>
        <v>56.174651313961498</v>
      </c>
      <c r="Q59" s="22">
        <f t="shared" si="53"/>
        <v>497.55078403848285</v>
      </c>
      <c r="R59" s="60">
        <f t="shared" si="0"/>
        <v>790.88411737181616</v>
      </c>
      <c r="S59" s="60">
        <f ca="1">AVERAGE(OFFSET($R$3,0,0,'Données projet'!$E$9+1,1))-AVERAGE(OFFSET($H$3,0,0,'Données projet'!$E$9+1,1))</f>
        <v>235.63766249714581</v>
      </c>
      <c r="T59" s="60">
        <f t="shared" si="34"/>
        <v>231.3297293785277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6.8561586063746249</v>
      </c>
      <c r="AA59" s="23">
        <f>EXP(-LN(2)/25)*AA58+(1-EXP(-LN(2)/25))/(LN(2)/25)*Calculateur!V59*Calculateur!X59*VLOOKUP('Données projet'!$B$9,Paramètres!$A$1:$I$89,3,0)*0.475*44/12</f>
        <v>8.4080925155893151</v>
      </c>
      <c r="AB59" s="23">
        <f>EXP(-LN(2)/2)*AB58+(1-EXP(-LN(2)/2))/(LN(2)/2)*V59*Y59*VLOOKUP('Données projet'!$B$9,Paramètres!$A$1:$I$89,3,0)*0.475*44/12</f>
        <v>8.6821681187728632E-4</v>
      </c>
      <c r="AC59" s="24">
        <f t="shared" si="3"/>
        <v>15.265119338775818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7.6</v>
      </c>
      <c r="AI59" s="14">
        <f>IF('Données projet'!$A$62&gt;35,AI58+AH59-AQ58,IF(A59&lt;'Données projet'!$A$62,$AF$205^A59,IF(A59='Données projet'!$A$62,'Données projet'!$B$62,AI58+AH59-AQ58)))</f>
        <v>204.6</v>
      </c>
      <c r="AJ59" s="14">
        <f>AI59*VLOOKUP('Données projet'!$B$10,Paramètres!$A$1:$I$89,3,0)*VLOOKUP('Données projet'!$B$10,Paramètres!$A$1:$I$89,5,0)</f>
        <v>207.46440000000001</v>
      </c>
      <c r="AK59" s="14">
        <f t="shared" si="35"/>
        <v>51.381102169014063</v>
      </c>
      <c r="AL59" s="22">
        <f t="shared" si="4"/>
        <v>450.82258294436616</v>
      </c>
      <c r="AM59" s="60">
        <f t="shared" si="5"/>
        <v>744.15591627769948</v>
      </c>
      <c r="AN59" s="60">
        <f ca="1">AVERAGE(OFFSET($AM$3,0,0,'Données projet'!$E$10+1,1))-AVERAGE(OFFSET($H$3,0,0,'Données projet'!$E$10+1,1))</f>
        <v>350.3652766444938</v>
      </c>
      <c r="AO59" s="60">
        <f t="shared" si="36"/>
        <v>197.04549436738586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6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7.6</v>
      </c>
      <c r="BD59" s="13">
        <f>IF('Données projet'!$A$88&gt;35,BD58+BC59-BL58,IF(A59&lt;'Données projet'!$A$88,$BA$205^A59,IF(A59='Données projet'!$A$88,'Données projet'!$B$88,BD58+BC59-BL58)))</f>
        <v>204.6</v>
      </c>
      <c r="BE59" s="14">
        <f>BD59*VLOOKUP('Données projet'!$B$11,Paramètres!$A$1:$I$89,3,0)*VLOOKUP('Données projet'!$B$11,Paramètres!$A$1:$I$89,5,0)</f>
        <v>197.88911999999999</v>
      </c>
      <c r="BF59" s="14">
        <f t="shared" si="37"/>
        <v>49.279974103179534</v>
      </c>
      <c r="BG59" s="22">
        <f t="shared" si="7"/>
        <v>430.48617222970438</v>
      </c>
      <c r="BH59" s="60">
        <f t="shared" si="8"/>
        <v>723.81950556303764</v>
      </c>
      <c r="BI59" s="60">
        <f ca="1">AVERAGE(OFFSET($BH$3,0,0,'Données projet'!$E$11+1,1))-AVERAGE(OFFSET($H$3,0,0,'Données projet'!$E$11+1,1))</f>
        <v>330.39429528665841</v>
      </c>
      <c r="BJ59" s="60">
        <f t="shared" si="38"/>
        <v>186.45728006007261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5.3846153846153868</v>
      </c>
      <c r="BY59" s="13">
        <f>IF('Données projet'!$A$114&gt;35,BY58+BX59-CG58,IF(A59&lt;'Données projet'!$A$114,$BV$205^A59,IF(A59='Données projet'!$A$114,'Données projet'!$B$114,BY58+BX59-CG58)))</f>
        <v>223.33333333333334</v>
      </c>
      <c r="BZ59" s="14">
        <f>BY59*VLOOKUP('Données projet'!$B$12,Paramètres!$A$1:$I$89,3,0)*VLOOKUP('Données projet'!$B$12,Paramètres!$A$1:$I$89,5,0)</f>
        <v>149.81200000000001</v>
      </c>
      <c r="CA59" s="14">
        <f t="shared" si="39"/>
        <v>38.535858828351053</v>
      </c>
      <c r="CB59" s="22">
        <f t="shared" si="10"/>
        <v>328.03918745937807</v>
      </c>
      <c r="CC59" s="60">
        <f t="shared" si="11"/>
        <v>621.37252079271138</v>
      </c>
      <c r="CD59" s="60">
        <f ca="1">AVERAGE(OFFSET($CC$3,0,0,'Données projet'!$E$12+1,1))-AVERAGE(OFFSET($H$3,0,0,'Données projet'!$E$12+1,1))</f>
        <v>212.33913923444732</v>
      </c>
      <c r="CE59" s="60">
        <f t="shared" si="40"/>
        <v>183.51194426094372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5.2</v>
      </c>
      <c r="CT59" s="13">
        <f>IF('Données projet'!$A$140&gt;35,CT58+CS59-DB58,IF(A59&lt;'Données projet'!$A$140,$CQ$205^A59,IF(A59='Données projet'!$A$140,'Données projet'!$B$140,CT58+CS59-DB58)))</f>
        <v>178.19999999999973</v>
      </c>
      <c r="CU59" s="18">
        <f>CT59*VLOOKUP('Données projet'!$B$13,Paramètres!$A$1:$I$89,3,0)*VLOOKUP('Données projet'!$B$13,Paramètres!$A$1:$I$89,5,0)</f>
        <v>155.67551999999978</v>
      </c>
      <c r="CV59" s="14">
        <f t="shared" si="41"/>
        <v>39.865566884055028</v>
      </c>
      <c r="CW59" s="22">
        <f t="shared" si="13"/>
        <v>340.56739298972877</v>
      </c>
      <c r="CX59" s="60">
        <f t="shared" si="14"/>
        <v>633.90072632306214</v>
      </c>
      <c r="CY59" s="60">
        <f ca="1">AVERAGE(OFFSET($CX$3,0,0,'Données projet'!$E$13+1,1))-AVERAGE(OFFSET($H$3,0,0,'Données projet'!$E$13+1,1))</f>
        <v>228.0393346366489</v>
      </c>
      <c r="CZ59" s="60">
        <f t="shared" si="42"/>
        <v>238.591781509447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7.6</v>
      </c>
      <c r="DO59" s="13">
        <f>IF('Données projet'!$A$166&gt;35,DO58+DN59-DW58,IF(A59&lt;'Données projet'!$A$166,$DL$205^A59,IF(A59='Données projet'!$A$166,'Données projet'!$B$166,DO58+DN59-DW58)))</f>
        <v>204.6</v>
      </c>
      <c r="DP59" s="18">
        <f>DO59*VLOOKUP('Données projet'!$B$14,Paramètres!$A$1:$I$89,3,0)*VLOOKUP('Données projet'!$B$14,Paramètres!$A$1:$I$89,5,0)</f>
        <v>185.12207999999998</v>
      </c>
      <c r="DQ59" s="14">
        <f t="shared" si="43"/>
        <v>46.459887003478677</v>
      </c>
      <c r="DR59" s="22">
        <f t="shared" si="16"/>
        <v>403.33859253105862</v>
      </c>
      <c r="DS59" s="60">
        <f t="shared" si="17"/>
        <v>696.67192586439194</v>
      </c>
      <c r="DT59" s="60">
        <f ca="1">AVERAGE(OFFSET($DS$3,0,0,'Données projet'!$E$14+1,1))-AVERAGE(OFFSET($H$3,0,0,'Données projet'!$E$14+1,1))</f>
        <v>303.73499739059076</v>
      </c>
      <c r="DU59" s="60">
        <f t="shared" si="44"/>
        <v>172.32171001882188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14.12</v>
      </c>
      <c r="EJ59" s="13">
        <f>IF('Données projet'!$A$192&gt;35,EJ58+EI59-ER58,IF(A59&lt;'Données projet'!$A$192,$EG$205^A59,IF(A59='Données projet'!$A$192,'Données projet'!$B$192,EJ58+EI59-ER58)))</f>
        <v>384.46000000000026</v>
      </c>
      <c r="EK59" s="18">
        <f>EJ59*VLOOKUP('Données projet'!$B$15,Paramètres!$A$1:$I$89,3,0)*VLOOKUP('Données projet'!$B$15,Paramètres!$A$1:$I$89,5,0)</f>
        <v>229.90708000000018</v>
      </c>
      <c r="EL59" s="14">
        <f t="shared" si="45"/>
        <v>56.262589582193186</v>
      </c>
      <c r="EM59" s="22">
        <f t="shared" si="19"/>
        <v>498.41217452232013</v>
      </c>
      <c r="EN59" s="60">
        <f t="shared" si="20"/>
        <v>791.74550785565339</v>
      </c>
      <c r="EO59" s="60">
        <f ca="1">AVERAGE(OFFSET($EN$3,0,0,'Données projet'!$E$15+1,1))-AVERAGE(OFFSET($H$3,0,0,'Données projet'!$E$15+1,1))</f>
        <v>269.94948820700841</v>
      </c>
      <c r="EP59" s="60">
        <f t="shared" si="46"/>
        <v>183.45158355135192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6.6406591748899864</v>
      </c>
      <c r="EX59" s="23">
        <f>EXP(-LN(2)/2)*EX58+(1-EXP(-LN(2)/2))/(LN(2)/2)*ER59*EU59*VLOOKUP('Données projet'!$B$15,Paramètres!$A$1:$I$89,3,0)*0.475*44/12</f>
        <v>6.8823628973151434E-4</v>
      </c>
      <c r="EY59" s="24">
        <f t="shared" si="21"/>
        <v>6.6413474111797175</v>
      </c>
      <c r="EZ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8.7272727272727266</v>
      </c>
      <c r="FE59" s="13">
        <f>IF('Données projet'!$A$218&gt;35,FE58+FD59-FM58,IF(A59&lt;'Données projet'!$A$218,$FB$205^A59,IF(A59='Données projet'!$A$218,'Données projet'!$B$218,FE58+FD59-FM58)))</f>
        <v>181.09090909090901</v>
      </c>
      <c r="FF59" s="18">
        <f>FE59*VLOOKUP('Données projet'!$B$16,Paramètres!$A$1:$I$89,3,0)*VLOOKUP('Données projet'!$B$16,Paramètres!$A$1:$I$89,5,0)</f>
        <v>108.2923636363636</v>
      </c>
      <c r="FG59" s="14">
        <f t="shared" si="47"/>
        <v>28.928286503528717</v>
      </c>
      <c r="FH59" s="22">
        <f t="shared" si="22"/>
        <v>238.99263232697908</v>
      </c>
      <c r="FI59" s="60">
        <f t="shared" si="23"/>
        <v>532.32596566031236</v>
      </c>
      <c r="FJ59" s="60">
        <f ca="1">AVERAGE(OFFSET($FI$3,0,0,'Données projet'!$E$16+1,1))-AVERAGE(OFFSET($H$3,0,0,'Données projet'!$E$16+1,1))</f>
        <v>111.24788725253484</v>
      </c>
      <c r="FK59" s="60">
        <f t="shared" si="48"/>
        <v>82.434879813357327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projet'!$B$16,Paramètres!$A$1:$I$89,3,0)*0.475*44/12</f>
        <v>0</v>
      </c>
      <c r="FR59" s="23">
        <f>EXP(-LN(2)/25)*FR58+(1-EXP(-LN(2)/25))/(LN(2)/25)*Calculateur!FM59*Calculateur!FO59*VLOOKUP('Données projet'!$B$16,Paramètres!$A$1:$I$89,3,0)*0.475*44/12</f>
        <v>0</v>
      </c>
      <c r="FS59" s="23">
        <f>EXP(-LN(2)/2)*FS58+(1-EXP(-LN(2)/2))/(LN(2)/2)*FM59*FP59*VLOOKUP('Données projet'!$B$16,Paramètres!$A$1:$I$89,3,0)*0.475*44/12</f>
        <v>0</v>
      </c>
      <c r="FT59" s="24">
        <f t="shared" si="24"/>
        <v>0</v>
      </c>
      <c r="FU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17.600000000000001</v>
      </c>
      <c r="FZ59" s="13">
        <f>IF('Données projet'!$A$244&gt;35,FZ58+FY59-GH58,IF(A59&lt;'Données projet'!$A$244,$FW$205^A59,IF(A59='Données projet'!$A$244,'Données projet'!$B$244,FZ58+FY59-GH58)))</f>
        <v>596.80000000000018</v>
      </c>
      <c r="GA59" s="18">
        <f>FZ59*VLOOKUP('Données projet'!$B$17,Paramètres!$A$1:$I$89,3,0)*VLOOKUP('Données projet'!$B$17,Paramètres!$A$1:$I$89,5,0)</f>
        <v>263.7856000000001</v>
      </c>
      <c r="GB59" s="14">
        <f t="shared" si="49"/>
        <v>63.528634781372368</v>
      </c>
      <c r="GC59" s="22">
        <f t="shared" si="25"/>
        <v>570.07229224422372</v>
      </c>
      <c r="GD59" s="60">
        <f t="shared" si="26"/>
        <v>863.40562557755698</v>
      </c>
      <c r="GE59" s="60">
        <f ca="1">AVERAGE(OFFSET($GD$3,0,0,'Données projet'!$E$17+1,1))-AVERAGE(OFFSET($H$3,0,0,'Données projet'!$E$17+1,1))</f>
        <v>323.56667371063662</v>
      </c>
      <c r="GF59" s="60">
        <f t="shared" si="50"/>
        <v>275.70373467723385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>
        <f>EXP(-LN(2)/35)*GL58+(1-EXP(-LN(2)/35))/(LN(2)/35)*GH59*GI59*VLOOKUP('Données projet'!$B$17,Paramètres!$A$1:$I$89,3,0)*0.475*44/12</f>
        <v>0</v>
      </c>
      <c r="GM59" s="23">
        <f>EXP(-LN(2)/25)*GM58+(1-EXP(-LN(2)/25))/(LN(2)/25)*Calculateur!GH59*Calculateur!GJ59*VLOOKUP('Données projet'!$B$17,Paramètres!$A$1:$I$89,3,0)*0.475*44/12</f>
        <v>0</v>
      </c>
      <c r="GN59" s="23">
        <f>EXP(-LN(2)/2)*GN58+(1-EXP(-LN(2)/2))/(LN(2)/2)*GH59*GK59*VLOOKUP('Données projet'!$B$17,Paramètres!$A$1:$I$89,3,0)*0.475*44/12</f>
        <v>0</v>
      </c>
      <c r="GO59" s="23">
        <f t="shared" si="27"/>
        <v>0</v>
      </c>
      <c r="GP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0" t="e">
        <f t="shared" si="29"/>
        <v>#N/A</v>
      </c>
      <c r="GZ59" s="60" t="e">
        <f ca="1">AVERAGE(OFFSET($GY$3,0,0,'Données projet'!$E$18+1,1))-AVERAGE(OFFSET($H$3,0,0,'Données projet'!$E$18+1,1))</f>
        <v>#N/A</v>
      </c>
      <c r="HA59" s="60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4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2">
        <f t="shared" si="32"/>
        <v>9.6122820667787945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13.14</v>
      </c>
      <c r="N60" s="14">
        <f>IF('Données projet'!$A$36&gt;35,N59+M60-V59,IF(A60&lt;'Données projet'!$A$36,$K$205^A60,IF(A60='Données projet'!$A$36,'Données projet'!$B$36,N59+M60-V59)))</f>
        <v>396.9199999999999</v>
      </c>
      <c r="O60" s="14">
        <f>N60*VLOOKUP('Données projet'!$B$9,Paramètres!$A$1:$I$89,3,0)*VLOOKUP('Données projet'!$B$9,Paramètres!$A$1:$I$89,5,0)</f>
        <v>237.35815999999997</v>
      </c>
      <c r="P60" s="14">
        <f t="shared" si="33"/>
        <v>57.870760090028412</v>
      </c>
      <c r="Q60" s="22">
        <f t="shared" si="53"/>
        <v>514.19036915679942</v>
      </c>
      <c r="R60" s="60">
        <f t="shared" si="0"/>
        <v>807.52370249013279</v>
      </c>
      <c r="S60" s="60">
        <f ca="1">AVERAGE(OFFSET($R$3,0,0,'Données projet'!$E$9+1,1))-AVERAGE(OFFSET($H$3,0,0,'Données projet'!$E$9+1,1))</f>
        <v>235.63766249714581</v>
      </c>
      <c r="T60" s="60">
        <f t="shared" si="34"/>
        <v>231.3297293785277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6.7217135179474452</v>
      </c>
      <c r="AA60" s="23">
        <f>EXP(-LN(2)/25)*AA59+(1-EXP(-LN(2)/25))/(LN(2)/25)*Calculateur!V60*Calculateur!X60*VLOOKUP('Données projet'!$B$9,Paramètres!$A$1:$I$89,3,0)*0.475*44/12</f>
        <v>8.1781727835881561</v>
      </c>
      <c r="AB60" s="23">
        <f>EXP(-LN(2)/2)*AB59+(1-EXP(-LN(2)/2))/(LN(2)/2)*V60*Y60*VLOOKUP('Données projet'!$B$9,Paramètres!$A$1:$I$89,3,0)*0.475*44/12</f>
        <v>6.1392199521859419E-4</v>
      </c>
      <c r="AC60" s="24">
        <f t="shared" si="3"/>
        <v>14.900500223530821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7.6</v>
      </c>
      <c r="AI60" s="14">
        <f>IF('Données projet'!$A$62&gt;35,AI59+AH60-AQ59,IF(A60&lt;'Données projet'!$A$62,$AF$205^A60,IF(A60='Données projet'!$A$62,'Données projet'!$B$62,AI59+AH60-AQ59)))</f>
        <v>212.2</v>
      </c>
      <c r="AJ60" s="14">
        <f>AI60*VLOOKUP('Données projet'!$B$10,Paramètres!$A$1:$I$89,3,0)*VLOOKUP('Données projet'!$B$10,Paramètres!$A$1:$I$89,5,0)</f>
        <v>215.17080000000001</v>
      </c>
      <c r="AK60" s="14">
        <f t="shared" si="35"/>
        <v>53.063930965723607</v>
      </c>
      <c r="AL60" s="22">
        <f t="shared" si="4"/>
        <v>467.17548976530185</v>
      </c>
      <c r="AM60" s="60">
        <f t="shared" si="5"/>
        <v>760.50882309863516</v>
      </c>
      <c r="AN60" s="60">
        <f ca="1">AVERAGE(OFFSET($AM$3,0,0,'Données projet'!$E$10+1,1))-AVERAGE(OFFSET($H$3,0,0,'Données projet'!$E$10+1,1))</f>
        <v>350.3652766444938</v>
      </c>
      <c r="AO60" s="60">
        <f t="shared" si="36"/>
        <v>197.04549436738586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6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7.6</v>
      </c>
      <c r="BD60" s="13">
        <f>IF('Données projet'!$A$88&gt;35,BD59+BC60-BL59,IF(A60&lt;'Données projet'!$A$88,$BA$205^A60,IF(A60='Données projet'!$A$88,'Données projet'!$B$88,BD59+BC60-BL59)))</f>
        <v>212.2</v>
      </c>
      <c r="BE60" s="14">
        <f>BD60*VLOOKUP('Données projet'!$B$11,Paramètres!$A$1:$I$89,3,0)*VLOOKUP('Données projet'!$B$11,Paramètres!$A$1:$I$89,5,0)</f>
        <v>205.23983999999999</v>
      </c>
      <c r="BF60" s="14">
        <f t="shared" si="37"/>
        <v>50.893986960458122</v>
      </c>
      <c r="BG60" s="22">
        <f t="shared" si="7"/>
        <v>446.0997486227979</v>
      </c>
      <c r="BH60" s="60">
        <f t="shared" si="8"/>
        <v>739.43308195613122</v>
      </c>
      <c r="BI60" s="60">
        <f ca="1">AVERAGE(OFFSET($BH$3,0,0,'Données projet'!$E$11+1,1))-AVERAGE(OFFSET($H$3,0,0,'Données projet'!$E$11+1,1))</f>
        <v>330.39429528665841</v>
      </c>
      <c r="BJ60" s="60">
        <f t="shared" si="38"/>
        <v>186.45728006007261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5.3846153846153868</v>
      </c>
      <c r="BY60" s="13">
        <f>IF('Données projet'!$A$114&gt;35,BY59+BX60-CG59,IF(A60&lt;'Données projet'!$A$114,$BV$205^A60,IF(A60='Données projet'!$A$114,'Données projet'!$B$114,BY59+BX60-CG59)))</f>
        <v>228.71794871794873</v>
      </c>
      <c r="BZ60" s="14">
        <f>BY60*VLOOKUP('Données projet'!$B$12,Paramètres!$A$1:$I$89,3,0)*VLOOKUP('Données projet'!$B$12,Paramètres!$A$1:$I$89,5,0)</f>
        <v>153.42400000000001</v>
      </c>
      <c r="CA60" s="14">
        <f t="shared" si="39"/>
        <v>39.355676847161391</v>
      </c>
      <c r="CB60" s="22">
        <f t="shared" si="10"/>
        <v>335.75793717547276</v>
      </c>
      <c r="CC60" s="60">
        <f t="shared" si="11"/>
        <v>629.09127050880602</v>
      </c>
      <c r="CD60" s="60">
        <f ca="1">AVERAGE(OFFSET($CC$3,0,0,'Données projet'!$E$12+1,1))-AVERAGE(OFFSET($H$3,0,0,'Données projet'!$E$12+1,1))</f>
        <v>212.33913923444732</v>
      </c>
      <c r="CE60" s="60">
        <f t="shared" si="40"/>
        <v>183.51194426094372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5.2</v>
      </c>
      <c r="CT60" s="13">
        <f>IF('Données projet'!$A$140&gt;35,CT59+CS60-DB59,IF(A60&lt;'Données projet'!$A$140,$CQ$205^A60,IF(A60='Données projet'!$A$140,'Données projet'!$B$140,CT59+CS60-DB59)))</f>
        <v>183.39999999999972</v>
      </c>
      <c r="CU60" s="18">
        <f>CT60*VLOOKUP('Données projet'!$B$13,Paramètres!$A$1:$I$89,3,0)*VLOOKUP('Données projet'!$B$13,Paramètres!$A$1:$I$89,5,0)</f>
        <v>160.21823999999978</v>
      </c>
      <c r="CV60" s="14">
        <f t="shared" si="41"/>
        <v>40.891736142170181</v>
      </c>
      <c r="CW60" s="22">
        <f t="shared" si="13"/>
        <v>350.266541780946</v>
      </c>
      <c r="CX60" s="60">
        <f t="shared" si="14"/>
        <v>643.59987511427926</v>
      </c>
      <c r="CY60" s="60">
        <f ca="1">AVERAGE(OFFSET($CX$3,0,0,'Données projet'!$E$13+1,1))-AVERAGE(OFFSET($H$3,0,0,'Données projet'!$E$13+1,1))</f>
        <v>228.0393346366489</v>
      </c>
      <c r="CZ60" s="60">
        <f t="shared" si="42"/>
        <v>238.591781509447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7.6</v>
      </c>
      <c r="DO60" s="13">
        <f>IF('Données projet'!$A$166&gt;35,DO59+DN60-DW59,IF(A60&lt;'Données projet'!$A$166,$DL$205^A60,IF(A60='Données projet'!$A$166,'Données projet'!$B$166,DO59+DN60-DW59)))</f>
        <v>212.2</v>
      </c>
      <c r="DP60" s="18">
        <f>DO60*VLOOKUP('Données projet'!$B$14,Paramètres!$A$1:$I$89,3,0)*VLOOKUP('Données projet'!$B$14,Paramètres!$A$1:$I$89,5,0)</f>
        <v>191.99855999999997</v>
      </c>
      <c r="DQ60" s="14">
        <f t="shared" si="43"/>
        <v>47.981536645873334</v>
      </c>
      <c r="DR60" s="22">
        <f t="shared" si="16"/>
        <v>417.96533499156266</v>
      </c>
      <c r="DS60" s="60">
        <f t="shared" si="17"/>
        <v>711.29866832489597</v>
      </c>
      <c r="DT60" s="60">
        <f ca="1">AVERAGE(OFFSET($DS$3,0,0,'Données projet'!$E$14+1,1))-AVERAGE(OFFSET($H$3,0,0,'Données projet'!$E$14+1,1))</f>
        <v>303.73499739059076</v>
      </c>
      <c r="DU60" s="60">
        <f t="shared" si="44"/>
        <v>172.32171001882188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14.12</v>
      </c>
      <c r="EJ60" s="13">
        <f>IF('Données projet'!$A$192&gt;35,EJ59+EI60-ER59,IF(A60&lt;'Données projet'!$A$192,$EG$205^A60,IF(A60='Données projet'!$A$192,'Données projet'!$B$192,EJ59+EI60-ER59)))</f>
        <v>398.58000000000027</v>
      </c>
      <c r="EK60" s="18">
        <f>EJ60*VLOOKUP('Données projet'!$B$15,Paramètres!$A$1:$I$89,3,0)*VLOOKUP('Données projet'!$B$15,Paramètres!$A$1:$I$89,5,0)</f>
        <v>238.3508400000002</v>
      </c>
      <c r="EL60" s="14">
        <f t="shared" si="45"/>
        <v>58.084563408326787</v>
      </c>
      <c r="EM60" s="22">
        <f t="shared" si="19"/>
        <v>516.29166093616948</v>
      </c>
      <c r="EN60" s="60">
        <f t="shared" si="20"/>
        <v>809.62499426950285</v>
      </c>
      <c r="EO60" s="60">
        <f ca="1">AVERAGE(OFFSET($EN$3,0,0,'Données projet'!$E$15+1,1))-AVERAGE(OFFSET($H$3,0,0,'Données projet'!$E$15+1,1))</f>
        <v>269.94948820700841</v>
      </c>
      <c r="EP60" s="60">
        <f t="shared" si="46"/>
        <v>183.45158355135192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6.4590700005355313</v>
      </c>
      <c r="EX60" s="23">
        <f>EXP(-LN(2)/2)*EX59+(1-EXP(-LN(2)/2))/(LN(2)/2)*ER60*EU60*VLOOKUP('Données projet'!$B$15,Paramètres!$A$1:$I$89,3,0)*0.475*44/12</f>
        <v>4.8665654752782329E-4</v>
      </c>
      <c r="EY60" s="24">
        <f t="shared" si="21"/>
        <v>6.4595566570830592</v>
      </c>
      <c r="EZ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8.7272727272727266</v>
      </c>
      <c r="FE60" s="13">
        <f>IF('Données projet'!$A$218&gt;35,FE59+FD60-FM59,IF(A60&lt;'Données projet'!$A$218,$FB$205^A60,IF(A60='Données projet'!$A$218,'Données projet'!$B$218,FE59+FD60-FM59)))</f>
        <v>189.81818181818173</v>
      </c>
      <c r="FF60" s="18">
        <f>FE60*VLOOKUP('Données projet'!$B$16,Paramètres!$A$1:$I$89,3,0)*VLOOKUP('Données projet'!$B$16,Paramètres!$A$1:$I$89,5,0)</f>
        <v>113.51127272727268</v>
      </c>
      <c r="FG60" s="14">
        <f t="shared" si="47"/>
        <v>30.156748855957495</v>
      </c>
      <c r="FH60" s="22">
        <f t="shared" si="22"/>
        <v>250.22180425745921</v>
      </c>
      <c r="FI60" s="60">
        <f t="shared" si="23"/>
        <v>543.55513759079258</v>
      </c>
      <c r="FJ60" s="60">
        <f ca="1">AVERAGE(OFFSET($FI$3,0,0,'Données projet'!$E$16+1,1))-AVERAGE(OFFSET($H$3,0,0,'Données projet'!$E$16+1,1))</f>
        <v>111.24788725253484</v>
      </c>
      <c r="FK60" s="60">
        <f t="shared" si="48"/>
        <v>82.434879813357327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projet'!$B$16,Paramètres!$A$1:$I$89,3,0)*0.475*44/12</f>
        <v>0</v>
      </c>
      <c r="FR60" s="23">
        <f>EXP(-LN(2)/25)*FR59+(1-EXP(-LN(2)/25))/(LN(2)/25)*Calculateur!FM60*Calculateur!FO60*VLOOKUP('Données projet'!$B$16,Paramètres!$A$1:$I$89,3,0)*0.475*44/12</f>
        <v>0</v>
      </c>
      <c r="FS60" s="23">
        <f>EXP(-LN(2)/2)*FS59+(1-EXP(-LN(2)/2))/(LN(2)/2)*FM60*FP60*VLOOKUP('Données projet'!$B$16,Paramètres!$A$1:$I$89,3,0)*0.475*44/12</f>
        <v>0</v>
      </c>
      <c r="FT60" s="24">
        <f t="shared" si="24"/>
        <v>0</v>
      </c>
      <c r="FU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17.600000000000001</v>
      </c>
      <c r="FZ60" s="13">
        <f>IF('Données projet'!$A$244&gt;35,FZ59+FY60-GH59,IF(A60&lt;'Données projet'!$A$244,$FW$205^A60,IF(A60='Données projet'!$A$244,'Données projet'!$B$244,FZ59+FY60-GH59)))</f>
        <v>614.4000000000002</v>
      </c>
      <c r="GA60" s="18">
        <f>FZ60*VLOOKUP('Données projet'!$B$17,Paramètres!$A$1:$I$89,3,0)*VLOOKUP('Données projet'!$B$17,Paramètres!$A$1:$I$89,5,0)</f>
        <v>271.5648000000001</v>
      </c>
      <c r="GB60" s="14">
        <f t="shared" si="49"/>
        <v>65.181247567168526</v>
      </c>
      <c r="GC60" s="22">
        <f t="shared" si="25"/>
        <v>586.49936617948526</v>
      </c>
      <c r="GD60" s="60">
        <f t="shared" si="26"/>
        <v>879.83269951281864</v>
      </c>
      <c r="GE60" s="60">
        <f ca="1">AVERAGE(OFFSET($GD$3,0,0,'Données projet'!$E$17+1,1))-AVERAGE(OFFSET($H$3,0,0,'Données projet'!$E$17+1,1))</f>
        <v>323.56667371063662</v>
      </c>
      <c r="GF60" s="60">
        <f t="shared" si="50"/>
        <v>275.70373467723385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>
        <f>EXP(-LN(2)/35)*GL59+(1-EXP(-LN(2)/35))/(LN(2)/35)*GH60*GI60*VLOOKUP('Données projet'!$B$17,Paramètres!$A$1:$I$89,3,0)*0.475*44/12</f>
        <v>0</v>
      </c>
      <c r="GM60" s="23">
        <f>EXP(-LN(2)/25)*GM59+(1-EXP(-LN(2)/25))/(LN(2)/25)*Calculateur!GH60*Calculateur!GJ60*VLOOKUP('Données projet'!$B$17,Paramètres!$A$1:$I$89,3,0)*0.475*44/12</f>
        <v>0</v>
      </c>
      <c r="GN60" s="23">
        <f>EXP(-LN(2)/2)*GN59+(1-EXP(-LN(2)/2))/(LN(2)/2)*GH60*GK60*VLOOKUP('Données projet'!$B$17,Paramètres!$A$1:$I$89,3,0)*0.475*44/12</f>
        <v>0</v>
      </c>
      <c r="GO60" s="23">
        <f t="shared" si="27"/>
        <v>0</v>
      </c>
      <c r="GP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0" t="e">
        <f t="shared" si="29"/>
        <v>#N/A</v>
      </c>
      <c r="GZ60" s="60" t="e">
        <f ca="1">AVERAGE(OFFSET($GY$3,0,0,'Données projet'!$E$18+1,1))-AVERAGE(OFFSET($H$3,0,0,'Données projet'!$E$18+1,1))</f>
        <v>#N/A</v>
      </c>
      <c r="HA60" s="60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4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2">
        <f t="shared" si="32"/>
        <v>9.7611381424130617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13.14</v>
      </c>
      <c r="N61" s="14">
        <f>IF('Données projet'!$A$36&gt;35,N60+M61-V60,IF(A61&lt;'Données projet'!$A$36,$K$205^A61,IF(A61='Données projet'!$A$36,'Données projet'!$B$36,N60+M61-V60)))</f>
        <v>410.05999999999989</v>
      </c>
      <c r="O61" s="14">
        <f>N61*VLOOKUP('Données projet'!$B$9,Paramètres!$A$1:$I$89,3,0)*VLOOKUP('Données projet'!$B$9,Paramètres!$A$1:$I$89,5,0)</f>
        <v>245.21587999999994</v>
      </c>
      <c r="P61" s="14">
        <f t="shared" si="33"/>
        <v>59.560344378839609</v>
      </c>
      <c r="Q61" s="22">
        <f t="shared" si="53"/>
        <v>530.81859079314563</v>
      </c>
      <c r="R61" s="60">
        <f t="shared" si="0"/>
        <v>824.15192412647889</v>
      </c>
      <c r="S61" s="60">
        <f ca="1">AVERAGE(OFFSET($R$3,0,0,'Données projet'!$E$9+1,1))-AVERAGE(OFFSET($H$3,0,0,'Données projet'!$E$9+1,1))</f>
        <v>235.63766249714581</v>
      </c>
      <c r="T61" s="60">
        <f t="shared" si="34"/>
        <v>231.3297293785277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6.5899048157009164</v>
      </c>
      <c r="AA61" s="23">
        <f>EXP(-LN(2)/25)*AA60+(1-EXP(-LN(2)/25))/(LN(2)/25)*Calculateur!V61*Calculateur!X61*VLOOKUP('Données projet'!$B$9,Paramètres!$A$1:$I$89,3,0)*0.475*44/12</f>
        <v>7.9545402187495231</v>
      </c>
      <c r="AB61" s="23">
        <f>EXP(-LN(2)/2)*AB60+(1-EXP(-LN(2)/2))/(LN(2)/2)*V61*Y61*VLOOKUP('Données projet'!$B$9,Paramètres!$A$1:$I$89,3,0)*0.475*44/12</f>
        <v>4.3410840593864316E-4</v>
      </c>
      <c r="AC61" s="24">
        <f t="shared" si="3"/>
        <v>14.544879142856379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7.6</v>
      </c>
      <c r="AI61" s="14">
        <f>IF('Données projet'!$A$62&gt;35,AI60+AH61-AQ60,IF(A61&lt;'Données projet'!$A$62,$AF$205^A61,IF(A61='Données projet'!$A$62,'Données projet'!$B$62,AI60+AH61-AQ60)))</f>
        <v>219.79999999999998</v>
      </c>
      <c r="AJ61" s="14">
        <f>AI61*VLOOKUP('Données projet'!$B$10,Paramètres!$A$1:$I$89,3,0)*VLOOKUP('Données projet'!$B$10,Paramètres!$A$1:$I$89,5,0)</f>
        <v>222.87720000000002</v>
      </c>
      <c r="AK61" s="14">
        <f t="shared" si="35"/>
        <v>54.739757243913829</v>
      </c>
      <c r="AL61" s="22">
        <f t="shared" si="4"/>
        <v>483.51620053314986</v>
      </c>
      <c r="AM61" s="60">
        <f t="shared" si="5"/>
        <v>776.84953386648317</v>
      </c>
      <c r="AN61" s="60">
        <f ca="1">AVERAGE(OFFSET($AM$3,0,0,'Données projet'!$E$10+1,1))-AVERAGE(OFFSET($H$3,0,0,'Données projet'!$E$10+1,1))</f>
        <v>350.3652766444938</v>
      </c>
      <c r="AO61" s="60">
        <f t="shared" si="36"/>
        <v>197.04549436738586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6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7.6</v>
      </c>
      <c r="BD61" s="13">
        <f>IF('Données projet'!$A$88&gt;35,BD60+BC61-BL60,IF(A61&lt;'Données projet'!$A$88,$BA$205^A61,IF(A61='Données projet'!$A$88,'Données projet'!$B$88,BD60+BC61-BL60)))</f>
        <v>219.79999999999998</v>
      </c>
      <c r="BE61" s="14">
        <f>BD61*VLOOKUP('Données projet'!$B$11,Paramètres!$A$1:$I$89,3,0)*VLOOKUP('Données projet'!$B$11,Paramètres!$A$1:$I$89,5,0)</f>
        <v>212.59055999999998</v>
      </c>
      <c r="BF61" s="14">
        <f t="shared" si="37"/>
        <v>52.501283653296404</v>
      </c>
      <c r="BG61" s="22">
        <f t="shared" si="7"/>
        <v>461.70162769615786</v>
      </c>
      <c r="BH61" s="60">
        <f t="shared" si="8"/>
        <v>755.03496102949111</v>
      </c>
      <c r="BI61" s="60">
        <f ca="1">AVERAGE(OFFSET($BH$3,0,0,'Données projet'!$E$11+1,1))-AVERAGE(OFFSET($H$3,0,0,'Données projet'!$E$11+1,1))</f>
        <v>330.39429528665841</v>
      </c>
      <c r="BJ61" s="60">
        <f t="shared" si="38"/>
        <v>186.45728006007261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5.3846153846153868</v>
      </c>
      <c r="BY61" s="13">
        <f>IF('Données projet'!$A$114&gt;35,BY60+BX61-CG60,IF(A61&lt;'Données projet'!$A$114,$BV$205^A61,IF(A61='Données projet'!$A$114,'Données projet'!$B$114,BY60+BX61-CG60)))</f>
        <v>234.10256410256412</v>
      </c>
      <c r="BZ61" s="14">
        <f>BY61*VLOOKUP('Données projet'!$B$12,Paramètres!$A$1:$I$89,3,0)*VLOOKUP('Données projet'!$B$12,Paramètres!$A$1:$I$89,5,0)</f>
        <v>157.036</v>
      </c>
      <c r="CA61" s="14">
        <f t="shared" si="39"/>
        <v>40.17325112686504</v>
      </c>
      <c r="CB61" s="22">
        <f t="shared" si="10"/>
        <v>343.47277904595654</v>
      </c>
      <c r="CC61" s="60">
        <f t="shared" si="11"/>
        <v>636.80611237928986</v>
      </c>
      <c r="CD61" s="60">
        <f ca="1">AVERAGE(OFFSET($CC$3,0,0,'Données projet'!$E$12+1,1))-AVERAGE(OFFSET($H$3,0,0,'Données projet'!$E$12+1,1))</f>
        <v>212.33913923444732</v>
      </c>
      <c r="CE61" s="60">
        <f t="shared" si="40"/>
        <v>183.51194426094372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5.2</v>
      </c>
      <c r="CT61" s="13">
        <f>IF('Données projet'!$A$140&gt;35,CT60+CS61-DB60,IF(A61&lt;'Données projet'!$A$140,$CQ$205^A61,IF(A61='Données projet'!$A$140,'Données projet'!$B$140,CT60+CS61-DB60)))</f>
        <v>188.59999999999971</v>
      </c>
      <c r="CU61" s="18">
        <f>CT61*VLOOKUP('Données projet'!$B$13,Paramètres!$A$1:$I$89,3,0)*VLOOKUP('Données projet'!$B$13,Paramètres!$A$1:$I$89,5,0)</f>
        <v>164.76095999999976</v>
      </c>
      <c r="CV61" s="14">
        <f t="shared" si="41"/>
        <v>41.914523809719867</v>
      </c>
      <c r="CW61" s="22">
        <f t="shared" si="13"/>
        <v>359.95980096859495</v>
      </c>
      <c r="CX61" s="60">
        <f t="shared" si="14"/>
        <v>653.29313430192826</v>
      </c>
      <c r="CY61" s="60">
        <f ca="1">AVERAGE(OFFSET($CX$3,0,0,'Données projet'!$E$13+1,1))-AVERAGE(OFFSET($H$3,0,0,'Données projet'!$E$13+1,1))</f>
        <v>228.0393346366489</v>
      </c>
      <c r="CZ61" s="60">
        <f t="shared" si="42"/>
        <v>238.591781509447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7.6</v>
      </c>
      <c r="DO61" s="13">
        <f>IF('Données projet'!$A$166&gt;35,DO60+DN61-DW60,IF(A61&lt;'Données projet'!$A$166,$DL$205^A61,IF(A61='Données projet'!$A$166,'Données projet'!$B$166,DO60+DN61-DW60)))</f>
        <v>219.79999999999998</v>
      </c>
      <c r="DP61" s="18">
        <f>DO61*VLOOKUP('Données projet'!$B$14,Paramètres!$A$1:$I$89,3,0)*VLOOKUP('Données projet'!$B$14,Paramètres!$A$1:$I$89,5,0)</f>
        <v>198.87503999999998</v>
      </c>
      <c r="DQ61" s="14">
        <f t="shared" si="43"/>
        <v>49.496854461868558</v>
      </c>
      <c r="DR61" s="22">
        <f t="shared" si="16"/>
        <v>432.58104952108766</v>
      </c>
      <c r="DS61" s="60">
        <f t="shared" si="17"/>
        <v>725.91438285442098</v>
      </c>
      <c r="DT61" s="60">
        <f ca="1">AVERAGE(OFFSET($DS$3,0,0,'Données projet'!$E$14+1,1))-AVERAGE(OFFSET($H$3,0,0,'Données projet'!$E$14+1,1))</f>
        <v>303.73499739059076</v>
      </c>
      <c r="DU61" s="60">
        <f t="shared" si="44"/>
        <v>172.32171001882188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14.12</v>
      </c>
      <c r="EJ61" s="13">
        <f>IF('Données projet'!$A$192&gt;35,EJ60+EI61-ER60,IF(A61&lt;'Données projet'!$A$192,$EG$205^A61,IF(A61='Données projet'!$A$192,'Données projet'!$B$192,EJ60+EI61-ER60)))</f>
        <v>412.70000000000027</v>
      </c>
      <c r="EK61" s="18">
        <f>EJ61*VLOOKUP('Données projet'!$B$15,Paramètres!$A$1:$I$89,3,0)*VLOOKUP('Données projet'!$B$15,Paramètres!$A$1:$I$89,5,0)</f>
        <v>246.79460000000017</v>
      </c>
      <c r="EL61" s="14">
        <f t="shared" si="45"/>
        <v>59.899038030532552</v>
      </c>
      <c r="EM61" s="22">
        <f t="shared" si="19"/>
        <v>534.15808623651117</v>
      </c>
      <c r="EN61" s="60">
        <f t="shared" si="20"/>
        <v>827.49141956984454</v>
      </c>
      <c r="EO61" s="60">
        <f ca="1">AVERAGE(OFFSET($EN$3,0,0,'Données projet'!$E$15+1,1))-AVERAGE(OFFSET($H$3,0,0,'Données projet'!$E$15+1,1))</f>
        <v>269.94948820700841</v>
      </c>
      <c r="EP61" s="60">
        <f t="shared" si="46"/>
        <v>183.45158355135192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6.2824463917031581</v>
      </c>
      <c r="EX61" s="23">
        <f>EXP(-LN(2)/2)*EX60+(1-EXP(-LN(2)/2))/(LN(2)/2)*ER61*EU61*VLOOKUP('Données projet'!$B$15,Paramètres!$A$1:$I$89,3,0)*0.475*44/12</f>
        <v>3.4411814486575722E-4</v>
      </c>
      <c r="EY61" s="24">
        <f t="shared" si="21"/>
        <v>6.2827905098480237</v>
      </c>
      <c r="EZ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8.7272727272727266</v>
      </c>
      <c r="FE61" s="13">
        <f>IF('Données projet'!$A$218&gt;35,FE60+FD61-FM60,IF(A61&lt;'Données projet'!$A$218,$FB$205^A61,IF(A61='Données projet'!$A$218,'Données projet'!$B$218,FE60+FD61-FM60)))</f>
        <v>198.54545454545445</v>
      </c>
      <c r="FF61" s="18">
        <f>FE61*VLOOKUP('Données projet'!$B$16,Paramètres!$A$1:$I$89,3,0)*VLOOKUP('Données projet'!$B$16,Paramètres!$A$1:$I$89,5,0)</f>
        <v>118.73018181818176</v>
      </c>
      <c r="FG61" s="14">
        <f t="shared" si="47"/>
        <v>31.37865193745295</v>
      </c>
      <c r="FH61" s="22">
        <f t="shared" si="22"/>
        <v>261.43955212439715</v>
      </c>
      <c r="FI61" s="60">
        <f t="shared" si="23"/>
        <v>554.77288545773047</v>
      </c>
      <c r="FJ61" s="60">
        <f ca="1">AVERAGE(OFFSET($FI$3,0,0,'Données projet'!$E$16+1,1))-AVERAGE(OFFSET($H$3,0,0,'Données projet'!$E$16+1,1))</f>
        <v>111.24788725253484</v>
      </c>
      <c r="FK61" s="60">
        <f t="shared" si="48"/>
        <v>82.434879813357327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projet'!$B$16,Paramètres!$A$1:$I$89,3,0)*0.475*44/12</f>
        <v>0</v>
      </c>
      <c r="FR61" s="23">
        <f>EXP(-LN(2)/25)*FR60+(1-EXP(-LN(2)/25))/(LN(2)/25)*Calculateur!FM61*Calculateur!FO61*VLOOKUP('Données projet'!$B$16,Paramètres!$A$1:$I$89,3,0)*0.475*44/12</f>
        <v>0</v>
      </c>
      <c r="FS61" s="23">
        <f>EXP(-LN(2)/2)*FS60+(1-EXP(-LN(2)/2))/(LN(2)/2)*FM61*FP61*VLOOKUP('Données projet'!$B$16,Paramètres!$A$1:$I$89,3,0)*0.475*44/12</f>
        <v>0</v>
      </c>
      <c r="FT61" s="24">
        <f t="shared" si="24"/>
        <v>0</v>
      </c>
      <c r="FU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>
        <f>VLOOKUP(A61,'Données projet'!$A$243:$I$263,2,0)</f>
        <v>632</v>
      </c>
      <c r="FX61" s="13">
        <f>VLOOKUP(A61,'Données projet'!$A$243:$I$263,9,0)</f>
        <v>17.600000000000001</v>
      </c>
      <c r="FY61" s="13">
        <f t="array" ref="FY61">INDEX(FX:FX,MIN(IF(ISNUMBER(FX61:FX257),ROW(FX61:FX257),"")))</f>
        <v>17.600000000000001</v>
      </c>
      <c r="FZ61" s="13">
        <f>IF('Données projet'!$A$244&gt;35,FZ60+FY61-GH60,IF(A61&lt;'Données projet'!$A$244,$FW$205^A61,IF(A61='Données projet'!$A$244,'Données projet'!$B$244,FZ60+FY61-GH60)))</f>
        <v>632.00000000000023</v>
      </c>
      <c r="GA61" s="18">
        <f>FZ61*VLOOKUP('Données projet'!$B$17,Paramètres!$A$1:$I$89,3,0)*VLOOKUP('Données projet'!$B$17,Paramètres!$A$1:$I$89,5,0)</f>
        <v>279.34400000000011</v>
      </c>
      <c r="GB61" s="14">
        <f t="shared" si="49"/>
        <v>66.828358303818135</v>
      </c>
      <c r="GC61" s="22">
        <f t="shared" si="25"/>
        <v>602.91685737914997</v>
      </c>
      <c r="GD61" s="60">
        <f t="shared" si="26"/>
        <v>896.25019071248335</v>
      </c>
      <c r="GE61" s="60">
        <f ca="1">AVERAGE(OFFSET($GD$3,0,0,'Données projet'!$E$17+1,1))-AVERAGE(OFFSET($H$3,0,0,'Données projet'!$E$17+1,1))</f>
        <v>323.56667371063662</v>
      </c>
      <c r="GF61" s="60">
        <f t="shared" si="50"/>
        <v>275.70373467723385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>
        <f>EXP(-LN(2)/35)*GL60+(1-EXP(-LN(2)/35))/(LN(2)/35)*GH61*GI61*VLOOKUP('Données projet'!$B$17,Paramètres!$A$1:$I$89,3,0)*0.475*44/12</f>
        <v>0</v>
      </c>
      <c r="GM61" s="23">
        <f>EXP(-LN(2)/25)*GM60+(1-EXP(-LN(2)/25))/(LN(2)/25)*Calculateur!GH61*Calculateur!GJ61*VLOOKUP('Données projet'!$B$17,Paramètres!$A$1:$I$89,3,0)*0.475*44/12</f>
        <v>0</v>
      </c>
      <c r="GN61" s="23">
        <f>EXP(-LN(2)/2)*GN60+(1-EXP(-LN(2)/2))/(LN(2)/2)*GH61*GK61*VLOOKUP('Données projet'!$B$17,Paramètres!$A$1:$I$89,3,0)*0.475*44/12</f>
        <v>0</v>
      </c>
      <c r="GO61" s="23">
        <f t="shared" si="27"/>
        <v>0</v>
      </c>
      <c r="GP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0" t="e">
        <f t="shared" si="29"/>
        <v>#N/A</v>
      </c>
      <c r="GZ61" s="60" t="e">
        <f ca="1">AVERAGE(OFFSET($GY$3,0,0,'Données projet'!$E$18+1,1))-AVERAGE(OFFSET($H$3,0,0,'Données projet'!$E$18+1,1))</f>
        <v>#N/A</v>
      </c>
      <c r="HA61" s="60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4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2">
        <f t="shared" si="32"/>
        <v>9.9096957632381564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13.14</v>
      </c>
      <c r="N62" s="14">
        <f>IF('Données projet'!$A$36&gt;35,N61+M62-V61,IF(A62&lt;'Données projet'!$A$36,$K$205^A62,IF(A62='Données projet'!$A$36,'Données projet'!$B$36,N61+M62-V61)))</f>
        <v>423.19999999999987</v>
      </c>
      <c r="O62" s="14">
        <f>N62*VLOOKUP('Données projet'!$B$9,Paramètres!$A$1:$I$89,3,0)*VLOOKUP('Données projet'!$B$9,Paramètres!$A$1:$I$89,5,0)</f>
        <v>253.07359999999994</v>
      </c>
      <c r="P62" s="14">
        <f t="shared" si="33"/>
        <v>61.243637233758619</v>
      </c>
      <c r="Q62" s="22">
        <f t="shared" si="53"/>
        <v>547.43585484879611</v>
      </c>
      <c r="R62" s="60">
        <f t="shared" si="0"/>
        <v>840.76918818212948</v>
      </c>
      <c r="S62" s="60">
        <f ca="1">AVERAGE(OFFSET($R$3,0,0,'Données projet'!$E$9+1,1))-AVERAGE(OFFSET($H$3,0,0,'Données projet'!$E$9+1,1))</f>
        <v>235.63766249714581</v>
      </c>
      <c r="T62" s="60">
        <f t="shared" si="34"/>
        <v>231.3297293785277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6.4606808017100716</v>
      </c>
      <c r="AA62" s="23">
        <f>EXP(-LN(2)/25)*AA61+(1-EXP(-LN(2)/25))/(LN(2)/25)*Calculateur!V62*Calculateur!X62*VLOOKUP('Données projet'!$B$9,Paramètres!$A$1:$I$89,3,0)*0.475*44/12</f>
        <v>7.7370228981567273</v>
      </c>
      <c r="AB62" s="23">
        <f>EXP(-LN(2)/2)*AB61+(1-EXP(-LN(2)/2))/(LN(2)/2)*V62*Y62*VLOOKUP('Données projet'!$B$9,Paramètres!$A$1:$I$89,3,0)*0.475*44/12</f>
        <v>3.0696099760929709E-4</v>
      </c>
      <c r="AC62" s="24">
        <f t="shared" si="3"/>
        <v>14.198010660864409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7.6</v>
      </c>
      <c r="AI62" s="14">
        <f>IF('Données projet'!$A$62&gt;35,AI61+AH62-AQ61,IF(A62&lt;'Données projet'!$A$62,$AF$205^A62,IF(A62='Données projet'!$A$62,'Données projet'!$B$62,AI61+AH62-AQ61)))</f>
        <v>227.39999999999998</v>
      </c>
      <c r="AJ62" s="14">
        <f>AI62*VLOOKUP('Données projet'!$B$10,Paramètres!$A$1:$I$89,3,0)*VLOOKUP('Données projet'!$B$10,Paramètres!$A$1:$I$89,5,0)</f>
        <v>230.58360000000002</v>
      </c>
      <c r="AK62" s="14">
        <f t="shared" si="35"/>
        <v>56.408850878327968</v>
      </c>
      <c r="AL62" s="22">
        <f t="shared" si="4"/>
        <v>499.8451852797545</v>
      </c>
      <c r="AM62" s="60">
        <f t="shared" si="5"/>
        <v>793.17851861308782</v>
      </c>
      <c r="AN62" s="60">
        <f ca="1">AVERAGE(OFFSET($AM$3,0,0,'Données projet'!$E$10+1,1))-AVERAGE(OFFSET($H$3,0,0,'Données projet'!$E$10+1,1))</f>
        <v>350.3652766444938</v>
      </c>
      <c r="AO62" s="60">
        <f t="shared" si="36"/>
        <v>197.04549436738586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6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7.6</v>
      </c>
      <c r="BD62" s="13">
        <f>IF('Données projet'!$A$88&gt;35,BD61+BC62-BL61,IF(A62&lt;'Données projet'!$A$88,$BA$205^A62,IF(A62='Données projet'!$A$88,'Données projet'!$B$88,BD61+BC62-BL61)))</f>
        <v>227.39999999999998</v>
      </c>
      <c r="BE62" s="14">
        <f>BD62*VLOOKUP('Données projet'!$B$11,Paramètres!$A$1:$I$89,3,0)*VLOOKUP('Données projet'!$B$11,Paramètres!$A$1:$I$89,5,0)</f>
        <v>219.94127999999995</v>
      </c>
      <c r="BF62" s="14">
        <f t="shared" si="37"/>
        <v>54.102123020446285</v>
      </c>
      <c r="BG62" s="22">
        <f t="shared" si="7"/>
        <v>477.29226026061059</v>
      </c>
      <c r="BH62" s="60">
        <f t="shared" si="8"/>
        <v>770.6255935939439</v>
      </c>
      <c r="BI62" s="60">
        <f ca="1">AVERAGE(OFFSET($BH$3,0,0,'Données projet'!$E$11+1,1))-AVERAGE(OFFSET($H$3,0,0,'Données projet'!$E$11+1,1))</f>
        <v>330.39429528665841</v>
      </c>
      <c r="BJ62" s="60">
        <f t="shared" si="38"/>
        <v>186.45728006007261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5.3846153846153868</v>
      </c>
      <c r="BY62" s="13">
        <f>IF('Données projet'!$A$114&gt;35,BY61+BX62-CG61,IF(A62&lt;'Données projet'!$A$114,$BV$205^A62,IF(A62='Données projet'!$A$114,'Données projet'!$B$114,BY61+BX62-CG61)))</f>
        <v>239.4871794871795</v>
      </c>
      <c r="BZ62" s="14">
        <f>BY62*VLOOKUP('Données projet'!$B$12,Paramètres!$A$1:$I$89,3,0)*VLOOKUP('Données projet'!$B$12,Paramètres!$A$1:$I$89,5,0)</f>
        <v>160.648</v>
      </c>
      <c r="CA62" s="14">
        <f t="shared" si="39"/>
        <v>40.988639216339969</v>
      </c>
      <c r="CB62" s="22">
        <f t="shared" si="10"/>
        <v>351.1838133017921</v>
      </c>
      <c r="CC62" s="60">
        <f t="shared" si="11"/>
        <v>644.51714663512541</v>
      </c>
      <c r="CD62" s="60">
        <f ca="1">AVERAGE(OFFSET($CC$3,0,0,'Données projet'!$E$12+1,1))-AVERAGE(OFFSET($H$3,0,0,'Données projet'!$E$12+1,1))</f>
        <v>212.33913923444732</v>
      </c>
      <c r="CE62" s="60">
        <f t="shared" si="40"/>
        <v>183.51194426094372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5.2</v>
      </c>
      <c r="CT62" s="13">
        <f>IF('Données projet'!$A$140&gt;35,CT61+CS62-DB61,IF(A62&lt;'Données projet'!$A$140,$CQ$205^A62,IF(A62='Données projet'!$A$140,'Données projet'!$B$140,CT61+CS62-DB61)))</f>
        <v>193.7999999999997</v>
      </c>
      <c r="CU62" s="18">
        <f>CT62*VLOOKUP('Données projet'!$B$13,Paramètres!$A$1:$I$89,3,0)*VLOOKUP('Données projet'!$B$13,Paramètres!$A$1:$I$89,5,0)</f>
        <v>169.30367999999976</v>
      </c>
      <c r="CV62" s="14">
        <f t="shared" si="41"/>
        <v>42.934033834973178</v>
      </c>
      <c r="CW62" s="22">
        <f t="shared" si="13"/>
        <v>369.64735159591118</v>
      </c>
      <c r="CX62" s="60">
        <f t="shared" si="14"/>
        <v>662.98068492924449</v>
      </c>
      <c r="CY62" s="60">
        <f ca="1">AVERAGE(OFFSET($CX$3,0,0,'Données projet'!$E$13+1,1))-AVERAGE(OFFSET($H$3,0,0,'Données projet'!$E$13+1,1))</f>
        <v>228.0393346366489</v>
      </c>
      <c r="CZ62" s="60">
        <f t="shared" si="42"/>
        <v>238.591781509447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7.6</v>
      </c>
      <c r="DO62" s="13">
        <f>IF('Données projet'!$A$166&gt;35,DO61+DN62-DW61,IF(A62&lt;'Données projet'!$A$166,$DL$205^A62,IF(A62='Données projet'!$A$166,'Données projet'!$B$166,DO61+DN62-DW61)))</f>
        <v>227.39999999999998</v>
      </c>
      <c r="DP62" s="18">
        <f>DO62*VLOOKUP('Données projet'!$B$14,Paramètres!$A$1:$I$89,3,0)*VLOOKUP('Données projet'!$B$14,Paramètres!$A$1:$I$89,5,0)</f>
        <v>205.75151999999994</v>
      </c>
      <c r="DQ62" s="14">
        <f t="shared" si="43"/>
        <v>51.006084477955554</v>
      </c>
      <c r="DR62" s="22">
        <f t="shared" si="16"/>
        <v>447.18616113243911</v>
      </c>
      <c r="DS62" s="60">
        <f t="shared" si="17"/>
        <v>740.51949446577237</v>
      </c>
      <c r="DT62" s="60">
        <f ca="1">AVERAGE(OFFSET($DS$3,0,0,'Données projet'!$E$14+1,1))-AVERAGE(OFFSET($H$3,0,0,'Données projet'!$E$14+1,1))</f>
        <v>303.73499739059076</v>
      </c>
      <c r="DU62" s="60">
        <f t="shared" si="44"/>
        <v>172.32171001882188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14.12</v>
      </c>
      <c r="EJ62" s="13">
        <f>IF('Données projet'!$A$192&gt;35,EJ61+EI62-ER61,IF(A62&lt;'Données projet'!$A$192,$EG$205^A62,IF(A62='Données projet'!$A$192,'Données projet'!$B$192,EJ61+EI62-ER61)))</f>
        <v>426.82000000000028</v>
      </c>
      <c r="EK62" s="18">
        <f>EJ62*VLOOKUP('Données projet'!$B$15,Paramètres!$A$1:$I$89,3,0)*VLOOKUP('Données projet'!$B$15,Paramètres!$A$1:$I$89,5,0)</f>
        <v>255.2383600000002</v>
      </c>
      <c r="EL62" s="14">
        <f t="shared" si="45"/>
        <v>61.706299433596136</v>
      </c>
      <c r="EM62" s="22">
        <f t="shared" si="19"/>
        <v>552.01194851351363</v>
      </c>
      <c r="EN62" s="60">
        <f t="shared" si="20"/>
        <v>845.345281846847</v>
      </c>
      <c r="EO62" s="60">
        <f ca="1">AVERAGE(OFFSET($EN$3,0,0,'Données projet'!$E$15+1,1))-AVERAGE(OFFSET($H$3,0,0,'Données projet'!$E$15+1,1))</f>
        <v>269.94948820700841</v>
      </c>
      <c r="EP62" s="60">
        <f t="shared" si="46"/>
        <v>183.45158355135192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6.110652564742538</v>
      </c>
      <c r="EX62" s="23">
        <f>EXP(-LN(2)/2)*EX61+(1-EXP(-LN(2)/2))/(LN(2)/2)*ER62*EU62*VLOOKUP('Données projet'!$B$15,Paramètres!$A$1:$I$89,3,0)*0.475*44/12</f>
        <v>2.4332827376391167E-4</v>
      </c>
      <c r="EY62" s="24">
        <f t="shared" si="21"/>
        <v>6.110895893016302</v>
      </c>
      <c r="EZ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8.7272727272727266</v>
      </c>
      <c r="FE62" s="13">
        <f>IF('Données projet'!$A$218&gt;35,FE61+FD62-FM61,IF(A62&lt;'Données projet'!$A$218,$FB$205^A62,IF(A62='Données projet'!$A$218,'Données projet'!$B$218,FE61+FD62-FM61)))</f>
        <v>207.27272727272717</v>
      </c>
      <c r="FF62" s="18">
        <f>FE62*VLOOKUP('Données projet'!$B$16,Paramètres!$A$1:$I$89,3,0)*VLOOKUP('Données projet'!$B$16,Paramètres!$A$1:$I$89,5,0)</f>
        <v>123.94909090909086</v>
      </c>
      <c r="FG62" s="14">
        <f t="shared" si="47"/>
        <v>32.59431701721995</v>
      </c>
      <c r="FH62" s="22">
        <f t="shared" si="22"/>
        <v>272.64643547165798</v>
      </c>
      <c r="FI62" s="60">
        <f t="shared" si="23"/>
        <v>565.97976880499129</v>
      </c>
      <c r="FJ62" s="60">
        <f ca="1">AVERAGE(OFFSET($FI$3,0,0,'Données projet'!$E$16+1,1))-AVERAGE(OFFSET($H$3,0,0,'Données projet'!$E$16+1,1))</f>
        <v>111.24788725253484</v>
      </c>
      <c r="FK62" s="60">
        <f t="shared" si="48"/>
        <v>82.434879813357327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projet'!$B$16,Paramètres!$A$1:$I$89,3,0)*0.475*44/12</f>
        <v>0</v>
      </c>
      <c r="FR62" s="23">
        <f>EXP(-LN(2)/25)*FR61+(1-EXP(-LN(2)/25))/(LN(2)/25)*Calculateur!FM62*Calculateur!FO62*VLOOKUP('Données projet'!$B$16,Paramètres!$A$1:$I$89,3,0)*0.475*44/12</f>
        <v>0</v>
      </c>
      <c r="FS62" s="23">
        <f>EXP(-LN(2)/2)*FS61+(1-EXP(-LN(2)/2))/(LN(2)/2)*FM62*FP62*VLOOKUP('Données projet'!$B$16,Paramètres!$A$1:$I$89,3,0)*0.475*44/12</f>
        <v>0</v>
      </c>
      <c r="FT62" s="24">
        <f t="shared" si="24"/>
        <v>0</v>
      </c>
      <c r="FU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15.2</v>
      </c>
      <c r="FZ62" s="13">
        <f>IF('Données projet'!$A$244&gt;35,FZ61+FY62-GH61,IF(A62&lt;'Données projet'!$A$244,$FW$205^A62,IF(A62='Données projet'!$A$244,'Données projet'!$B$244,FZ61+FY62-GH61)))</f>
        <v>647.20000000000027</v>
      </c>
      <c r="GA62" s="18">
        <f>FZ62*VLOOKUP('Données projet'!$B$17,Paramètres!$A$1:$I$89,3,0)*VLOOKUP('Données projet'!$B$17,Paramètres!$A$1:$I$89,5,0)</f>
        <v>286.06240000000014</v>
      </c>
      <c r="GB62" s="14">
        <f t="shared" si="49"/>
        <v>68.246566729281085</v>
      </c>
      <c r="GC62" s="22">
        <f t="shared" si="25"/>
        <v>617.08811705349808</v>
      </c>
      <c r="GD62" s="60">
        <f t="shared" si="26"/>
        <v>910.42145038683134</v>
      </c>
      <c r="GE62" s="60">
        <f ca="1">AVERAGE(OFFSET($GD$3,0,0,'Données projet'!$E$17+1,1))-AVERAGE(OFFSET($H$3,0,0,'Données projet'!$E$17+1,1))</f>
        <v>323.56667371063662</v>
      </c>
      <c r="GF62" s="60">
        <f t="shared" si="50"/>
        <v>275.70373467723385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>
        <f>EXP(-LN(2)/35)*GL61+(1-EXP(-LN(2)/35))/(LN(2)/35)*GH62*GI62*VLOOKUP('Données projet'!$B$17,Paramètres!$A$1:$I$89,3,0)*0.475*44/12</f>
        <v>0</v>
      </c>
      <c r="GM62" s="23">
        <f>EXP(-LN(2)/25)*GM61+(1-EXP(-LN(2)/25))/(LN(2)/25)*Calculateur!GH62*Calculateur!GJ62*VLOOKUP('Données projet'!$B$17,Paramètres!$A$1:$I$89,3,0)*0.475*44/12</f>
        <v>0</v>
      </c>
      <c r="GN62" s="23">
        <f>EXP(-LN(2)/2)*GN61+(1-EXP(-LN(2)/2))/(LN(2)/2)*GH62*GK62*VLOOKUP('Données projet'!$B$17,Paramètres!$A$1:$I$89,3,0)*0.475*44/12</f>
        <v>0</v>
      </c>
      <c r="GO62" s="23">
        <f t="shared" si="27"/>
        <v>0</v>
      </c>
      <c r="GP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0" t="e">
        <f t="shared" si="29"/>
        <v>#N/A</v>
      </c>
      <c r="GZ62" s="60" t="e">
        <f ca="1">AVERAGE(OFFSET($GY$3,0,0,'Données projet'!$E$18+1,1))-AVERAGE(OFFSET($H$3,0,0,'Données projet'!$E$18+1,1))</f>
        <v>#N/A</v>
      </c>
      <c r="HA62" s="60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4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2">
        <f t="shared" si="32"/>
        <v>10.05796057160342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436.34</v>
      </c>
      <c r="L63" s="13">
        <f>VLOOKUP(A63,'Données projet'!$A$35:$I$55,9,0)</f>
        <v>13.14</v>
      </c>
      <c r="M63" s="13">
        <f t="array" ref="M63">INDEX(L:L,MIN(IF(ISNUMBER(L63:L259),ROW(L63:L259),"")))</f>
        <v>13.14</v>
      </c>
      <c r="N63" s="14">
        <f>IF('Données projet'!$A$36&gt;35,N62+M63-V62,IF(A63&lt;'Données projet'!$A$36,$K$205^A63,IF(A63='Données projet'!$A$36,'Données projet'!$B$36,N62+M63-V62)))</f>
        <v>436.33999999999986</v>
      </c>
      <c r="O63" s="14">
        <f>N63*VLOOKUP('Données projet'!$B$9,Paramètres!$A$1:$I$89,3,0)*VLOOKUP('Données projet'!$B$9,Paramètres!$A$1:$I$89,5,0)</f>
        <v>260.93131999999991</v>
      </c>
      <c r="P63" s="14">
        <f t="shared" si="33"/>
        <v>62.92085641383472</v>
      </c>
      <c r="Q63" s="22">
        <f t="shared" si="53"/>
        <v>564.04254058742856</v>
      </c>
      <c r="R63" s="60">
        <f t="shared" si="0"/>
        <v>857.37587392076193</v>
      </c>
      <c r="S63" s="60">
        <f ca="1">AVERAGE(OFFSET($R$3,0,0,'Données projet'!$E$9+1,1))-AVERAGE(OFFSET($H$3,0,0,'Données projet'!$E$9+1,1))</f>
        <v>235.63766249714581</v>
      </c>
      <c r="T63" s="60">
        <f t="shared" si="34"/>
        <v>231.3297293785277</v>
      </c>
      <c r="U63" s="16">
        <f>IF(ISNA(VLOOKUP(A63,'Données projet'!$A$35:$I$55,3,0)),0,VLOOKUP(A63,'Données projet'!$A$35:$I$55,3,0))</f>
        <v>7</v>
      </c>
      <c r="V63" s="16">
        <f>IF(ISNA(VLOOKUP(A63,'Données projet'!$A$35:$I$55,4,0)),0,VLOOKUP(A63,'Données projet'!$A$35:$I$55,4,0))</f>
        <v>436.34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6.3339907918147214</v>
      </c>
      <c r="AA63" s="23">
        <f>EXP(-LN(2)/25)*AA62+(1-EXP(-LN(2)/25))/(LN(2)/25)*Calculateur!V63*Calculateur!X63*VLOOKUP('Données projet'!$B$9,Paramètres!$A$1:$I$89,3,0)*0.475*44/12</f>
        <v>7.5254536001342807</v>
      </c>
      <c r="AB63" s="23">
        <f>EXP(-LN(2)/2)*AB62+(1-EXP(-LN(2)/2))/(LN(2)/2)*V63*Y63*VLOOKUP('Données projet'!$B$9,Paramètres!$A$1:$I$89,3,0)*0.475*44/12</f>
        <v>2.1705420296932158E-4</v>
      </c>
      <c r="AC63" s="24">
        <f t="shared" si="3"/>
        <v>13.85966144615197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235</v>
      </c>
      <c r="AG63" s="13">
        <f>VLOOKUP(A63,'Données projet'!$A$61:$I$81,9,0)</f>
        <v>7.6</v>
      </c>
      <c r="AH63" s="13">
        <f t="array" ref="AH63">INDEX(AG:AG,MIN(IF(ISNUMBER(AG63:AG259),ROW(AG63:AG259),"")))</f>
        <v>7.6</v>
      </c>
      <c r="AI63" s="14">
        <f>IF('Données projet'!$A$62&gt;35,AI62+AH63-AQ62,IF(A63&lt;'Données projet'!$A$62,$AF$205^A63,IF(A63='Données projet'!$A$62,'Données projet'!$B$62,AI62+AH63-AQ62)))</f>
        <v>234.99999999999997</v>
      </c>
      <c r="AJ63" s="14">
        <f>AI63*VLOOKUP('Données projet'!$B$10,Paramètres!$A$1:$I$89,3,0)*VLOOKUP('Données projet'!$B$10,Paramètres!$A$1:$I$89,5,0)</f>
        <v>238.29000000000002</v>
      </c>
      <c r="AK63" s="14">
        <f t="shared" si="35"/>
        <v>58.071462681001513</v>
      </c>
      <c r="AL63" s="22">
        <f t="shared" si="4"/>
        <v>516.16288083607753</v>
      </c>
      <c r="AM63" s="60">
        <f t="shared" si="5"/>
        <v>809.49621416941091</v>
      </c>
      <c r="AN63" s="60">
        <f ca="1">AVERAGE(OFFSET($AM$3,0,0,'Données projet'!$E$10+1,1))-AVERAGE(OFFSET($H$3,0,0,'Données projet'!$E$10+1,1))</f>
        <v>350.3652766444938</v>
      </c>
      <c r="AO63" s="60">
        <f t="shared" si="36"/>
        <v>197.04549436738586</v>
      </c>
      <c r="AP63" s="16">
        <f>IF(ISNA(VLOOKUP(A63,'Données projet'!$A$61:$I$81,3,0)),0,VLOOKUP(A63,'Données projet'!$A$61:$I$81,3,0))</f>
        <v>4</v>
      </c>
      <c r="AQ63" s="16">
        <f>IF(ISNA(VLOOKUP(A63,'Données projet'!$A$61:$I$81,4,0)),0,VLOOKUP(A63,'Données projet'!$A$61:$I$81,4,0))</f>
        <v>42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6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235</v>
      </c>
      <c r="BB63" s="13">
        <f>VLOOKUP(A63,'Données projet'!$A$87:$I$107,9,0)</f>
        <v>7.6</v>
      </c>
      <c r="BC63" s="13">
        <f t="array" ref="BC63">INDEX(BB:BB,MIN(IF(ISNUMBER(BB63:BB259),ROW(BB63:BB259),"")))</f>
        <v>7.6</v>
      </c>
      <c r="BD63" s="13">
        <f>IF('Données projet'!$A$88&gt;35,BD62+BC63-BL62,IF(A63&lt;'Données projet'!$A$88,$BA$205^A63,IF(A63='Données projet'!$A$88,'Données projet'!$B$88,BD62+BC63-BL62)))</f>
        <v>234.99999999999997</v>
      </c>
      <c r="BE63" s="14">
        <f>BD63*VLOOKUP('Données projet'!$B$11,Paramètres!$A$1:$I$89,3,0)*VLOOKUP('Données projet'!$B$11,Paramètres!$A$1:$I$89,5,0)</f>
        <v>227.292</v>
      </c>
      <c r="BF63" s="14">
        <f t="shared" si="37"/>
        <v>55.6967456174837</v>
      </c>
      <c r="BG63" s="22">
        <f t="shared" si="7"/>
        <v>492.87206528378402</v>
      </c>
      <c r="BH63" s="60">
        <f t="shared" si="8"/>
        <v>786.20539861711734</v>
      </c>
      <c r="BI63" s="60">
        <f ca="1">AVERAGE(OFFSET($BH$3,0,0,'Données projet'!$E$11+1,1))-AVERAGE(OFFSET($H$3,0,0,'Données projet'!$E$11+1,1))</f>
        <v>330.39429528665841</v>
      </c>
      <c r="BJ63" s="60">
        <f t="shared" si="38"/>
        <v>186.45728006007261</v>
      </c>
      <c r="BK63" s="16">
        <f>IF(ISNA(VLOOKUP(A63,'Données projet'!$A$87:$I$107,3,0)),0,VLOOKUP(A63,'Données projet'!$A$87:$I$107,3,0))</f>
        <v>4</v>
      </c>
      <c r="BL63" s="16">
        <f>IF(ISNA(VLOOKUP(A63,'Données projet'!$A$87:$I$107,4,0)),0,VLOOKUP(A63,'Données projet'!$A$87:$I$107,4,0))</f>
        <v>42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244.87179487179486</v>
      </c>
      <c r="BW63" s="13">
        <f>VLOOKUP(A63,'Données projet'!$A$113:$I$133,9,0)</f>
        <v>5.3846153846153868</v>
      </c>
      <c r="BX63" s="13">
        <f t="array" ref="BX63">INDEX(BW:BW,MIN(IF(ISNUMBER(BW63:BW259),ROW(BW63:BW259),"")))</f>
        <v>5.3846153846153868</v>
      </c>
      <c r="BY63" s="13">
        <f>IF('Données projet'!$A$114&gt;35,BY62+BX63-CG62,IF(A63&lt;'Données projet'!$A$114,$BV$205^A63,IF(A63='Données projet'!$A$114,'Données projet'!$B$114,BY62+BX63-CG62)))</f>
        <v>244.87179487179489</v>
      </c>
      <c r="BZ63" s="14">
        <f>BY63*VLOOKUP('Données projet'!$B$12,Paramètres!$A$1:$I$89,3,0)*VLOOKUP('Données projet'!$B$12,Paramètres!$A$1:$I$89,5,0)</f>
        <v>164.26000000000002</v>
      </c>
      <c r="CA63" s="14">
        <f t="shared" si="39"/>
        <v>41.801895928887475</v>
      </c>
      <c r="CB63" s="22">
        <f t="shared" si="10"/>
        <v>358.89113540947909</v>
      </c>
      <c r="CC63" s="60">
        <f t="shared" si="11"/>
        <v>652.22446874281241</v>
      </c>
      <c r="CD63" s="60">
        <f ca="1">AVERAGE(OFFSET($CC$3,0,0,'Données projet'!$E$12+1,1))-AVERAGE(OFFSET($H$3,0,0,'Données projet'!$E$12+1,1))</f>
        <v>212.33913923444732</v>
      </c>
      <c r="CE63" s="60">
        <f t="shared" si="40"/>
        <v>183.51194426094372</v>
      </c>
      <c r="CF63" s="16">
        <f>IF(ISNA(VLOOKUP(A63,'Données projet'!$A$113:$I$133,3,0)),0,VLOOKUP(A63,'Données projet'!$A$113:$I$133,3,0))</f>
        <v>5</v>
      </c>
      <c r="CG63" s="16">
        <f>IF(ISNA(VLOOKUP(A63,'Données projet'!$A$113:$I$133,4,0)),0,VLOOKUP(A63,'Données projet'!$A$113:$I$133,4,0))</f>
        <v>30.128205128205128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199</v>
      </c>
      <c r="CR63" s="13">
        <f>VLOOKUP(A63,'Données projet'!$A$139:$I$159,9,0)</f>
        <v>5.2</v>
      </c>
      <c r="CS63" s="13">
        <f t="array" ref="CS63">INDEX(CR:CR,MIN(IF(ISNUMBER(CR63:CR259),ROW(CR63:CR259),"")))</f>
        <v>5.2</v>
      </c>
      <c r="CT63" s="13">
        <f>IF('Données projet'!$A$140&gt;35,CT62+CS63-DB62,IF(A63&lt;'Données projet'!$A$140,$CQ$205^A63,IF(A63='Données projet'!$A$140,'Données projet'!$B$140,CT62+CS63-DB62)))</f>
        <v>198.99999999999969</v>
      </c>
      <c r="CU63" s="18">
        <f>CT63*VLOOKUP('Données projet'!$B$13,Paramètres!$A$1:$I$89,3,0)*VLOOKUP('Données projet'!$B$13,Paramètres!$A$1:$I$89,5,0)</f>
        <v>173.84639999999976</v>
      </c>
      <c r="CV63" s="14">
        <f t="shared" si="41"/>
        <v>43.950364270382217</v>
      </c>
      <c r="CW63" s="22">
        <f t="shared" si="13"/>
        <v>379.32936443758189</v>
      </c>
      <c r="CX63" s="60">
        <f t="shared" si="14"/>
        <v>672.6626977709152</v>
      </c>
      <c r="CY63" s="60">
        <f ca="1">AVERAGE(OFFSET($CX$3,0,0,'Données projet'!$E$13+1,1))-AVERAGE(OFFSET($H$3,0,0,'Données projet'!$E$13+1,1))</f>
        <v>228.0393346366489</v>
      </c>
      <c r="CZ63" s="60">
        <f t="shared" si="42"/>
        <v>238.591781509447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235</v>
      </c>
      <c r="DM63" s="13">
        <f>VLOOKUP(A63,'Données projet'!$A$165:$I$185,9,0)</f>
        <v>7.6</v>
      </c>
      <c r="DN63" s="13">
        <f t="array" ref="DN63">INDEX(DM:DM,MIN(IF(ISNUMBER(DM63:DM259),ROW(DM63:DM259),"")))</f>
        <v>7.6</v>
      </c>
      <c r="DO63" s="13">
        <f>IF('Données projet'!$A$166&gt;35,DO62+DN63-DW62,IF(A63&lt;'Données projet'!$A$166,$DL$205^A63,IF(A63='Données projet'!$A$166,'Données projet'!$B$166,DO62+DN63-DW62)))</f>
        <v>234.99999999999997</v>
      </c>
      <c r="DP63" s="18">
        <f>DO63*VLOOKUP('Données projet'!$B$14,Paramètres!$A$1:$I$89,3,0)*VLOOKUP('Données projet'!$B$14,Paramètres!$A$1:$I$89,5,0)</f>
        <v>212.62799999999999</v>
      </c>
      <c r="DQ63" s="14">
        <f t="shared" si="43"/>
        <v>52.509453483719035</v>
      </c>
      <c r="DR63" s="22">
        <f t="shared" si="16"/>
        <v>461.78106481747727</v>
      </c>
      <c r="DS63" s="60">
        <f t="shared" si="17"/>
        <v>755.11439815081053</v>
      </c>
      <c r="DT63" s="60">
        <f ca="1">AVERAGE(OFFSET($DS$3,0,0,'Données projet'!$E$14+1,1))-AVERAGE(OFFSET($H$3,0,0,'Données projet'!$E$14+1,1))</f>
        <v>303.73499739059076</v>
      </c>
      <c r="DU63" s="60">
        <f t="shared" si="44"/>
        <v>172.32171001882188</v>
      </c>
      <c r="DV63" s="16">
        <f>IF(ISNA(VLOOKUP(A63,'Données projet'!$A$165:$I$185,3,0)),0,VLOOKUP(A63,'Données projet'!$A$165:$I$185,3,0))</f>
        <v>4</v>
      </c>
      <c r="DW63" s="16">
        <f>IF(ISNA(VLOOKUP(A63,'Données projet'!$A$165:$I$185,4,0)),0,VLOOKUP(A63,'Données projet'!$A$165:$I$185,4,0))</f>
        <v>42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440.94</v>
      </c>
      <c r="EH63" s="13">
        <f>VLOOKUP(A63,'Données projet'!$A$191:$I$211,9,0)</f>
        <v>14.12</v>
      </c>
      <c r="EI63" s="13">
        <f t="array" ref="EI63">INDEX(EH:EH,MIN(IF(ISNUMBER(EH63:EH259),ROW(EH63:EH259),"")))</f>
        <v>14.12</v>
      </c>
      <c r="EJ63" s="13">
        <f>IF('Données projet'!$A$192&gt;35,EJ62+EI63-ER62,IF(A63&lt;'Données projet'!$A$192,$EG$205^A63,IF(A63='Données projet'!$A$192,'Données projet'!$B$192,EJ62+EI63-ER62)))</f>
        <v>440.94000000000028</v>
      </c>
      <c r="EK63" s="18">
        <f>EJ63*VLOOKUP('Données projet'!$B$15,Paramètres!$A$1:$I$89,3,0)*VLOOKUP('Données projet'!$B$15,Paramètres!$A$1:$I$89,5,0)</f>
        <v>263.68212000000022</v>
      </c>
      <c r="EL63" s="14">
        <f t="shared" si="45"/>
        <v>63.506613606650063</v>
      </c>
      <c r="EM63" s="22">
        <f t="shared" si="19"/>
        <v>569.85371103158263</v>
      </c>
      <c r="EN63" s="60">
        <f t="shared" si="20"/>
        <v>863.18704436491589</v>
      </c>
      <c r="EO63" s="60">
        <f ca="1">AVERAGE(OFFSET($EN$3,0,0,'Données projet'!$E$15+1,1))-AVERAGE(OFFSET($H$3,0,0,'Données projet'!$E$15+1,1))</f>
        <v>269.94948820700841</v>
      </c>
      <c r="EP63" s="60">
        <f t="shared" si="46"/>
        <v>183.45158355135192</v>
      </c>
      <c r="EQ63" s="16">
        <f>IF(ISNA(VLOOKUP(A63,'Données projet'!$A$191:$I$211,3,0)),0,VLOOKUP(A63,'Données projet'!$A$191:$I$211,3,0))</f>
        <v>6</v>
      </c>
      <c r="ER63" s="16">
        <f>IF(ISNA(VLOOKUP(A63,'Données projet'!$A$191:$I$211,4,0)),0,VLOOKUP(A63,'Données projet'!$A$191:$I$211,4,0))</f>
        <v>69.849999999999994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5.9435564490144008</v>
      </c>
      <c r="EX63" s="23">
        <f>EXP(-LN(2)/2)*EX62+(1-EXP(-LN(2)/2))/(LN(2)/2)*ER63*EU63*VLOOKUP('Données projet'!$B$15,Paramètres!$A$1:$I$89,3,0)*0.475*44/12</f>
        <v>1.7205907243287864E-4</v>
      </c>
      <c r="EY63" s="24">
        <f t="shared" si="21"/>
        <v>5.9437285080868341</v>
      </c>
      <c r="EZ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>
        <f>VLOOKUP(A63,'Données projet'!$A$217:$I$237,2,0)</f>
        <v>216</v>
      </c>
      <c r="FC63" s="13">
        <f>VLOOKUP(A63,'Données projet'!$A$217:$I$237,9,0)</f>
        <v>8.7272727272727266</v>
      </c>
      <c r="FD63" s="13">
        <f t="array" ref="FD63">INDEX(FC:FC,MIN(IF(ISNUMBER(FC63:FC259),ROW(FC63:FC259),"")))</f>
        <v>8.7272727272727266</v>
      </c>
      <c r="FE63" s="13">
        <f>IF('Données projet'!$A$218&gt;35,FE62+FD63-FM62,IF(A63&lt;'Données projet'!$A$218,$FB$205^A63,IF(A63='Données projet'!$A$218,'Données projet'!$B$218,FE62+FD63-FM62)))</f>
        <v>215.99999999999989</v>
      </c>
      <c r="FF63" s="18">
        <f>FE63*VLOOKUP('Données projet'!$B$16,Paramètres!$A$1:$I$89,3,0)*VLOOKUP('Données projet'!$B$16,Paramètres!$A$1:$I$89,5,0)</f>
        <v>129.16799999999995</v>
      </c>
      <c r="FG63" s="14">
        <f t="shared" si="47"/>
        <v>33.804036779774435</v>
      </c>
      <c r="FH63" s="22">
        <f t="shared" si="22"/>
        <v>283.84296405810704</v>
      </c>
      <c r="FI63" s="60">
        <f t="shared" si="23"/>
        <v>577.17629739144036</v>
      </c>
      <c r="FJ63" s="60">
        <f ca="1">AVERAGE(OFFSET($FI$3,0,0,'Données projet'!$E$16+1,1))-AVERAGE(OFFSET($H$3,0,0,'Données projet'!$E$16+1,1))</f>
        <v>111.24788725253484</v>
      </c>
      <c r="FK63" s="60">
        <f t="shared" si="48"/>
        <v>82.434879813357327</v>
      </c>
      <c r="FL63" s="16">
        <f>IF(ISNA(VLOOKUP(A63,'Données projet'!$A$217:$I$237,3,0)),0,VLOOKUP(A63,'Données projet'!$A$217:$I$237,3,0))</f>
        <v>4</v>
      </c>
      <c r="FM63" s="16">
        <f>IF(ISNA(VLOOKUP(A63,'Données projet'!$A$217:$I$237,4,0)),0,VLOOKUP(A63,'Données projet'!$A$217:$I$237,4,0))</f>
        <v>71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projet'!$B$16,Paramètres!$A$1:$I$89,3,0)*0.475*44/12</f>
        <v>0</v>
      </c>
      <c r="FR63" s="23">
        <f>EXP(-LN(2)/25)*FR62+(1-EXP(-LN(2)/25))/(LN(2)/25)*Calculateur!FM63*Calculateur!FO63*VLOOKUP('Données projet'!$B$16,Paramètres!$A$1:$I$89,3,0)*0.475*44/12</f>
        <v>0</v>
      </c>
      <c r="FS63" s="23">
        <f>EXP(-LN(2)/2)*FS62+(1-EXP(-LN(2)/2))/(LN(2)/2)*FM63*FP63*VLOOKUP('Données projet'!$B$16,Paramètres!$A$1:$I$89,3,0)*0.475*44/12</f>
        <v>0</v>
      </c>
      <c r="FT63" s="24">
        <f t="shared" si="24"/>
        <v>0</v>
      </c>
      <c r="FU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15.2</v>
      </c>
      <c r="FZ63" s="13">
        <f>IF('Données projet'!$A$244&gt;35,FZ62+FY63-GH62,IF(A63&lt;'Données projet'!$A$244,$FW$205^A63,IF(A63='Données projet'!$A$244,'Données projet'!$B$244,FZ62+FY63-GH62)))</f>
        <v>662.40000000000032</v>
      </c>
      <c r="GA63" s="18">
        <f>FZ63*VLOOKUP('Données projet'!$B$17,Paramètres!$A$1:$I$89,3,0)*VLOOKUP('Données projet'!$B$17,Paramètres!$A$1:$I$89,5,0)</f>
        <v>292.78080000000017</v>
      </c>
      <c r="GB63" s="14">
        <f t="shared" si="49"/>
        <v>69.660903052386288</v>
      </c>
      <c r="GC63" s="22">
        <f t="shared" si="25"/>
        <v>631.25263281623972</v>
      </c>
      <c r="GD63" s="60">
        <f t="shared" si="26"/>
        <v>924.5859661495731</v>
      </c>
      <c r="GE63" s="60">
        <f ca="1">AVERAGE(OFFSET($GD$3,0,0,'Données projet'!$E$17+1,1))-AVERAGE(OFFSET($H$3,0,0,'Données projet'!$E$17+1,1))</f>
        <v>323.56667371063662</v>
      </c>
      <c r="GF63" s="60">
        <f t="shared" si="50"/>
        <v>275.70373467723385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>
        <f>EXP(-LN(2)/35)*GL62+(1-EXP(-LN(2)/35))/(LN(2)/35)*GH63*GI63*VLOOKUP('Données projet'!$B$17,Paramètres!$A$1:$I$89,3,0)*0.475*44/12</f>
        <v>0</v>
      </c>
      <c r="GM63" s="23">
        <f>EXP(-LN(2)/25)*GM62+(1-EXP(-LN(2)/25))/(LN(2)/25)*Calculateur!GH63*Calculateur!GJ63*VLOOKUP('Données projet'!$B$17,Paramètres!$A$1:$I$89,3,0)*0.475*44/12</f>
        <v>0</v>
      </c>
      <c r="GN63" s="23">
        <f>EXP(-LN(2)/2)*GN62+(1-EXP(-LN(2)/2))/(LN(2)/2)*GH63*GK63*VLOOKUP('Données projet'!$B$17,Paramètres!$A$1:$I$89,3,0)*0.475*44/12</f>
        <v>0</v>
      </c>
      <c r="GO63" s="23">
        <f t="shared" si="27"/>
        <v>0</v>
      </c>
      <c r="GP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0" t="e">
        <f t="shared" si="29"/>
        <v>#N/A</v>
      </c>
      <c r="GZ63" s="60" t="e">
        <f ca="1">AVERAGE(OFFSET($GY$3,0,0,'Données projet'!$E$18+1,1))-AVERAGE(OFFSET($H$3,0,0,'Données projet'!$E$18+1,1))</f>
        <v>#N/A</v>
      </c>
      <c r="HA63" s="60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4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2">
        <f t="shared" si="32"/>
        <v>10.205938010999123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-1.1368683772161603E-13</v>
      </c>
      <c r="O64" s="14">
        <f>N64*VLOOKUP('Données projet'!$B$9,Paramètres!$A$1:$I$89,3,0)*VLOOKUP('Données projet'!$B$9,Paramètres!$A$1:$I$89,5,0)</f>
        <v>-6.7984728957526396E-14</v>
      </c>
      <c r="P64" s="14" t="e">
        <f t="shared" si="33"/>
        <v>#NUM!</v>
      </c>
      <c r="Q64" s="22" t="e">
        <f t="shared" si="53"/>
        <v>#NUM!</v>
      </c>
      <c r="R64" s="60" t="e">
        <f t="shared" si="0"/>
        <v>#NUM!</v>
      </c>
      <c r="S64" s="60">
        <f ca="1">AVERAGE(OFFSET($R$3,0,0,'Données projet'!$E$9+1,1))-AVERAGE(OFFSET($H$3,0,0,'Données projet'!$E$9+1,1))</f>
        <v>235.63766249714581</v>
      </c>
      <c r="T64" s="60">
        <f t="shared" si="34"/>
        <v>231.3297293785277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6.209785095740143</v>
      </c>
      <c r="AA64" s="23">
        <f>EXP(-LN(2)/25)*AA63+(1-EXP(-LN(2)/25))/(LN(2)/25)*Calculateur!V64*Calculateur!X64*VLOOKUP('Données projet'!$B$9,Paramètres!$A$1:$I$89,3,0)*0.475*44/12</f>
        <v>7.3196696756922037</v>
      </c>
      <c r="AB64" s="23">
        <f>EXP(-LN(2)/2)*AB63+(1-EXP(-LN(2)/2))/(LN(2)/2)*V64*Y64*VLOOKUP('Données projet'!$B$9,Paramètres!$A$1:$I$89,3,0)*0.475*44/12</f>
        <v>1.5348049880464855E-4</v>
      </c>
      <c r="AC64" s="24">
        <f t="shared" si="3"/>
        <v>13.529608251931151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IF('Données projet'!$A$62&gt;35,AI63+AH64-AQ63,IF(A64&lt;'Données projet'!$A$62,$AF$205^A64,IF(A64='Données projet'!$A$62,'Données projet'!$B$62,AI63+AH64-AQ63)))</f>
        <v>200.19999999999996</v>
      </c>
      <c r="AJ64" s="14">
        <f>AI64*VLOOKUP('Données projet'!$B$10,Paramètres!$A$1:$I$89,3,0)*VLOOKUP('Données projet'!$B$10,Paramètres!$A$1:$I$89,5,0)</f>
        <v>203.00279999999995</v>
      </c>
      <c r="AK64" s="14">
        <f t="shared" si="35"/>
        <v>50.403518824343074</v>
      </c>
      <c r="AL64" s="22">
        <f t="shared" si="4"/>
        <v>441.3493386190641</v>
      </c>
      <c r="AM64" s="60">
        <f t="shared" si="5"/>
        <v>734.68267195239741</v>
      </c>
      <c r="AN64" s="60">
        <f ca="1">AVERAGE(OFFSET($AM$3,0,0,'Données projet'!$E$10+1,1))-AVERAGE(OFFSET($H$3,0,0,'Données projet'!$E$10+1,1))</f>
        <v>350.3652766444938</v>
      </c>
      <c r="AO64" s="60">
        <f t="shared" si="36"/>
        <v>197.04549436738586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6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7.2</v>
      </c>
      <c r="BD64" s="13">
        <f>IF('Données projet'!$A$88&gt;35,BD63+BC64-BL63,IF(A64&lt;'Données projet'!$A$88,$BA$205^A64,IF(A64='Données projet'!$A$88,'Données projet'!$B$88,BD63+BC64-BL63)))</f>
        <v>200.19999999999996</v>
      </c>
      <c r="BE64" s="14">
        <f>BD64*VLOOKUP('Données projet'!$B$11,Paramètres!$A$1:$I$89,3,0)*VLOOKUP('Données projet'!$B$11,Paramètres!$A$1:$I$89,5,0)</f>
        <v>193.63343999999998</v>
      </c>
      <c r="BF64" s="14">
        <f t="shared" si="37"/>
        <v>48.342367086681229</v>
      </c>
      <c r="BG64" s="22">
        <f t="shared" si="7"/>
        <v>421.44119734263637</v>
      </c>
      <c r="BH64" s="60">
        <f t="shared" si="8"/>
        <v>714.77453067596969</v>
      </c>
      <c r="BI64" s="60">
        <f ca="1">AVERAGE(OFFSET($BH$3,0,0,'Données projet'!$E$11+1,1))-AVERAGE(OFFSET($H$3,0,0,'Données projet'!$E$11+1,1))</f>
        <v>330.39429528665841</v>
      </c>
      <c r="BJ64" s="60">
        <f t="shared" si="38"/>
        <v>186.45728006007261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5.1282051282051331</v>
      </c>
      <c r="BY64" s="13">
        <f>IF('Données projet'!$A$114&gt;35,BY63+BX64-CG63,IF(A64&lt;'Données projet'!$A$114,$BV$205^A64,IF(A64='Données projet'!$A$114,'Données projet'!$B$114,BY63+BX64-CG63)))</f>
        <v>219.87179487179489</v>
      </c>
      <c r="BZ64" s="14">
        <f>BY64*VLOOKUP('Données projet'!$B$12,Paramètres!$A$1:$I$89,3,0)*VLOOKUP('Données projet'!$B$12,Paramètres!$A$1:$I$89,5,0)</f>
        <v>147.49</v>
      </c>
      <c r="CA64" s="14">
        <f t="shared" si="39"/>
        <v>38.007620116459833</v>
      </c>
      <c r="CB64" s="22">
        <f t="shared" si="10"/>
        <v>323.07502170283419</v>
      </c>
      <c r="CC64" s="60">
        <f t="shared" si="11"/>
        <v>616.40835503616745</v>
      </c>
      <c r="CD64" s="60">
        <f ca="1">AVERAGE(OFFSET($CC$3,0,0,'Données projet'!$E$12+1,1))-AVERAGE(OFFSET($H$3,0,0,'Données projet'!$E$12+1,1))</f>
        <v>212.33913923444732</v>
      </c>
      <c r="CE64" s="60">
        <f t="shared" si="40"/>
        <v>183.51194426094372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4.5999999999999996</v>
      </c>
      <c r="CT64" s="13">
        <f>IF('Données projet'!$A$140&gt;35,CT63+CS64-DB63,IF(A64&lt;'Données projet'!$A$140,$CQ$205^A64,IF(A64='Données projet'!$A$140,'Données projet'!$B$140,CT63+CS64-DB63)))</f>
        <v>203.59999999999968</v>
      </c>
      <c r="CU64" s="18">
        <f>CT64*VLOOKUP('Données projet'!$B$13,Paramètres!$A$1:$I$89,3,0)*VLOOKUP('Données projet'!$B$13,Paramètres!$A$1:$I$89,5,0)</f>
        <v>177.86495999999974</v>
      </c>
      <c r="CV64" s="14">
        <f t="shared" si="41"/>
        <v>44.846849734353682</v>
      </c>
      <c r="CW64" s="22">
        <f t="shared" si="13"/>
        <v>387.88973528733226</v>
      </c>
      <c r="CX64" s="60">
        <f t="shared" si="14"/>
        <v>681.22306862066557</v>
      </c>
      <c r="CY64" s="60">
        <f ca="1">AVERAGE(OFFSET($CX$3,0,0,'Données projet'!$E$13+1,1))-AVERAGE(OFFSET($H$3,0,0,'Données projet'!$E$13+1,1))</f>
        <v>228.0393346366489</v>
      </c>
      <c r="CZ64" s="60">
        <f t="shared" si="42"/>
        <v>238.591781509447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7.2</v>
      </c>
      <c r="DO64" s="13">
        <f>IF('Données projet'!$A$166&gt;35,DO63+DN64-DW63,IF(A64&lt;'Données projet'!$A$166,$DL$205^A64,IF(A64='Données projet'!$A$166,'Données projet'!$B$166,DO63+DN64-DW63)))</f>
        <v>200.19999999999996</v>
      </c>
      <c r="DP64" s="18">
        <f>DO64*VLOOKUP('Données projet'!$B$14,Paramètres!$A$1:$I$89,3,0)*VLOOKUP('Données projet'!$B$14,Paramètres!$A$1:$I$89,5,0)</f>
        <v>181.14095999999995</v>
      </c>
      <c r="DQ64" s="14">
        <f t="shared" si="43"/>
        <v>45.575935320610945</v>
      </c>
      <c r="DR64" s="22">
        <f t="shared" si="16"/>
        <v>394.86525935006392</v>
      </c>
      <c r="DS64" s="60">
        <f t="shared" si="17"/>
        <v>688.19859268339724</v>
      </c>
      <c r="DT64" s="60">
        <f ca="1">AVERAGE(OFFSET($DS$3,0,0,'Données projet'!$E$14+1,1))-AVERAGE(OFFSET($H$3,0,0,'Données projet'!$E$14+1,1))</f>
        <v>303.73499739059076</v>
      </c>
      <c r="DU64" s="60">
        <f t="shared" si="44"/>
        <v>172.32171001882188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11.896999999999997</v>
      </c>
      <c r="EJ64" s="13">
        <f>IF('Données projet'!$A$192&gt;35,EJ63+EI64-ER63,IF(A64&lt;'Données projet'!$A$192,$EG$205^A64,IF(A64='Données projet'!$A$192,'Données projet'!$B$192,EJ63+EI64-ER63)))</f>
        <v>382.98700000000031</v>
      </c>
      <c r="EK64" s="18">
        <f>EJ64*VLOOKUP('Données projet'!$B$15,Paramètres!$A$1:$I$89,3,0)*VLOOKUP('Données projet'!$B$15,Paramètres!$A$1:$I$89,5,0)</f>
        <v>229.02622600000021</v>
      </c>
      <c r="EL64" s="14">
        <f t="shared" si="45"/>
        <v>56.072076861881655</v>
      </c>
      <c r="EM64" s="22">
        <f t="shared" si="19"/>
        <v>496.54621081777759</v>
      </c>
      <c r="EN64" s="60">
        <f t="shared" si="20"/>
        <v>789.87954415111085</v>
      </c>
      <c r="EO64" s="60">
        <f ca="1">AVERAGE(OFFSET($EN$3,0,0,'Données projet'!$E$15+1,1))-AVERAGE(OFFSET($H$3,0,0,'Données projet'!$E$15+1,1))</f>
        <v>269.94948820700841</v>
      </c>
      <c r="EP64" s="60">
        <f t="shared" si="46"/>
        <v>183.45158355135192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5.7810295853580529</v>
      </c>
      <c r="EX64" s="23">
        <f>EXP(-LN(2)/2)*EX63+(1-EXP(-LN(2)/2))/(LN(2)/2)*ER64*EU64*VLOOKUP('Données projet'!$B$15,Paramètres!$A$1:$I$89,3,0)*0.475*44/12</f>
        <v>1.2166413688195585E-4</v>
      </c>
      <c r="EY64" s="24">
        <f t="shared" si="21"/>
        <v>5.7811512494949344</v>
      </c>
      <c r="EZ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7.9230769230769234</v>
      </c>
      <c r="FE64" s="13">
        <f>IF('Données projet'!$A$218&gt;35,FE63+FD64-FM63,IF(A64&lt;'Données projet'!$A$218,$FB$205^A64,IF(A64='Données projet'!$A$218,'Données projet'!$B$218,FE63+FD64-FM63)))</f>
        <v>152.92307692307682</v>
      </c>
      <c r="FF64" s="18">
        <f>FE64*VLOOKUP('Données projet'!$B$16,Paramètres!$A$1:$I$89,3,0)*VLOOKUP('Données projet'!$B$16,Paramètres!$A$1:$I$89,5,0)</f>
        <v>91.447999999999936</v>
      </c>
      <c r="FG64" s="14">
        <f t="shared" si="47"/>
        <v>24.914122664624198</v>
      </c>
      <c r="FH64" s="22">
        <f t="shared" si="22"/>
        <v>202.6640303075537</v>
      </c>
      <c r="FI64" s="60">
        <f t="shared" si="23"/>
        <v>495.99736364088699</v>
      </c>
      <c r="FJ64" s="60">
        <f ca="1">AVERAGE(OFFSET($FI$3,0,0,'Données projet'!$E$16+1,1))-AVERAGE(OFFSET($H$3,0,0,'Données projet'!$E$16+1,1))</f>
        <v>111.24788725253484</v>
      </c>
      <c r="FK64" s="60">
        <f t="shared" si="48"/>
        <v>82.434879813357327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projet'!$B$16,Paramètres!$A$1:$I$89,3,0)*0.475*44/12</f>
        <v>0</v>
      </c>
      <c r="FR64" s="23">
        <f>EXP(-LN(2)/25)*FR63+(1-EXP(-LN(2)/25))/(LN(2)/25)*Calculateur!FM64*Calculateur!FO64*VLOOKUP('Données projet'!$B$16,Paramètres!$A$1:$I$89,3,0)*0.475*44/12</f>
        <v>0</v>
      </c>
      <c r="FS64" s="23">
        <f>EXP(-LN(2)/2)*FS63+(1-EXP(-LN(2)/2))/(LN(2)/2)*FM64*FP64*VLOOKUP('Données projet'!$B$16,Paramètres!$A$1:$I$89,3,0)*0.475*44/12</f>
        <v>0</v>
      </c>
      <c r="FT64" s="24">
        <f t="shared" si="24"/>
        <v>0</v>
      </c>
      <c r="FU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15.2</v>
      </c>
      <c r="FZ64" s="13">
        <f>IF('Données projet'!$A$244&gt;35,FZ63+FY64-GH63,IF(A64&lt;'Données projet'!$A$244,$FW$205^A64,IF(A64='Données projet'!$A$244,'Données projet'!$B$244,FZ63+FY64-GH63)))</f>
        <v>677.60000000000036</v>
      </c>
      <c r="GA64" s="18">
        <f>FZ64*VLOOKUP('Données projet'!$B$17,Paramètres!$A$1:$I$89,3,0)*VLOOKUP('Données projet'!$B$17,Paramètres!$A$1:$I$89,5,0)</f>
        <v>299.4992000000002</v>
      </c>
      <c r="GB64" s="14">
        <f t="shared" si="49"/>
        <v>71.071466353381297</v>
      </c>
      <c r="GC64" s="22">
        <f t="shared" si="25"/>
        <v>645.41057723213942</v>
      </c>
      <c r="GD64" s="60">
        <f t="shared" si="26"/>
        <v>938.74391056547279</v>
      </c>
      <c r="GE64" s="60">
        <f ca="1">AVERAGE(OFFSET($GD$3,0,0,'Données projet'!$E$17+1,1))-AVERAGE(OFFSET($H$3,0,0,'Données projet'!$E$17+1,1))</f>
        <v>323.56667371063662</v>
      </c>
      <c r="GF64" s="60">
        <f t="shared" si="50"/>
        <v>275.70373467723385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>
        <f>EXP(-LN(2)/35)*GL63+(1-EXP(-LN(2)/35))/(LN(2)/35)*GH64*GI64*VLOOKUP('Données projet'!$B$17,Paramètres!$A$1:$I$89,3,0)*0.475*44/12</f>
        <v>0</v>
      </c>
      <c r="GM64" s="23">
        <f>EXP(-LN(2)/25)*GM63+(1-EXP(-LN(2)/25))/(LN(2)/25)*Calculateur!GH64*Calculateur!GJ64*VLOOKUP('Données projet'!$B$17,Paramètres!$A$1:$I$89,3,0)*0.475*44/12</f>
        <v>0</v>
      </c>
      <c r="GN64" s="23">
        <f>EXP(-LN(2)/2)*GN63+(1-EXP(-LN(2)/2))/(LN(2)/2)*GH64*GK64*VLOOKUP('Données projet'!$B$17,Paramètres!$A$1:$I$89,3,0)*0.475*44/12</f>
        <v>0</v>
      </c>
      <c r="GO64" s="23">
        <f t="shared" si="27"/>
        <v>0</v>
      </c>
      <c r="GP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0" t="e">
        <f t="shared" si="29"/>
        <v>#N/A</v>
      </c>
      <c r="GZ64" s="60" t="e">
        <f ca="1">AVERAGE(OFFSET($GY$3,0,0,'Données projet'!$E$18+1,1))-AVERAGE(OFFSET($H$3,0,0,'Données projet'!$E$18+1,1))</f>
        <v>#N/A</v>
      </c>
      <c r="HA64" s="60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4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2">
        <f t="shared" si="32"/>
        <v>10.353633336208009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-1.1368683772161603E-13</v>
      </c>
      <c r="O65" s="14">
        <f>N65*VLOOKUP('Données projet'!$B$9,Paramètres!$A$1:$I$89,3,0)*VLOOKUP('Données projet'!$B$9,Paramètres!$A$1:$I$89,5,0)</f>
        <v>-6.7984728957526396E-14</v>
      </c>
      <c r="P65" s="14" t="e">
        <f t="shared" si="33"/>
        <v>#NUM!</v>
      </c>
      <c r="Q65" s="22" t="e">
        <f t="shared" si="53"/>
        <v>#NUM!</v>
      </c>
      <c r="R65" s="60" t="e">
        <f t="shared" si="0"/>
        <v>#NUM!</v>
      </c>
      <c r="S65" s="60">
        <f ca="1">AVERAGE(OFFSET($R$3,0,0,'Données projet'!$E$9+1,1))-AVERAGE(OFFSET($H$3,0,0,'Données projet'!$E$9+1,1))</f>
        <v>235.63766249714581</v>
      </c>
      <c r="T65" s="60">
        <f t="shared" si="34"/>
        <v>231.3297293785277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6.0880149976075932</v>
      </c>
      <c r="AA65" s="23">
        <f>EXP(-LN(2)/25)*AA64+(1-EXP(-LN(2)/25))/(LN(2)/25)*Calculateur!V65*Calculateur!X65*VLOOKUP('Données projet'!$B$9,Paramètres!$A$1:$I$89,3,0)*0.475*44/12</f>
        <v>7.1195129234857015</v>
      </c>
      <c r="AB65" s="23">
        <f>EXP(-LN(2)/2)*AB64+(1-EXP(-LN(2)/2))/(LN(2)/2)*V65*Y65*VLOOKUP('Données projet'!$B$9,Paramètres!$A$1:$I$89,3,0)*0.475*44/12</f>
        <v>1.0852710148466079E-4</v>
      </c>
      <c r="AC65" s="24">
        <f t="shared" si="3"/>
        <v>13.20763644819478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IF('Données projet'!$A$62&gt;35,AI64+AH65-AQ64,IF(A65&lt;'Données projet'!$A$62,$AF$205^A65,IF(A65='Données projet'!$A$62,'Données projet'!$B$62,AI64+AH65-AQ64)))</f>
        <v>207.39999999999995</v>
      </c>
      <c r="AJ65" s="14">
        <f>AI65*VLOOKUP('Données projet'!$B$10,Paramètres!$A$1:$I$89,3,0)*VLOOKUP('Données projet'!$B$10,Paramètres!$A$1:$I$89,5,0)</f>
        <v>210.30359999999996</v>
      </c>
      <c r="AK65" s="14">
        <f t="shared" si="35"/>
        <v>52.001924357524459</v>
      </c>
      <c r="AL65" s="22">
        <f t="shared" si="4"/>
        <v>456.84878825602163</v>
      </c>
      <c r="AM65" s="60">
        <f t="shared" si="5"/>
        <v>750.18212158935489</v>
      </c>
      <c r="AN65" s="60">
        <f ca="1">AVERAGE(OFFSET($AM$3,0,0,'Données projet'!$E$10+1,1))-AVERAGE(OFFSET($H$3,0,0,'Données projet'!$E$10+1,1))</f>
        <v>350.3652766444938</v>
      </c>
      <c r="AO65" s="60">
        <f t="shared" si="36"/>
        <v>197.04549436738586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6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7.2</v>
      </c>
      <c r="BD65" s="13">
        <f>IF('Données projet'!$A$88&gt;35,BD64+BC65-BL64,IF(A65&lt;'Données projet'!$A$88,$BA$205^A65,IF(A65='Données projet'!$A$88,'Données projet'!$B$88,BD64+BC65-BL64)))</f>
        <v>207.39999999999995</v>
      </c>
      <c r="BE65" s="14">
        <f>BD65*VLOOKUP('Données projet'!$B$11,Paramètres!$A$1:$I$89,3,0)*VLOOKUP('Données projet'!$B$11,Paramètres!$A$1:$I$89,5,0)</f>
        <v>200.59727999999996</v>
      </c>
      <c r="BF65" s="14">
        <f t="shared" si="37"/>
        <v>49.875409002022977</v>
      </c>
      <c r="BG65" s="22">
        <f t="shared" si="7"/>
        <v>436.23993334518991</v>
      </c>
      <c r="BH65" s="60">
        <f t="shared" si="8"/>
        <v>729.57326667852317</v>
      </c>
      <c r="BI65" s="60">
        <f ca="1">AVERAGE(OFFSET($BH$3,0,0,'Données projet'!$E$11+1,1))-AVERAGE(OFFSET($H$3,0,0,'Données projet'!$E$11+1,1))</f>
        <v>330.39429528665841</v>
      </c>
      <c r="BJ65" s="60">
        <f t="shared" si="38"/>
        <v>186.45728006007261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5.1282051282051331</v>
      </c>
      <c r="BY65" s="13">
        <f>IF('Données projet'!$A$114&gt;35,BY64+BX65-CG64,IF(A65&lt;'Données projet'!$A$114,$BV$205^A65,IF(A65='Données projet'!$A$114,'Données projet'!$B$114,BY64+BX65-CG64)))</f>
        <v>225.00000000000003</v>
      </c>
      <c r="BZ65" s="14">
        <f>BY65*VLOOKUP('Données projet'!$B$12,Paramètres!$A$1:$I$89,3,0)*VLOOKUP('Données projet'!$B$12,Paramètres!$A$1:$I$89,5,0)</f>
        <v>150.93000000000004</v>
      </c>
      <c r="CA65" s="14">
        <f t="shared" si="39"/>
        <v>38.789855371379076</v>
      </c>
      <c r="CB65" s="22">
        <f t="shared" si="10"/>
        <v>330.42874810515195</v>
      </c>
      <c r="CC65" s="60">
        <f t="shared" si="11"/>
        <v>623.76208143848521</v>
      </c>
      <c r="CD65" s="60">
        <f ca="1">AVERAGE(OFFSET($CC$3,0,0,'Données projet'!$E$12+1,1))-AVERAGE(OFFSET($H$3,0,0,'Données projet'!$E$12+1,1))</f>
        <v>212.33913923444732</v>
      </c>
      <c r="CE65" s="60">
        <f t="shared" si="40"/>
        <v>183.51194426094372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4.5999999999999996</v>
      </c>
      <c r="CT65" s="13">
        <f>IF('Données projet'!$A$140&gt;35,CT64+CS65-DB64,IF(A65&lt;'Données projet'!$A$140,$CQ$205^A65,IF(A65='Données projet'!$A$140,'Données projet'!$B$140,CT64+CS65-DB64)))</f>
        <v>208.19999999999968</v>
      </c>
      <c r="CU65" s="18">
        <f>CT65*VLOOKUP('Données projet'!$B$13,Paramètres!$A$1:$I$89,3,0)*VLOOKUP('Données projet'!$B$13,Paramètres!$A$1:$I$89,5,0)</f>
        <v>181.88351999999975</v>
      </c>
      <c r="CV65" s="14">
        <f t="shared" si="41"/>
        <v>45.740980450513412</v>
      </c>
      <c r="CW65" s="22">
        <f t="shared" si="13"/>
        <v>396.44600495131044</v>
      </c>
      <c r="CX65" s="60">
        <f t="shared" si="14"/>
        <v>689.7793382846437</v>
      </c>
      <c r="CY65" s="60">
        <f ca="1">AVERAGE(OFFSET($CX$3,0,0,'Données projet'!$E$13+1,1))-AVERAGE(OFFSET($H$3,0,0,'Données projet'!$E$13+1,1))</f>
        <v>228.0393346366489</v>
      </c>
      <c r="CZ65" s="60">
        <f t="shared" si="42"/>
        <v>238.591781509447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7.2</v>
      </c>
      <c r="DO65" s="13">
        <f>IF('Données projet'!$A$166&gt;35,DO64+DN65-DW64,IF(A65&lt;'Données projet'!$A$166,$DL$205^A65,IF(A65='Données projet'!$A$166,'Données projet'!$B$166,DO64+DN65-DW64)))</f>
        <v>207.39999999999995</v>
      </c>
      <c r="DP65" s="18">
        <f>DO65*VLOOKUP('Données projet'!$B$14,Paramètres!$A$1:$I$89,3,0)*VLOOKUP('Données projet'!$B$14,Paramètres!$A$1:$I$89,5,0)</f>
        <v>187.65551999999994</v>
      </c>
      <c r="DQ65" s="14">
        <f t="shared" si="43"/>
        <v>47.021247649900147</v>
      </c>
      <c r="DR65" s="22">
        <f t="shared" si="16"/>
        <v>408.72870365690932</v>
      </c>
      <c r="DS65" s="60">
        <f t="shared" si="17"/>
        <v>702.06203699024263</v>
      </c>
      <c r="DT65" s="60">
        <f ca="1">AVERAGE(OFFSET($DS$3,0,0,'Données projet'!$E$14+1,1))-AVERAGE(OFFSET($H$3,0,0,'Données projet'!$E$14+1,1))</f>
        <v>303.73499739059076</v>
      </c>
      <c r="DU65" s="60">
        <f t="shared" si="44"/>
        <v>172.32171001882188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11.896999999999997</v>
      </c>
      <c r="EJ65" s="13">
        <f>IF('Données projet'!$A$192&gt;35,EJ64+EI65-ER64,IF(A65&lt;'Données projet'!$A$192,$EG$205^A65,IF(A65='Données projet'!$A$192,'Données projet'!$B$192,EJ64+EI65-ER64)))</f>
        <v>394.8840000000003</v>
      </c>
      <c r="EK65" s="18">
        <f>EJ65*VLOOKUP('Données projet'!$B$15,Paramètres!$A$1:$I$89,3,0)*VLOOKUP('Données projet'!$B$15,Paramètres!$A$1:$I$89,5,0)</f>
        <v>236.14063200000018</v>
      </c>
      <c r="EL65" s="14">
        <f t="shared" si="45"/>
        <v>57.608386833134396</v>
      </c>
      <c r="EM65" s="22">
        <f t="shared" si="19"/>
        <v>511.61287446770939</v>
      </c>
      <c r="EN65" s="60">
        <f t="shared" si="20"/>
        <v>804.94620780104265</v>
      </c>
      <c r="EO65" s="60">
        <f ca="1">AVERAGE(OFFSET($EN$3,0,0,'Données projet'!$E$15+1,1))-AVERAGE(OFFSET($H$3,0,0,'Données projet'!$E$15+1,1))</f>
        <v>269.94948820700841</v>
      </c>
      <c r="EP65" s="60">
        <f t="shared" si="46"/>
        <v>183.45158355135192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5.6229470273353037</v>
      </c>
      <c r="EX65" s="23">
        <f>EXP(-LN(2)/2)*EX64+(1-EXP(-LN(2)/2))/(LN(2)/2)*ER65*EU65*VLOOKUP('Données projet'!$B$15,Paramètres!$A$1:$I$89,3,0)*0.475*44/12</f>
        <v>8.6029536216439333E-5</v>
      </c>
      <c r="EY65" s="24">
        <f t="shared" si="21"/>
        <v>5.6230330568715203</v>
      </c>
      <c r="EZ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7.9230769230769234</v>
      </c>
      <c r="FE65" s="13">
        <f>IF('Données projet'!$A$218&gt;35,FE64+FD65-FM64,IF(A65&lt;'Données projet'!$A$218,$FB$205^A65,IF(A65='Données projet'!$A$218,'Données projet'!$B$218,FE64+FD65-FM64)))</f>
        <v>160.84615384615375</v>
      </c>
      <c r="FF65" s="18">
        <f>FE65*VLOOKUP('Données projet'!$B$16,Paramètres!$A$1:$I$89,3,0)*VLOOKUP('Données projet'!$B$16,Paramètres!$A$1:$I$89,5,0)</f>
        <v>96.18599999999995</v>
      </c>
      <c r="FG65" s="14">
        <f t="shared" si="47"/>
        <v>26.051318487555619</v>
      </c>
      <c r="FH65" s="22">
        <f t="shared" si="22"/>
        <v>212.8966630324926</v>
      </c>
      <c r="FI65" s="60">
        <f t="shared" si="23"/>
        <v>506.22999636582591</v>
      </c>
      <c r="FJ65" s="60">
        <f ca="1">AVERAGE(OFFSET($FI$3,0,0,'Données projet'!$E$16+1,1))-AVERAGE(OFFSET($H$3,0,0,'Données projet'!$E$16+1,1))</f>
        <v>111.24788725253484</v>
      </c>
      <c r="FK65" s="60">
        <f t="shared" si="48"/>
        <v>82.434879813357327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projet'!$B$16,Paramètres!$A$1:$I$89,3,0)*0.475*44/12</f>
        <v>0</v>
      </c>
      <c r="FR65" s="23">
        <f>EXP(-LN(2)/25)*FR64+(1-EXP(-LN(2)/25))/(LN(2)/25)*Calculateur!FM65*Calculateur!FO65*VLOOKUP('Données projet'!$B$16,Paramètres!$A$1:$I$89,3,0)*0.475*44/12</f>
        <v>0</v>
      </c>
      <c r="FS65" s="23">
        <f>EXP(-LN(2)/2)*FS64+(1-EXP(-LN(2)/2))/(LN(2)/2)*FM65*FP65*VLOOKUP('Données projet'!$B$16,Paramètres!$A$1:$I$89,3,0)*0.475*44/12</f>
        <v>0</v>
      </c>
      <c r="FT65" s="24">
        <f t="shared" si="24"/>
        <v>0</v>
      </c>
      <c r="FU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15.2</v>
      </c>
      <c r="FZ65" s="13">
        <f>IF('Données projet'!$A$244&gt;35,FZ64+FY65-GH64,IF(A65&lt;'Données projet'!$A$244,$FW$205^A65,IF(A65='Données projet'!$A$244,'Données projet'!$B$244,FZ64+FY65-GH64)))</f>
        <v>692.80000000000041</v>
      </c>
      <c r="GA65" s="18">
        <f>FZ65*VLOOKUP('Données projet'!$B$17,Paramètres!$A$1:$I$89,3,0)*VLOOKUP('Données projet'!$B$17,Paramètres!$A$1:$I$89,5,0)</f>
        <v>306.21760000000023</v>
      </c>
      <c r="GB65" s="14">
        <f t="shared" si="49"/>
        <v>72.478351013597631</v>
      </c>
      <c r="GC65" s="22">
        <f t="shared" si="25"/>
        <v>659.56211468201639</v>
      </c>
      <c r="GD65" s="60">
        <f t="shared" si="26"/>
        <v>952.89544801534976</v>
      </c>
      <c r="GE65" s="60">
        <f ca="1">AVERAGE(OFFSET($GD$3,0,0,'Données projet'!$E$17+1,1))-AVERAGE(OFFSET($H$3,0,0,'Données projet'!$E$17+1,1))</f>
        <v>323.56667371063662</v>
      </c>
      <c r="GF65" s="60">
        <f t="shared" si="50"/>
        <v>275.70373467723385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>
        <f>EXP(-LN(2)/35)*GL64+(1-EXP(-LN(2)/35))/(LN(2)/35)*GH65*GI65*VLOOKUP('Données projet'!$B$17,Paramètres!$A$1:$I$89,3,0)*0.475*44/12</f>
        <v>0</v>
      </c>
      <c r="GM65" s="23">
        <f>EXP(-LN(2)/25)*GM64+(1-EXP(-LN(2)/25))/(LN(2)/25)*Calculateur!GH65*Calculateur!GJ65*VLOOKUP('Données projet'!$B$17,Paramètres!$A$1:$I$89,3,0)*0.475*44/12</f>
        <v>0</v>
      </c>
      <c r="GN65" s="23">
        <f>EXP(-LN(2)/2)*GN64+(1-EXP(-LN(2)/2))/(LN(2)/2)*GH65*GK65*VLOOKUP('Données projet'!$B$17,Paramètres!$A$1:$I$89,3,0)*0.475*44/12</f>
        <v>0</v>
      </c>
      <c r="GO65" s="23">
        <f t="shared" si="27"/>
        <v>0</v>
      </c>
      <c r="GP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0" t="e">
        <f t="shared" si="29"/>
        <v>#N/A</v>
      </c>
      <c r="GZ65" s="60" t="e">
        <f ca="1">AVERAGE(OFFSET($GY$3,0,0,'Données projet'!$E$18+1,1))-AVERAGE(OFFSET($H$3,0,0,'Données projet'!$E$18+1,1))</f>
        <v>#N/A</v>
      </c>
      <c r="HA65" s="60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4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2">
        <f t="shared" si="32"/>
        <v>10.501051622783336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-1.1368683772161603E-13</v>
      </c>
      <c r="O66" s="14">
        <f>N66*VLOOKUP('Données projet'!$B$9,Paramètres!$A$1:$I$89,3,0)*VLOOKUP('Données projet'!$B$9,Paramètres!$A$1:$I$89,5,0)</f>
        <v>-6.7984728957526396E-14</v>
      </c>
      <c r="P66" s="14" t="e">
        <f t="shared" si="33"/>
        <v>#NUM!</v>
      </c>
      <c r="Q66" s="22" t="e">
        <f t="shared" si="53"/>
        <v>#NUM!</v>
      </c>
      <c r="R66" s="60" t="e">
        <f t="shared" si="0"/>
        <v>#NUM!</v>
      </c>
      <c r="S66" s="60">
        <f ca="1">AVERAGE(OFFSET($R$3,0,0,'Données projet'!$E$9+1,1))-AVERAGE(OFFSET($H$3,0,0,'Données projet'!$E$9+1,1))</f>
        <v>235.63766249714581</v>
      </c>
      <c r="T66" s="60">
        <f t="shared" si="34"/>
        <v>231.3297293785277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5.9686327368269971</v>
      </c>
      <c r="AA66" s="23">
        <f>EXP(-LN(2)/25)*AA65+(1-EXP(-LN(2)/25))/(LN(2)/25)*Calculateur!V66*Calculateur!X66*VLOOKUP('Données projet'!$B$9,Paramètres!$A$1:$I$89,3,0)*0.475*44/12</f>
        <v>6.9248294681940719</v>
      </c>
      <c r="AB66" s="23">
        <f>EXP(-LN(2)/2)*AB65+(1-EXP(-LN(2)/2))/(LN(2)/2)*V66*Y66*VLOOKUP('Données projet'!$B$9,Paramètres!$A$1:$I$89,3,0)*0.475*44/12</f>
        <v>7.6740249402324273E-5</v>
      </c>
      <c r="AC66" s="24">
        <f t="shared" si="3"/>
        <v>12.893538945270473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IF('Données projet'!$A$62&gt;35,AI65+AH66-AQ65,IF(A66&lt;'Données projet'!$A$62,$AF$205^A66,IF(A66='Données projet'!$A$62,'Données projet'!$B$62,AI65+AH66-AQ65)))</f>
        <v>214.59999999999994</v>
      </c>
      <c r="AJ66" s="14">
        <f>AI66*VLOOKUP('Données projet'!$B$10,Paramètres!$A$1:$I$89,3,0)*VLOOKUP('Données projet'!$B$10,Paramètres!$A$1:$I$89,5,0)</f>
        <v>217.60439999999994</v>
      </c>
      <c r="AK66" s="14">
        <f t="shared" si="35"/>
        <v>53.593882578706356</v>
      </c>
      <c r="AL66" s="22">
        <f t="shared" si="4"/>
        <v>472.33700882458015</v>
      </c>
      <c r="AM66" s="60">
        <f t="shared" si="5"/>
        <v>765.67034215791341</v>
      </c>
      <c r="AN66" s="60">
        <f ca="1">AVERAGE(OFFSET($AM$3,0,0,'Données projet'!$E$10+1,1))-AVERAGE(OFFSET($H$3,0,0,'Données projet'!$E$10+1,1))</f>
        <v>350.3652766444938</v>
      </c>
      <c r="AO66" s="60">
        <f t="shared" si="36"/>
        <v>197.04549436738586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6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7.2</v>
      </c>
      <c r="BD66" s="13">
        <f>IF('Données projet'!$A$88&gt;35,BD65+BC66-BL65,IF(A66&lt;'Données projet'!$A$88,$BA$205^A66,IF(A66='Données projet'!$A$88,'Données projet'!$B$88,BD65+BC66-BL65)))</f>
        <v>214.59999999999994</v>
      </c>
      <c r="BE66" s="14">
        <f>BD66*VLOOKUP('Données projet'!$B$11,Paramètres!$A$1:$I$89,3,0)*VLOOKUP('Données projet'!$B$11,Paramètres!$A$1:$I$89,5,0)</f>
        <v>207.56111999999996</v>
      </c>
      <c r="BF66" s="14">
        <f t="shared" si="37"/>
        <v>51.40226725537714</v>
      </c>
      <c r="BG66" s="22">
        <f t="shared" si="7"/>
        <v>451.02789946978169</v>
      </c>
      <c r="BH66" s="60">
        <f t="shared" si="8"/>
        <v>744.36123280311494</v>
      </c>
      <c r="BI66" s="60">
        <f ca="1">AVERAGE(OFFSET($BH$3,0,0,'Données projet'!$E$11+1,1))-AVERAGE(OFFSET($H$3,0,0,'Données projet'!$E$11+1,1))</f>
        <v>330.39429528665841</v>
      </c>
      <c r="BJ66" s="60">
        <f t="shared" si="38"/>
        <v>186.45728006007261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5.1282051282051331</v>
      </c>
      <c r="BY66" s="13">
        <f>IF('Données projet'!$A$114&gt;35,BY65+BX66-CG65,IF(A66&lt;'Données projet'!$A$114,$BV$205^A66,IF(A66='Données projet'!$A$114,'Données projet'!$B$114,BY65+BX66-CG65)))</f>
        <v>230.12820512820517</v>
      </c>
      <c r="BZ66" s="14">
        <f>BY66*VLOOKUP('Données projet'!$B$12,Paramètres!$A$1:$I$89,3,0)*VLOOKUP('Données projet'!$B$12,Paramètres!$A$1:$I$89,5,0)</f>
        <v>154.37000000000003</v>
      </c>
      <c r="CA66" s="14">
        <f t="shared" si="39"/>
        <v>39.570017923578433</v>
      </c>
      <c r="CB66" s="22">
        <f t="shared" si="10"/>
        <v>337.77886455023247</v>
      </c>
      <c r="CC66" s="60">
        <f t="shared" si="11"/>
        <v>631.11219788356584</v>
      </c>
      <c r="CD66" s="60">
        <f ca="1">AVERAGE(OFFSET($CC$3,0,0,'Données projet'!$E$12+1,1))-AVERAGE(OFFSET($H$3,0,0,'Données projet'!$E$12+1,1))</f>
        <v>212.33913923444732</v>
      </c>
      <c r="CE66" s="60">
        <f t="shared" si="40"/>
        <v>183.51194426094372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4.5999999999999996</v>
      </c>
      <c r="CT66" s="13">
        <f>IF('Données projet'!$A$140&gt;35,CT65+CS66-DB65,IF(A66&lt;'Données projet'!$A$140,$CQ$205^A66,IF(A66='Données projet'!$A$140,'Données projet'!$B$140,CT65+CS66-DB65)))</f>
        <v>212.79999999999967</v>
      </c>
      <c r="CU66" s="18">
        <f>CT66*VLOOKUP('Données projet'!$B$13,Paramètres!$A$1:$I$89,3,0)*VLOOKUP('Données projet'!$B$13,Paramètres!$A$1:$I$89,5,0)</f>
        <v>185.90207999999973</v>
      </c>
      <c r="CV66" s="14">
        <f t="shared" si="41"/>
        <v>46.632814435744571</v>
      </c>
      <c r="CW66" s="22">
        <f t="shared" si="13"/>
        <v>404.998274475588</v>
      </c>
      <c r="CX66" s="60">
        <f t="shared" si="14"/>
        <v>698.33160780892126</v>
      </c>
      <c r="CY66" s="60">
        <f ca="1">AVERAGE(OFFSET($CX$3,0,0,'Données projet'!$E$13+1,1))-AVERAGE(OFFSET($H$3,0,0,'Données projet'!$E$13+1,1))</f>
        <v>228.0393346366489</v>
      </c>
      <c r="CZ66" s="60">
        <f t="shared" si="42"/>
        <v>238.591781509447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7.2</v>
      </c>
      <c r="DO66" s="13">
        <f>IF('Données projet'!$A$166&gt;35,DO65+DN66-DW65,IF(A66&lt;'Données projet'!$A$166,$DL$205^A66,IF(A66='Données projet'!$A$166,'Données projet'!$B$166,DO65+DN66-DW65)))</f>
        <v>214.59999999999994</v>
      </c>
      <c r="DP66" s="18">
        <f>DO66*VLOOKUP('Données projet'!$B$14,Paramètres!$A$1:$I$89,3,0)*VLOOKUP('Données projet'!$B$14,Paramètres!$A$1:$I$89,5,0)</f>
        <v>194.17007999999996</v>
      </c>
      <c r="DQ66" s="14">
        <f t="shared" si="43"/>
        <v>48.460730182351035</v>
      </c>
      <c r="DR66" s="22">
        <f t="shared" si="16"/>
        <v>422.5819944009279</v>
      </c>
      <c r="DS66" s="60">
        <f t="shared" si="17"/>
        <v>715.91532773426115</v>
      </c>
      <c r="DT66" s="60">
        <f ca="1">AVERAGE(OFFSET($DS$3,0,0,'Données projet'!$E$14+1,1))-AVERAGE(OFFSET($H$3,0,0,'Données projet'!$E$14+1,1))</f>
        <v>303.73499739059076</v>
      </c>
      <c r="DU66" s="60">
        <f t="shared" si="44"/>
        <v>172.32171001882188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11.896999999999997</v>
      </c>
      <c r="EJ66" s="13">
        <f>IF('Données projet'!$A$192&gt;35,EJ65+EI66-ER65,IF(A66&lt;'Données projet'!$A$192,$EG$205^A66,IF(A66='Données projet'!$A$192,'Données projet'!$B$192,EJ65+EI66-ER65)))</f>
        <v>406.78100000000029</v>
      </c>
      <c r="EK66" s="18">
        <f>EJ66*VLOOKUP('Données projet'!$B$15,Paramètres!$A$1:$I$89,3,0)*VLOOKUP('Données projet'!$B$15,Paramètres!$A$1:$I$89,5,0)</f>
        <v>243.25503800000018</v>
      </c>
      <c r="EL66" s="14">
        <f t="shared" si="45"/>
        <v>59.139317725785041</v>
      </c>
      <c r="EM66" s="22">
        <f t="shared" si="19"/>
        <v>526.67016955574252</v>
      </c>
      <c r="EN66" s="60">
        <f t="shared" si="20"/>
        <v>820.00350288907589</v>
      </c>
      <c r="EO66" s="60">
        <f ca="1">AVERAGE(OFFSET($EN$3,0,0,'Données projet'!$E$15+1,1))-AVERAGE(OFFSET($H$3,0,0,'Données projet'!$E$15+1,1))</f>
        <v>269.94948820700841</v>
      </c>
      <c r="EP66" s="60">
        <f t="shared" si="46"/>
        <v>183.45158355135192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5.4691872451748873</v>
      </c>
      <c r="EX66" s="23">
        <f>EXP(-LN(2)/2)*EX65+(1-EXP(-LN(2)/2))/(LN(2)/2)*ER66*EU66*VLOOKUP('Données projet'!$B$15,Paramètres!$A$1:$I$89,3,0)*0.475*44/12</f>
        <v>6.0832068440977938E-5</v>
      </c>
      <c r="EY66" s="24">
        <f t="shared" si="21"/>
        <v>5.4692480772433285</v>
      </c>
      <c r="EZ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7.9230769230769234</v>
      </c>
      <c r="FE66" s="13">
        <f>IF('Données projet'!$A$218&gt;35,FE65+FD66-FM65,IF(A66&lt;'Données projet'!$A$218,$FB$205^A66,IF(A66='Données projet'!$A$218,'Données projet'!$B$218,FE65+FD66-FM65)))</f>
        <v>168.76923076923069</v>
      </c>
      <c r="FF66" s="18">
        <f>FE66*VLOOKUP('Données projet'!$B$16,Paramètres!$A$1:$I$89,3,0)*VLOOKUP('Données projet'!$B$16,Paramètres!$A$1:$I$89,5,0)</f>
        <v>100.92399999999996</v>
      </c>
      <c r="FG66" s="14">
        <f t="shared" si="47"/>
        <v>27.18200983276283</v>
      </c>
      <c r="FH66" s="22">
        <f t="shared" si="22"/>
        <v>223.11796712539521</v>
      </c>
      <c r="FI66" s="60">
        <f t="shared" si="23"/>
        <v>516.4513004587285</v>
      </c>
      <c r="FJ66" s="60">
        <f ca="1">AVERAGE(OFFSET($FI$3,0,0,'Données projet'!$E$16+1,1))-AVERAGE(OFFSET($H$3,0,0,'Données projet'!$E$16+1,1))</f>
        <v>111.24788725253484</v>
      </c>
      <c r="FK66" s="60">
        <f t="shared" si="48"/>
        <v>82.434879813357327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projet'!$B$16,Paramètres!$A$1:$I$89,3,0)*0.475*44/12</f>
        <v>0</v>
      </c>
      <c r="FR66" s="23">
        <f>EXP(-LN(2)/25)*FR65+(1-EXP(-LN(2)/25))/(LN(2)/25)*Calculateur!FM66*Calculateur!FO66*VLOOKUP('Données projet'!$B$16,Paramètres!$A$1:$I$89,3,0)*0.475*44/12</f>
        <v>0</v>
      </c>
      <c r="FS66" s="23">
        <f>EXP(-LN(2)/2)*FS65+(1-EXP(-LN(2)/2))/(LN(2)/2)*FM66*FP66*VLOOKUP('Données projet'!$B$16,Paramètres!$A$1:$I$89,3,0)*0.475*44/12</f>
        <v>0</v>
      </c>
      <c r="FT66" s="24">
        <f t="shared" si="24"/>
        <v>0</v>
      </c>
      <c r="FU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>
        <f>VLOOKUP(A66,'Données projet'!$A$243:$I$263,2,0)</f>
        <v>708</v>
      </c>
      <c r="FX66" s="13">
        <f>VLOOKUP(A66,'Données projet'!$A$243:$I$263,9,0)</f>
        <v>15.2</v>
      </c>
      <c r="FY66" s="13">
        <f t="array" ref="FY66">INDEX(FX:FX,MIN(IF(ISNUMBER(FX66:FX262),ROW(FX66:FX262),"")))</f>
        <v>15.2</v>
      </c>
      <c r="FZ66" s="13">
        <f>IF('Données projet'!$A$244&gt;35,FZ65+FY66-GH65,IF(A66&lt;'Données projet'!$A$244,$FW$205^A66,IF(A66='Données projet'!$A$244,'Données projet'!$B$244,FZ65+FY66-GH65)))</f>
        <v>708.00000000000045</v>
      </c>
      <c r="GA66" s="18">
        <f>FZ66*VLOOKUP('Données projet'!$B$17,Paramètres!$A$1:$I$89,3,0)*VLOOKUP('Données projet'!$B$17,Paramètres!$A$1:$I$89,5,0)</f>
        <v>312.93600000000021</v>
      </c>
      <c r="GB66" s="14">
        <f t="shared" si="49"/>
        <v>73.881647036426315</v>
      </c>
      <c r="GC66" s="22">
        <f t="shared" si="25"/>
        <v>673.70740192177618</v>
      </c>
      <c r="GD66" s="60">
        <f t="shared" si="26"/>
        <v>967.04073525510944</v>
      </c>
      <c r="GE66" s="60">
        <f ca="1">AVERAGE(OFFSET($GD$3,0,0,'Données projet'!$E$17+1,1))-AVERAGE(OFFSET($H$3,0,0,'Données projet'!$E$17+1,1))</f>
        <v>323.56667371063662</v>
      </c>
      <c r="GF66" s="60">
        <f t="shared" si="50"/>
        <v>275.70373467723385</v>
      </c>
      <c r="GG66" s="16">
        <f>IF(ISNA(VLOOKUP(A66,'Données projet'!$A$243:$I$263,3,0)),0,VLOOKUP(A66,'Données projet'!$A$243:$I$263,3,0))</f>
        <v>5</v>
      </c>
      <c r="GH66" s="16">
        <f>IF(ISNA(VLOOKUP(A66,'Données projet'!$A$243:$I$263,4,0)),0,VLOOKUP(A66,'Données projet'!$A$243:$I$263,4,0))</f>
        <v>71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>
        <f>EXP(-LN(2)/35)*GL65+(1-EXP(-LN(2)/35))/(LN(2)/35)*GH66*GI66*VLOOKUP('Données projet'!$B$17,Paramètres!$A$1:$I$89,3,0)*0.475*44/12</f>
        <v>0</v>
      </c>
      <c r="GM66" s="23">
        <f>EXP(-LN(2)/25)*GM65+(1-EXP(-LN(2)/25))/(LN(2)/25)*Calculateur!GH66*Calculateur!GJ66*VLOOKUP('Données projet'!$B$17,Paramètres!$A$1:$I$89,3,0)*0.475*44/12</f>
        <v>0</v>
      </c>
      <c r="GN66" s="23">
        <f>EXP(-LN(2)/2)*GN65+(1-EXP(-LN(2)/2))/(LN(2)/2)*GH66*GK66*VLOOKUP('Données projet'!$B$17,Paramètres!$A$1:$I$89,3,0)*0.475*44/12</f>
        <v>0</v>
      </c>
      <c r="GO66" s="23">
        <f t="shared" si="27"/>
        <v>0</v>
      </c>
      <c r="GP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0" t="e">
        <f t="shared" si="29"/>
        <v>#N/A</v>
      </c>
      <c r="GZ66" s="60" t="e">
        <f ca="1">AVERAGE(OFFSET($GY$3,0,0,'Données projet'!$E$18+1,1))-AVERAGE(OFFSET($H$3,0,0,'Données projet'!$E$18+1,1))</f>
        <v>#N/A</v>
      </c>
      <c r="HA66" s="60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4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2">
        <f t="shared" si="32"/>
        <v>10.648197775908036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-1.1368683772161603E-13</v>
      </c>
      <c r="O67" s="14">
        <f>N67*VLOOKUP('Données projet'!$B$9,Paramètres!$A$1:$I$89,3,0)*VLOOKUP('Données projet'!$B$9,Paramètres!$A$1:$I$89,5,0)</f>
        <v>-6.7984728957526396E-14</v>
      </c>
      <c r="P67" s="14" t="e">
        <f t="shared" si="33"/>
        <v>#NUM!</v>
      </c>
      <c r="Q67" s="22" t="e">
        <f t="shared" ref="Q67:Q98" si="54">(O67+P67)*0.475*44/12</f>
        <v>#NUM!</v>
      </c>
      <c r="R67" s="60" t="e">
        <f t="shared" ref="R67:R130" si="55">Q67+(I67+J67)*44/12</f>
        <v>#NUM!</v>
      </c>
      <c r="S67" s="60">
        <f ca="1">AVERAGE(OFFSET($R$3,0,0,'Données projet'!$E$9+1,1))-AVERAGE(OFFSET($H$3,0,0,'Données projet'!$E$9+1,1))</f>
        <v>235.63766249714581</v>
      </c>
      <c r="T67" s="60">
        <f t="shared" si="34"/>
        <v>231.3297293785277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5.8515914893643188</v>
      </c>
      <c r="AA67" s="23">
        <f>EXP(-LN(2)/25)*AA66+(1-EXP(-LN(2)/25))/(LN(2)/25)*Calculateur!V67*Calculateur!X67*VLOOKUP('Données projet'!$B$9,Paramètres!$A$1:$I$89,3,0)*0.475*44/12</f>
        <v>6.7354696422253504</v>
      </c>
      <c r="AB67" s="23">
        <f>EXP(-LN(2)/2)*AB66+(1-EXP(-LN(2)/2))/(LN(2)/2)*V67*Y67*VLOOKUP('Données projet'!$B$9,Paramètres!$A$1:$I$89,3,0)*0.475*44/12</f>
        <v>5.4263550742330395E-5</v>
      </c>
      <c r="AC67" s="24">
        <f t="shared" si="3"/>
        <v>12.587115395140412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IF('Données projet'!$A$62&gt;35,AI66+AH67-AQ66,IF(A67&lt;'Données projet'!$A$62,$AF$205^A67,IF(A67='Données projet'!$A$62,'Données projet'!$B$62,AI66+AH67-AQ66)))</f>
        <v>221.79999999999993</v>
      </c>
      <c r="AJ67" s="14">
        <f>AI67*VLOOKUP('Données projet'!$B$10,Paramètres!$A$1:$I$89,3,0)*VLOOKUP('Données projet'!$B$10,Paramètres!$A$1:$I$89,5,0)</f>
        <v>224.90519999999995</v>
      </c>
      <c r="AK67" s="14">
        <f t="shared" si="35"/>
        <v>55.17963460003309</v>
      </c>
      <c r="AL67" s="22">
        <f t="shared" si="4"/>
        <v>487.81442026172425</v>
      </c>
      <c r="AM67" s="60">
        <f t="shared" si="5"/>
        <v>781.14775359505757</v>
      </c>
      <c r="AN67" s="60">
        <f ca="1">AVERAGE(OFFSET($AM$3,0,0,'Données projet'!$E$10+1,1))-AVERAGE(OFFSET($H$3,0,0,'Données projet'!$E$10+1,1))</f>
        <v>350.3652766444938</v>
      </c>
      <c r="AO67" s="60">
        <f t="shared" si="36"/>
        <v>197.04549436738586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6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7.2</v>
      </c>
      <c r="BD67" s="13">
        <f>IF('Données projet'!$A$88&gt;35,BD66+BC67-BL66,IF(A67&lt;'Données projet'!$A$88,$BA$205^A67,IF(A67='Données projet'!$A$88,'Données projet'!$B$88,BD66+BC67-BL66)))</f>
        <v>221.79999999999993</v>
      </c>
      <c r="BE67" s="14">
        <f>BD67*VLOOKUP('Données projet'!$B$11,Paramètres!$A$1:$I$89,3,0)*VLOOKUP('Données projet'!$B$11,Paramètres!$A$1:$I$89,5,0)</f>
        <v>214.52495999999994</v>
      </c>
      <c r="BF67" s="14">
        <f t="shared" si="37"/>
        <v>52.923173099085716</v>
      </c>
      <c r="BG67" s="22">
        <f t="shared" si="7"/>
        <v>465.80549848090754</v>
      </c>
      <c r="BH67" s="60">
        <f t="shared" si="8"/>
        <v>759.1388318142408</v>
      </c>
      <c r="BI67" s="60">
        <f ca="1">AVERAGE(OFFSET($BH$3,0,0,'Données projet'!$E$11+1,1))-AVERAGE(OFFSET($H$3,0,0,'Données projet'!$E$11+1,1))</f>
        <v>330.39429528665841</v>
      </c>
      <c r="BJ67" s="60">
        <f t="shared" si="38"/>
        <v>186.45728006007261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5.1282051282051331</v>
      </c>
      <c r="BY67" s="13">
        <f>IF('Données projet'!$A$114&gt;35,BY66+BX67-CG66,IF(A67&lt;'Données projet'!$A$114,$BV$205^A67,IF(A67='Données projet'!$A$114,'Données projet'!$B$114,BY66+BX67-CG66)))</f>
        <v>235.25641025641031</v>
      </c>
      <c r="BZ67" s="14">
        <f>BY67*VLOOKUP('Données projet'!$B$12,Paramètres!$A$1:$I$89,3,0)*VLOOKUP('Données projet'!$B$12,Paramètres!$A$1:$I$89,5,0)</f>
        <v>157.81000000000003</v>
      </c>
      <c r="CA67" s="14">
        <f t="shared" si="39"/>
        <v>40.348159279539125</v>
      </c>
      <c r="CB67" s="22">
        <f t="shared" si="10"/>
        <v>345.12546074519736</v>
      </c>
      <c r="CC67" s="60">
        <f t="shared" si="11"/>
        <v>638.45879407853067</v>
      </c>
      <c r="CD67" s="60">
        <f ca="1">AVERAGE(OFFSET($CC$3,0,0,'Données projet'!$E$12+1,1))-AVERAGE(OFFSET($H$3,0,0,'Données projet'!$E$12+1,1))</f>
        <v>212.33913923444732</v>
      </c>
      <c r="CE67" s="60">
        <f t="shared" si="40"/>
        <v>183.51194426094372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4.5999999999999996</v>
      </c>
      <c r="CT67" s="13">
        <f>IF('Données projet'!$A$140&gt;35,CT66+CS67-DB66,IF(A67&lt;'Données projet'!$A$140,$CQ$205^A67,IF(A67='Données projet'!$A$140,'Données projet'!$B$140,CT66+CS67-DB66)))</f>
        <v>217.39999999999966</v>
      </c>
      <c r="CU67" s="18">
        <f>CT67*VLOOKUP('Données projet'!$B$13,Paramètres!$A$1:$I$89,3,0)*VLOOKUP('Données projet'!$B$13,Paramètres!$A$1:$I$89,5,0)</f>
        <v>189.92063999999974</v>
      </c>
      <c r="CV67" s="14">
        <f t="shared" si="41"/>
        <v>47.522407055417681</v>
      </c>
      <c r="CW67" s="22">
        <f t="shared" si="13"/>
        <v>413.5466402881853</v>
      </c>
      <c r="CX67" s="60">
        <f t="shared" si="14"/>
        <v>706.87997362151862</v>
      </c>
      <c r="CY67" s="60">
        <f ca="1">AVERAGE(OFFSET($CX$3,0,0,'Données projet'!$E$13+1,1))-AVERAGE(OFFSET($H$3,0,0,'Données projet'!$E$13+1,1))</f>
        <v>228.0393346366489</v>
      </c>
      <c r="CZ67" s="60">
        <f t="shared" si="42"/>
        <v>238.591781509447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7.2</v>
      </c>
      <c r="DO67" s="13">
        <f>IF('Données projet'!$A$166&gt;35,DO66+DN67-DW66,IF(A67&lt;'Données projet'!$A$166,$DL$205^A67,IF(A67='Données projet'!$A$166,'Données projet'!$B$166,DO66+DN67-DW66)))</f>
        <v>221.79999999999993</v>
      </c>
      <c r="DP67" s="18">
        <f>DO67*VLOOKUP('Données projet'!$B$14,Paramètres!$A$1:$I$89,3,0)*VLOOKUP('Données projet'!$B$14,Paramètres!$A$1:$I$89,5,0)</f>
        <v>200.68463999999992</v>
      </c>
      <c r="DQ67" s="14">
        <f t="shared" si="43"/>
        <v>49.894600936700193</v>
      </c>
      <c r="DR67" s="22">
        <f t="shared" si="16"/>
        <v>436.42551129808606</v>
      </c>
      <c r="DS67" s="60">
        <f t="shared" si="17"/>
        <v>729.75884463141938</v>
      </c>
      <c r="DT67" s="60">
        <f ca="1">AVERAGE(OFFSET($DS$3,0,0,'Données projet'!$E$14+1,1))-AVERAGE(OFFSET($H$3,0,0,'Données projet'!$E$14+1,1))</f>
        <v>303.73499739059076</v>
      </c>
      <c r="DU67" s="60">
        <f t="shared" si="44"/>
        <v>172.32171001882188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11.896999999999997</v>
      </c>
      <c r="EJ67" s="13">
        <f>IF('Données projet'!$A$192&gt;35,EJ66+EI67-ER66,IF(A67&lt;'Données projet'!$A$192,$EG$205^A67,IF(A67='Données projet'!$A$192,'Données projet'!$B$192,EJ66+EI67-ER66)))</f>
        <v>418.67800000000028</v>
      </c>
      <c r="EK67" s="18">
        <f>EJ67*VLOOKUP('Données projet'!$B$15,Paramètres!$A$1:$I$89,3,0)*VLOOKUP('Données projet'!$B$15,Paramètres!$A$1:$I$89,5,0)</f>
        <v>250.36944400000019</v>
      </c>
      <c r="EL67" s="14">
        <f t="shared" si="45"/>
        <v>60.665044924256527</v>
      </c>
      <c r="EM67" s="22">
        <f t="shared" si="19"/>
        <v>541.7184015430804</v>
      </c>
      <c r="EN67" s="60">
        <f t="shared" si="20"/>
        <v>835.05173487641378</v>
      </c>
      <c r="EO67" s="60">
        <f ca="1">AVERAGE(OFFSET($EN$3,0,0,'Données projet'!$E$15+1,1))-AVERAGE(OFFSET($H$3,0,0,'Données projet'!$E$15+1,1))</f>
        <v>269.94948820700841</v>
      </c>
      <c r="EP67" s="60">
        <f t="shared" si="46"/>
        <v>183.45158355135192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5.3196320323435229</v>
      </c>
      <c r="EX67" s="23">
        <f>EXP(-LN(2)/2)*EX66+(1-EXP(-LN(2)/2))/(LN(2)/2)*ER67*EU67*VLOOKUP('Données projet'!$B$15,Paramètres!$A$1:$I$89,3,0)*0.475*44/12</f>
        <v>4.3014768108219673E-5</v>
      </c>
      <c r="EY67" s="24">
        <f t="shared" si="21"/>
        <v>5.3196750471116312</v>
      </c>
      <c r="EZ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7.9230769230769234</v>
      </c>
      <c r="FE67" s="13">
        <f>IF('Données projet'!$A$218&gt;35,FE66+FD67-FM66,IF(A67&lt;'Données projet'!$A$218,$FB$205^A67,IF(A67='Données projet'!$A$218,'Données projet'!$B$218,FE66+FD67-FM66)))</f>
        <v>176.69230769230762</v>
      </c>
      <c r="FF67" s="18">
        <f>FE67*VLOOKUP('Données projet'!$B$16,Paramètres!$A$1:$I$89,3,0)*VLOOKUP('Données projet'!$B$16,Paramètres!$A$1:$I$89,5,0)</f>
        <v>105.66199999999998</v>
      </c>
      <c r="FG67" s="14">
        <f t="shared" si="47"/>
        <v>28.306536930668631</v>
      </c>
      <c r="FH67" s="22">
        <f t="shared" si="22"/>
        <v>233.32853515424782</v>
      </c>
      <c r="FI67" s="60">
        <f t="shared" si="23"/>
        <v>526.66186848758116</v>
      </c>
      <c r="FJ67" s="60">
        <f ca="1">AVERAGE(OFFSET($FI$3,0,0,'Données projet'!$E$16+1,1))-AVERAGE(OFFSET($H$3,0,0,'Données projet'!$E$16+1,1))</f>
        <v>111.24788725253484</v>
      </c>
      <c r="FK67" s="60">
        <f t="shared" si="48"/>
        <v>82.434879813357327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projet'!$B$16,Paramètres!$A$1:$I$89,3,0)*0.475*44/12</f>
        <v>0</v>
      </c>
      <c r="FR67" s="23">
        <f>EXP(-LN(2)/25)*FR66+(1-EXP(-LN(2)/25))/(LN(2)/25)*Calculateur!FM67*Calculateur!FO67*VLOOKUP('Données projet'!$B$16,Paramètres!$A$1:$I$89,3,0)*0.475*44/12</f>
        <v>0</v>
      </c>
      <c r="FS67" s="23">
        <f>EXP(-LN(2)/2)*FS66+(1-EXP(-LN(2)/2))/(LN(2)/2)*FM67*FP67*VLOOKUP('Données projet'!$B$16,Paramètres!$A$1:$I$89,3,0)*0.475*44/12</f>
        <v>0</v>
      </c>
      <c r="FT67" s="24">
        <f t="shared" si="24"/>
        <v>0</v>
      </c>
      <c r="FU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12.6</v>
      </c>
      <c r="FZ67" s="13">
        <f>IF('Données projet'!$A$244&gt;35,FZ66+FY67-GH66,IF(A67&lt;'Données projet'!$A$244,$FW$205^A67,IF(A67='Données projet'!$A$244,'Données projet'!$B$244,FZ66+FY67-GH66)))</f>
        <v>649.60000000000048</v>
      </c>
      <c r="GA67" s="18">
        <f>FZ67*VLOOKUP('Données projet'!$B$17,Paramètres!$A$1:$I$89,3,0)*VLOOKUP('Données projet'!$B$17,Paramètres!$A$1:$I$89,5,0)</f>
        <v>287.12320000000022</v>
      </c>
      <c r="GB67" s="14">
        <f t="shared" si="49"/>
        <v>68.470137815725536</v>
      </c>
      <c r="GC67" s="22">
        <f t="shared" si="25"/>
        <v>619.32506336238896</v>
      </c>
      <c r="GD67" s="60">
        <f t="shared" si="26"/>
        <v>912.65839669572233</v>
      </c>
      <c r="GE67" s="60">
        <f ca="1">AVERAGE(OFFSET($GD$3,0,0,'Données projet'!$E$17+1,1))-AVERAGE(OFFSET($H$3,0,0,'Données projet'!$E$17+1,1))</f>
        <v>323.56667371063662</v>
      </c>
      <c r="GF67" s="60">
        <f t="shared" si="50"/>
        <v>275.70373467723385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>
        <f>EXP(-LN(2)/35)*GL66+(1-EXP(-LN(2)/35))/(LN(2)/35)*GH67*GI67*VLOOKUP('Données projet'!$B$17,Paramètres!$A$1:$I$89,3,0)*0.475*44/12</f>
        <v>0</v>
      </c>
      <c r="GM67" s="23">
        <f>EXP(-LN(2)/25)*GM66+(1-EXP(-LN(2)/25))/(LN(2)/25)*Calculateur!GH67*Calculateur!GJ67*VLOOKUP('Données projet'!$B$17,Paramètres!$A$1:$I$89,3,0)*0.475*44/12</f>
        <v>0</v>
      </c>
      <c r="GN67" s="23">
        <f>EXP(-LN(2)/2)*GN66+(1-EXP(-LN(2)/2))/(LN(2)/2)*GH67*GK67*VLOOKUP('Données projet'!$B$17,Paramètres!$A$1:$I$89,3,0)*0.475*44/12</f>
        <v>0</v>
      </c>
      <c r="GO67" s="23">
        <f t="shared" si="27"/>
        <v>0</v>
      </c>
      <c r="GP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0" t="e">
        <f t="shared" si="29"/>
        <v>#N/A</v>
      </c>
      <c r="GZ67" s="60" t="e">
        <f ca="1">AVERAGE(OFFSET($GY$3,0,0,'Données projet'!$E$18+1,1))-AVERAGE(OFFSET($H$3,0,0,'Données projet'!$E$18+1,1))</f>
        <v>#N/A</v>
      </c>
      <c r="HA67" s="60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4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2">
        <f t="shared" si="32"/>
        <v>10.795076538684501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-1.1368683772161603E-13</v>
      </c>
      <c r="O68" s="14">
        <f>N68*VLOOKUP('Données projet'!$B$9,Paramètres!$A$1:$I$89,3,0)*VLOOKUP('Données projet'!$B$9,Paramètres!$A$1:$I$89,5,0)</f>
        <v>-6.7984728957526396E-14</v>
      </c>
      <c r="P68" s="14" t="e">
        <f t="shared" si="33"/>
        <v>#NUM!</v>
      </c>
      <c r="Q68" s="22" t="e">
        <f t="shared" si="54"/>
        <v>#NUM!</v>
      </c>
      <c r="R68" s="60" t="e">
        <f t="shared" si="55"/>
        <v>#NUM!</v>
      </c>
      <c r="S68" s="60">
        <f ca="1">AVERAGE(OFFSET($R$3,0,0,'Données projet'!$E$9+1,1))-AVERAGE(OFFSET($H$3,0,0,'Données projet'!$E$9+1,1))</f>
        <v>235.63766249714581</v>
      </c>
      <c r="T68" s="60">
        <f t="shared" si="34"/>
        <v>231.3297293785277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5.7368453493762717</v>
      </c>
      <c r="AA68" s="23">
        <f>EXP(-LN(2)/25)*AA67+(1-EXP(-LN(2)/25))/(LN(2)/25)*Calculateur!V68*Calculateur!X68*VLOOKUP('Données projet'!$B$9,Paramètres!$A$1:$I$89,3,0)*0.475*44/12</f>
        <v>6.5512878706557442</v>
      </c>
      <c r="AB68" s="23">
        <f>EXP(-LN(2)/2)*AB67+(1-EXP(-LN(2)/2))/(LN(2)/2)*V68*Y68*VLOOKUP('Données projet'!$B$9,Paramètres!$A$1:$I$89,3,0)*0.475*44/12</f>
        <v>3.8370124701162137E-5</v>
      </c>
      <c r="AC68" s="24">
        <f t="shared" ref="AC68:AC131" si="57">SUM(Z68:AB68)</f>
        <v>12.288171590156717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229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IF('Données projet'!$A$62&gt;35,AI67+AH68-AQ67,IF(A68&lt;'Données projet'!$A$62,$AF$205^A68,IF(A68='Données projet'!$A$62,'Données projet'!$B$62,AI67+AH68-AQ67)))</f>
        <v>228.99999999999991</v>
      </c>
      <c r="AJ68" s="14">
        <f>AI68*VLOOKUP('Données projet'!$B$10,Paramètres!$A$1:$I$89,3,0)*VLOOKUP('Données projet'!$B$10,Paramètres!$A$1:$I$89,5,0)</f>
        <v>232.2059999999999</v>
      </c>
      <c r="AK68" s="14">
        <f t="shared" si="35"/>
        <v>56.759404991217522</v>
      </c>
      <c r="AL68" s="22">
        <f t="shared" ref="AL68:AL131" si="58">(AJ68+AK68)*0.475*44/12</f>
        <v>503.281413693037</v>
      </c>
      <c r="AM68" s="60">
        <f t="shared" ref="AM68:AM131" si="59">AL68+(AD68+AE68)*44/12</f>
        <v>796.61474702637031</v>
      </c>
      <c r="AN68" s="60">
        <f ca="1">AVERAGE(OFFSET($AM$3,0,0,'Données projet'!$E$10+1,1))-AVERAGE(OFFSET($H$3,0,0,'Données projet'!$E$10+1,1))</f>
        <v>350.3652766444938</v>
      </c>
      <c r="AO68" s="60">
        <f t="shared" si="36"/>
        <v>197.04549436738586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6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229</v>
      </c>
      <c r="BB68" s="13">
        <f>VLOOKUP(A68,'Données projet'!$A$87:$I$107,9,0)</f>
        <v>7.2</v>
      </c>
      <c r="BC68" s="13">
        <f t="array" ref="BC68">INDEX(BB:BB,MIN(IF(ISNUMBER(BB68:BB264),ROW(BB68:BB264),"")))</f>
        <v>7.2</v>
      </c>
      <c r="BD68" s="13">
        <f>IF('Données projet'!$A$88&gt;35,BD67+BC68-BL67,IF(A68&lt;'Données projet'!$A$88,$BA$205^A68,IF(A68='Données projet'!$A$88,'Données projet'!$B$88,BD67+BC68-BL67)))</f>
        <v>228.99999999999991</v>
      </c>
      <c r="BE68" s="14">
        <f>BD68*VLOOKUP('Données projet'!$B$11,Paramètres!$A$1:$I$89,3,0)*VLOOKUP('Données projet'!$B$11,Paramètres!$A$1:$I$89,5,0)</f>
        <v>221.48879999999991</v>
      </c>
      <c r="BF68" s="14">
        <f t="shared" si="37"/>
        <v>54.43834191952984</v>
      </c>
      <c r="BG68" s="22">
        <f t="shared" ref="BG68:BG131" si="61">(BE68+BF68)*0.475*44/12</f>
        <v>480.57310550984766</v>
      </c>
      <c r="BH68" s="60">
        <f t="shared" ref="BH68:BH131" si="62">BG68+(AY68+AZ68)*44/12</f>
        <v>773.90643884318092</v>
      </c>
      <c r="BI68" s="60">
        <f ca="1">AVERAGE(OFFSET($BH$3,0,0,'Données projet'!$E$11+1,1))-AVERAGE(OFFSET($H$3,0,0,'Données projet'!$E$11+1,1))</f>
        <v>330.39429528665841</v>
      </c>
      <c r="BJ68" s="60">
        <f t="shared" si="38"/>
        <v>186.45728006007261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240.38461538461539</v>
      </c>
      <c r="BW68" s="13">
        <f>VLOOKUP(A68,'Données projet'!$A$113:$I$133,9,0)</f>
        <v>5.1282051282051331</v>
      </c>
      <c r="BX68" s="13">
        <f t="array" ref="BX68">INDEX(BW:BW,MIN(IF(ISNUMBER(BW68:BW264),ROW(BW68:BW264),"")))</f>
        <v>5.1282051282051331</v>
      </c>
      <c r="BY68" s="13">
        <f>IF('Données projet'!$A$114&gt;35,BY67+BX68-CG67,IF(A68&lt;'Données projet'!$A$114,$BV$205^A68,IF(A68='Données projet'!$A$114,'Données projet'!$B$114,BY67+BX68-CG67)))</f>
        <v>240.38461538461544</v>
      </c>
      <c r="BZ68" s="14">
        <f>BY68*VLOOKUP('Données projet'!$B$12,Paramètres!$A$1:$I$89,3,0)*VLOOKUP('Données projet'!$B$12,Paramètres!$A$1:$I$89,5,0)</f>
        <v>161.25000000000006</v>
      </c>
      <c r="CA68" s="14">
        <f t="shared" si="39"/>
        <v>41.124328571986439</v>
      </c>
      <c r="CB68" s="22">
        <f t="shared" ref="CB68:CB131" si="64">(BZ68+CA68)*0.475*44/12</f>
        <v>352.46862226287652</v>
      </c>
      <c r="CC68" s="60">
        <f t="shared" ref="CC68:CC131" si="65">CB68+(BT68+BU68)*44/12</f>
        <v>645.80195559620984</v>
      </c>
      <c r="CD68" s="60">
        <f ca="1">AVERAGE(OFFSET($CC$3,0,0,'Données projet'!$E$12+1,1))-AVERAGE(OFFSET($H$3,0,0,'Données projet'!$E$12+1,1))</f>
        <v>212.33913923444732</v>
      </c>
      <c r="CE68" s="60">
        <f t="shared" si="40"/>
        <v>183.51194426094372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222</v>
      </c>
      <c r="CR68" s="13">
        <f>VLOOKUP(A68,'Données projet'!$A$139:$I$159,9,0)</f>
        <v>4.5999999999999996</v>
      </c>
      <c r="CS68" s="13">
        <f t="array" ref="CS68">INDEX(CR:CR,MIN(IF(ISNUMBER(CR68:CR264),ROW(CR68:CR264),"")))</f>
        <v>4.5999999999999996</v>
      </c>
      <c r="CT68" s="13">
        <f>IF('Données projet'!$A$140&gt;35,CT67+CS68-DB67,IF(A68&lt;'Données projet'!$A$140,$CQ$205^A68,IF(A68='Données projet'!$A$140,'Données projet'!$B$140,CT67+CS68-DB67)))</f>
        <v>221.99999999999966</v>
      </c>
      <c r="CU68" s="18">
        <f>CT68*VLOOKUP('Données projet'!$B$13,Paramètres!$A$1:$I$89,3,0)*VLOOKUP('Données projet'!$B$13,Paramètres!$A$1:$I$89,5,0)</f>
        <v>193.93919999999974</v>
      </c>
      <c r="CV68" s="14">
        <f t="shared" si="41"/>
        <v>48.409811198069299</v>
      </c>
      <c r="CW68" s="22">
        <f t="shared" ref="CW68:CW131" si="67">(CU68+CV68)*0.475*44/12</f>
        <v>422.09119450330354</v>
      </c>
      <c r="CX68" s="60">
        <f t="shared" ref="CX68:CX131" si="68">CW68+(CO68+CP68)*44/12</f>
        <v>715.4245278366368</v>
      </c>
      <c r="CY68" s="60">
        <f ca="1">AVERAGE(OFFSET($CX$3,0,0,'Données projet'!$E$13+1,1))-AVERAGE(OFFSET($H$3,0,0,'Données projet'!$E$13+1,1))</f>
        <v>228.0393346366489</v>
      </c>
      <c r="CZ68" s="60">
        <f t="shared" si="42"/>
        <v>238.591781509447</v>
      </c>
      <c r="DA68" s="16">
        <f>IF(ISNA(VLOOKUP(A68,'Données projet'!$A$139:$I$159,3,0)),0,VLOOKUP(A68,'Données projet'!$A$139:$I$159,3,0))</f>
        <v>5</v>
      </c>
      <c r="DB68" s="16">
        <f>IF(ISNA(VLOOKUP(A68,'Données projet'!$A$139:$I$159,4,0)),0,VLOOKUP(A68,'Données projet'!$A$139:$I$159,4,0))</f>
        <v>36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229</v>
      </c>
      <c r="DM68" s="13">
        <f>VLOOKUP(A68,'Données projet'!$A$165:$I$185,9,0)</f>
        <v>7.2</v>
      </c>
      <c r="DN68" s="13">
        <f t="array" ref="DN68">INDEX(DM:DM,MIN(IF(ISNUMBER(DM68:DM264),ROW(DM68:DM264),"")))</f>
        <v>7.2</v>
      </c>
      <c r="DO68" s="13">
        <f>IF('Données projet'!$A$166&gt;35,DO67+DN68-DW67,IF(A68&lt;'Données projet'!$A$166,$DL$205^A68,IF(A68='Données projet'!$A$166,'Données projet'!$B$166,DO67+DN68-DW67)))</f>
        <v>228.99999999999991</v>
      </c>
      <c r="DP68" s="18">
        <f>DO68*VLOOKUP('Données projet'!$B$14,Paramètres!$A$1:$I$89,3,0)*VLOOKUP('Données projet'!$B$14,Paramètres!$A$1:$I$89,5,0)</f>
        <v>207.19919999999991</v>
      </c>
      <c r="DQ68" s="14">
        <f t="shared" si="43"/>
        <v>51.3230629736655</v>
      </c>
      <c r="DR68" s="22">
        <f t="shared" ref="DR68:DR131" si="70">(DP68+DQ68)*0.475*44/12</f>
        <v>450.25960801246725</v>
      </c>
      <c r="DS68" s="60">
        <f t="shared" ref="DS68:DS131" si="71">DR68+(DJ68+DK68)*44/12</f>
        <v>743.59294134580057</v>
      </c>
      <c r="DT68" s="60">
        <f ca="1">AVERAGE(OFFSET($DS$3,0,0,'Données projet'!$E$14+1,1))-AVERAGE(OFFSET($H$3,0,0,'Données projet'!$E$14+1,1))</f>
        <v>303.73499739059076</v>
      </c>
      <c r="DU68" s="60">
        <f t="shared" si="44"/>
        <v>172.32171001882188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11.896999999999997</v>
      </c>
      <c r="EJ68" s="13">
        <f>IF('Données projet'!$A$192&gt;35,EJ67+EI68-ER67,IF(A68&lt;'Données projet'!$A$192,$EG$205^A68,IF(A68='Données projet'!$A$192,'Données projet'!$B$192,EJ67+EI68-ER67)))</f>
        <v>430.57500000000027</v>
      </c>
      <c r="EK68" s="18">
        <f>EJ68*VLOOKUP('Données projet'!$B$15,Paramètres!$A$1:$I$89,3,0)*VLOOKUP('Données projet'!$B$15,Paramètres!$A$1:$I$89,5,0)</f>
        <v>257.48385000000019</v>
      </c>
      <c r="EL68" s="14">
        <f t="shared" si="45"/>
        <v>62.185733278690485</v>
      </c>
      <c r="EM68" s="22">
        <f t="shared" ref="EM68:EM131" si="73">(EK68+EL68)*0.475*44/12</f>
        <v>556.75785754371952</v>
      </c>
      <c r="EN68" s="60">
        <f t="shared" ref="EN68:EN131" si="74">EM68+(EE68+EF68)*44/12</f>
        <v>850.0911908770529</v>
      </c>
      <c r="EO68" s="60">
        <f ca="1">AVERAGE(OFFSET($EN$3,0,0,'Données projet'!$E$15+1,1))-AVERAGE(OFFSET($H$3,0,0,'Données projet'!$E$15+1,1))</f>
        <v>269.94948820700841</v>
      </c>
      <c r="EP68" s="60">
        <f t="shared" si="46"/>
        <v>183.45158355135192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5.1741664146717987</v>
      </c>
      <c r="EX68" s="23">
        <f>EXP(-LN(2)/2)*EX67+(1-EXP(-LN(2)/2))/(LN(2)/2)*ER68*EU68*VLOOKUP('Données projet'!$B$15,Paramètres!$A$1:$I$89,3,0)*0.475*44/12</f>
        <v>3.0416034220488973E-5</v>
      </c>
      <c r="EY68" s="24">
        <f t="shared" ref="EY68:EY131" si="75">SUM(EV68:EX68)</f>
        <v>5.1741968307060189</v>
      </c>
      <c r="EZ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7.9230769230769234</v>
      </c>
      <c r="FE68" s="13">
        <f>IF('Données projet'!$A$218&gt;35,FE67+FD68-FM67,IF(A68&lt;'Données projet'!$A$218,$FB$205^A68,IF(A68='Données projet'!$A$218,'Données projet'!$B$218,FE67+FD68-FM67)))</f>
        <v>184.61538461538456</v>
      </c>
      <c r="FF68" s="18">
        <f>FE68*VLOOKUP('Données projet'!$B$16,Paramètres!$A$1:$I$89,3,0)*VLOOKUP('Données projet'!$B$16,Paramètres!$A$1:$I$89,5,0)</f>
        <v>110.39999999999998</v>
      </c>
      <c r="FG68" s="14">
        <f t="shared" si="47"/>
        <v>29.425207774110973</v>
      </c>
      <c r="FH68" s="22">
        <f t="shared" ref="FH68:FH131" si="76">(FF68+FG68)*0.475*44/12</f>
        <v>243.52890353990992</v>
      </c>
      <c r="FI68" s="60">
        <f t="shared" ref="FI68:FI131" si="77">FH68+(EZ68+FA68)*44/12</f>
        <v>536.86223687324321</v>
      </c>
      <c r="FJ68" s="60">
        <f ca="1">AVERAGE(OFFSET($FI$3,0,0,'Données projet'!$E$16+1,1))-AVERAGE(OFFSET($H$3,0,0,'Données projet'!$E$16+1,1))</f>
        <v>111.24788725253484</v>
      </c>
      <c r="FK68" s="60">
        <f t="shared" si="48"/>
        <v>82.434879813357327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projet'!$B$16,Paramètres!$A$1:$I$89,3,0)*0.475*44/12</f>
        <v>0</v>
      </c>
      <c r="FR68" s="23">
        <f>EXP(-LN(2)/25)*FR67+(1-EXP(-LN(2)/25))/(LN(2)/25)*Calculateur!FM68*Calculateur!FO68*VLOOKUP('Données projet'!$B$16,Paramètres!$A$1:$I$89,3,0)*0.475*44/12</f>
        <v>0</v>
      </c>
      <c r="FS68" s="23">
        <f>EXP(-LN(2)/2)*FS67+(1-EXP(-LN(2)/2))/(LN(2)/2)*FM68*FP68*VLOOKUP('Données projet'!$B$16,Paramètres!$A$1:$I$89,3,0)*0.475*44/12</f>
        <v>0</v>
      </c>
      <c r="FT68" s="24">
        <f t="shared" ref="FT68:FT131" si="78">SUM(FQ68:FS68)</f>
        <v>0</v>
      </c>
      <c r="FU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12.6</v>
      </c>
      <c r="FZ68" s="13">
        <f>IF('Données projet'!$A$244&gt;35,FZ67+FY68-GH67,IF(A68&lt;'Données projet'!$A$244,$FW$205^A68,IF(A68='Données projet'!$A$244,'Données projet'!$B$244,FZ67+FY68-GH67)))</f>
        <v>662.2000000000005</v>
      </c>
      <c r="GA68" s="18">
        <f>FZ68*VLOOKUP('Données projet'!$B$17,Paramètres!$A$1:$I$89,3,0)*VLOOKUP('Données projet'!$B$17,Paramètres!$A$1:$I$89,5,0)</f>
        <v>292.69240000000025</v>
      </c>
      <c r="GB68" s="14">
        <f t="shared" si="49"/>
        <v>69.642318071804894</v>
      </c>
      <c r="GC68" s="22">
        <f t="shared" ref="GC68:GC131" si="79">(GA68+GB68)*0.475*44/12</f>
        <v>631.06630064172725</v>
      </c>
      <c r="GD68" s="60">
        <f t="shared" ref="GD68:GD131" si="80">GC68+(FU68+FV68)*44/12</f>
        <v>924.39963397506062</v>
      </c>
      <c r="GE68" s="60">
        <f ca="1">AVERAGE(OFFSET($GD$3,0,0,'Données projet'!$E$17+1,1))-AVERAGE(OFFSET($H$3,0,0,'Données projet'!$E$17+1,1))</f>
        <v>323.56667371063662</v>
      </c>
      <c r="GF68" s="60">
        <f t="shared" si="50"/>
        <v>275.70373467723385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>
        <f>EXP(-LN(2)/35)*GL67+(1-EXP(-LN(2)/35))/(LN(2)/35)*GH68*GI68*VLOOKUP('Données projet'!$B$17,Paramètres!$A$1:$I$89,3,0)*0.475*44/12</f>
        <v>0</v>
      </c>
      <c r="GM68" s="23">
        <f>EXP(-LN(2)/25)*GM67+(1-EXP(-LN(2)/25))/(LN(2)/25)*Calculateur!GH68*Calculateur!GJ68*VLOOKUP('Données projet'!$B$17,Paramètres!$A$1:$I$89,3,0)*0.475*44/12</f>
        <v>0</v>
      </c>
      <c r="GN68" s="23">
        <f>EXP(-LN(2)/2)*GN67+(1-EXP(-LN(2)/2))/(LN(2)/2)*GH68*GK68*VLOOKUP('Données projet'!$B$17,Paramètres!$A$1:$I$89,3,0)*0.475*44/12</f>
        <v>0</v>
      </c>
      <c r="GO68" s="23">
        <f t="shared" ref="GO68:GO131" si="81">SUM(GL68:GN68)</f>
        <v>0</v>
      </c>
      <c r="GP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0" t="e">
        <f t="shared" ref="GY68:GY131" si="83">GX68+(GP68+GQ68)*44/12</f>
        <v>#N/A</v>
      </c>
      <c r="GZ68" s="60" t="e">
        <f ca="1">AVERAGE(OFFSET($GY$3,0,0,'Données projet'!$E$18+1,1))-AVERAGE(OFFSET($H$3,0,0,'Données projet'!$E$18+1,1))</f>
        <v>#N/A</v>
      </c>
      <c r="HA68" s="60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4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2">
        <f t="shared" ref="D69:D132" si="86">IFERROR(EXP(-1.0587+0.8836*LN(C69)+0.284),0)</f>
        <v>10.941692499899732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-1.1368683772161603E-13</v>
      </c>
      <c r="O69" s="14">
        <f>N69*VLOOKUP('Données projet'!$B$9,Paramètres!$A$1:$I$89,3,0)*VLOOKUP('Données projet'!$B$9,Paramètres!$A$1:$I$89,5,0)</f>
        <v>-6.7984728957526396E-14</v>
      </c>
      <c r="P69" s="14" t="e">
        <f t="shared" ref="P69:P132" si="87">EXP(-1.0587+0.8836*LN(O69)+0.284)</f>
        <v>#NUM!</v>
      </c>
      <c r="Q69" s="22" t="e">
        <f t="shared" si="54"/>
        <v>#NUM!</v>
      </c>
      <c r="R69" s="60" t="e">
        <f t="shared" si="55"/>
        <v>#NUM!</v>
      </c>
      <c r="S69" s="60">
        <f ca="1">AVERAGE(OFFSET($R$3,0,0,'Données projet'!$E$9+1,1))-AVERAGE(OFFSET($H$3,0,0,'Données projet'!$E$9+1,1))</f>
        <v>235.63766249714581</v>
      </c>
      <c r="T69" s="60">
        <f t="shared" ref="T69:T132" si="88">$T$3</f>
        <v>231.3297293785277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5.6243493112051555</v>
      </c>
      <c r="AA69" s="23">
        <f>EXP(-LN(2)/25)*AA68+(1-EXP(-LN(2)/25))/(LN(2)/25)*Calculateur!V69*Calculateur!X69*VLOOKUP('Données projet'!$B$9,Paramètres!$A$1:$I$89,3,0)*0.475*44/12</f>
        <v>6.3721425593154066</v>
      </c>
      <c r="AB69" s="23">
        <f>EXP(-LN(2)/2)*AB68+(1-EXP(-LN(2)/2))/(LN(2)/2)*V69*Y69*VLOOKUP('Données projet'!$B$9,Paramètres!$A$1:$I$89,3,0)*0.475*44/12</f>
        <v>2.7131775371165197E-5</v>
      </c>
      <c r="AC69" s="24">
        <f t="shared" si="57"/>
        <v>11.996519002295932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235.79999999999993</v>
      </c>
      <c r="AJ69" s="14">
        <f>AI69*VLOOKUP('Données projet'!$B$10,Paramètres!$A$1:$I$89,3,0)*VLOOKUP('Données projet'!$B$10,Paramètres!$A$1:$I$89,5,0)</f>
        <v>239.10119999999995</v>
      </c>
      <c r="AK69" s="14">
        <f t="shared" ref="AK69:AK132" si="89">EXP(-1.0587+0.8836*LN(AJ69)+0.284)</f>
        <v>58.246107075777331</v>
      </c>
      <c r="AL69" s="22">
        <f t="shared" si="58"/>
        <v>517.87989315697871</v>
      </c>
      <c r="AM69" s="60">
        <f t="shared" si="59"/>
        <v>811.21322649031208</v>
      </c>
      <c r="AN69" s="60">
        <f ca="1">AVERAGE(OFFSET($AM$3,0,0,'Données projet'!$E$10+1,1))-AVERAGE(OFFSET($H$3,0,0,'Données projet'!$E$10+1,1))</f>
        <v>350.3652766444938</v>
      </c>
      <c r="AO69" s="60">
        <f t="shared" ref="AO69:AO132" si="90">$AO$3</f>
        <v>197.04549436738586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6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6.8</v>
      </c>
      <c r="BD69" s="13">
        <f>IF('Données projet'!$A$88&gt;35,BD68+BC69-BL68,IF(A69&lt;'Données projet'!$A$88,$BA$205^A69,IF(A69='Données projet'!$A$88,'Données projet'!$B$88,BD68+BC69-BL68)))</f>
        <v>235.79999999999993</v>
      </c>
      <c r="BE69" s="14">
        <f>BD69*VLOOKUP('Données projet'!$B$11,Paramètres!$A$1:$I$89,3,0)*VLOOKUP('Données projet'!$B$11,Paramètres!$A$1:$I$89,5,0)</f>
        <v>228.06575999999993</v>
      </c>
      <c r="BF69" s="14">
        <f t="shared" ref="BF69:BF132" si="91">EXP(-1.0587+0.8836*LN(BE69)+0.284)</f>
        <v>55.864248276798108</v>
      </c>
      <c r="BG69" s="22">
        <f t="shared" si="61"/>
        <v>494.51143108208981</v>
      </c>
      <c r="BH69" s="60">
        <f t="shared" si="62"/>
        <v>787.84476441542313</v>
      </c>
      <c r="BI69" s="60">
        <f ca="1">AVERAGE(OFFSET($BH$3,0,0,'Données projet'!$E$11+1,1))-AVERAGE(OFFSET($H$3,0,0,'Données projet'!$E$11+1,1))</f>
        <v>330.39429528665841</v>
      </c>
      <c r="BJ69" s="60">
        <f t="shared" ref="BJ69:BJ132" si="92">$BJ$3</f>
        <v>186.45728006007261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4.9999999999999947</v>
      </c>
      <c r="BY69" s="13">
        <f>IF('Données projet'!$A$114&gt;35,BY68+BX69-CG68,IF(A69&lt;'Données projet'!$A$114,$BV$205^A69,IF(A69='Données projet'!$A$114,'Données projet'!$B$114,BY68+BX69-CG68)))</f>
        <v>245.38461538461544</v>
      </c>
      <c r="BZ69" s="14">
        <f>BY69*VLOOKUP('Données projet'!$B$12,Paramètres!$A$1:$I$89,3,0)*VLOOKUP('Données projet'!$B$12,Paramètres!$A$1:$I$89,5,0)</f>
        <v>164.60400000000004</v>
      </c>
      <c r="CA69" s="14">
        <f t="shared" ref="CA69:CA132" si="93">EXP(-1.0587+0.8836*LN(BZ69)+0.284)</f>
        <v>41.879239712742802</v>
      </c>
      <c r="CB69" s="22">
        <f t="shared" si="64"/>
        <v>359.62497583302707</v>
      </c>
      <c r="CC69" s="60">
        <f t="shared" si="65"/>
        <v>652.95830916636032</v>
      </c>
      <c r="CD69" s="60">
        <f ca="1">AVERAGE(OFFSET($CC$3,0,0,'Données projet'!$E$12+1,1))-AVERAGE(OFFSET($H$3,0,0,'Données projet'!$E$12+1,1))</f>
        <v>212.33913923444732</v>
      </c>
      <c r="CE69" s="60">
        <f t="shared" ref="CE69:CE132" si="94">$CE$3</f>
        <v>183.51194426094372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4</v>
      </c>
      <c r="CT69" s="13">
        <f>IF('Données projet'!$A$140&gt;35,CT68+CS69-DB68,IF(A69&lt;'Données projet'!$A$140,$CQ$205^A69,IF(A69='Données projet'!$A$140,'Données projet'!$B$140,CT68+CS69-DB68)))</f>
        <v>189.99999999999966</v>
      </c>
      <c r="CU69" s="18">
        <f>CT69*VLOOKUP('Données projet'!$B$13,Paramètres!$A$1:$I$89,3,0)*VLOOKUP('Données projet'!$B$13,Paramètres!$A$1:$I$89,5,0)</f>
        <v>165.98399999999972</v>
      </c>
      <c r="CV69" s="14">
        <f t="shared" ref="CV69:CV132" si="95">EXP(-1.0587+0.8836*LN(CU69)+0.284)</f>
        <v>42.189325525922207</v>
      </c>
      <c r="CW69" s="22">
        <f t="shared" si="67"/>
        <v>362.56854195764731</v>
      </c>
      <c r="CX69" s="60">
        <f t="shared" si="68"/>
        <v>655.90187529098057</v>
      </c>
      <c r="CY69" s="60">
        <f ca="1">AVERAGE(OFFSET($CX$3,0,0,'Données projet'!$E$13+1,1))-AVERAGE(OFFSET($H$3,0,0,'Données projet'!$E$13+1,1))</f>
        <v>228.0393346366489</v>
      </c>
      <c r="CZ69" s="60">
        <f t="shared" ref="CZ69:CZ132" si="96">$CZ$3</f>
        <v>238.591781509447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6.8</v>
      </c>
      <c r="DO69" s="13">
        <f>IF('Données projet'!$A$166&gt;35,DO68+DN69-DW68,IF(A69&lt;'Données projet'!$A$166,$DL$205^A69,IF(A69='Données projet'!$A$166,'Données projet'!$B$166,DO68+DN69-DW68)))</f>
        <v>235.79999999999993</v>
      </c>
      <c r="DP69" s="18">
        <f>DO69*VLOOKUP('Données projet'!$B$14,Paramètres!$A$1:$I$89,3,0)*VLOOKUP('Données projet'!$B$14,Paramètres!$A$1:$I$89,5,0)</f>
        <v>213.35183999999992</v>
      </c>
      <c r="DQ69" s="14">
        <f t="shared" ref="DQ69:DQ132" si="97">EXP(-1.0587+0.8836*LN(DP69)+0.284)</f>
        <v>52.667370665417188</v>
      </c>
      <c r="DR69" s="22">
        <f t="shared" si="70"/>
        <v>463.31679190893482</v>
      </c>
      <c r="DS69" s="60">
        <f t="shared" si="71"/>
        <v>756.65012524226813</v>
      </c>
      <c r="DT69" s="60">
        <f ca="1">AVERAGE(OFFSET($DS$3,0,0,'Données projet'!$E$14+1,1))-AVERAGE(OFFSET($H$3,0,0,'Données projet'!$E$14+1,1))</f>
        <v>303.73499739059076</v>
      </c>
      <c r="DU69" s="60">
        <f t="shared" ref="DU69:DU132" si="98">$DU$3</f>
        <v>172.32171001882188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11.896999999999997</v>
      </c>
      <c r="EJ69" s="13">
        <f>IF('Données projet'!$A$192&gt;35,EJ68+EI69-ER68,IF(A69&lt;'Données projet'!$A$192,$EG$205^A69,IF(A69='Données projet'!$A$192,'Données projet'!$B$192,EJ68+EI69-ER68)))</f>
        <v>442.47200000000026</v>
      </c>
      <c r="EK69" s="18">
        <f>EJ69*VLOOKUP('Données projet'!$B$15,Paramètres!$A$1:$I$89,3,0)*VLOOKUP('Données projet'!$B$15,Paramètres!$A$1:$I$89,5,0)</f>
        <v>264.59825600000016</v>
      </c>
      <c r="EL69" s="14">
        <f t="shared" ref="EL69:EL132" si="99">EXP(-1.0587+0.8836*LN(EK69)+0.284)</f>
        <v>63.701538011039567</v>
      </c>
      <c r="EM69" s="22">
        <f t="shared" si="73"/>
        <v>571.78880790256096</v>
      </c>
      <c r="EN69" s="60">
        <f t="shared" si="74"/>
        <v>865.12214123589433</v>
      </c>
      <c r="EO69" s="60">
        <f ca="1">AVERAGE(OFFSET($EN$3,0,0,'Données projet'!$E$15+1,1))-AVERAGE(OFFSET($H$3,0,0,'Données projet'!$E$15+1,1))</f>
        <v>269.94948820700841</v>
      </c>
      <c r="EP69" s="60">
        <f t="shared" ref="EP69:EP132" si="100">$EP$3</f>
        <v>183.45158355135192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5.0326785619650121</v>
      </c>
      <c r="EX69" s="23">
        <f>EXP(-LN(2)/2)*EX68+(1-EXP(-LN(2)/2))/(LN(2)/2)*ER69*EU69*VLOOKUP('Données projet'!$B$15,Paramètres!$A$1:$I$89,3,0)*0.475*44/12</f>
        <v>2.150738405410984E-5</v>
      </c>
      <c r="EY69" s="24">
        <f t="shared" si="75"/>
        <v>5.0327000693490662</v>
      </c>
      <c r="EZ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7.9230769230769234</v>
      </c>
      <c r="FE69" s="13">
        <f>IF('Données projet'!$A$218&gt;35,FE68+FD69-FM68,IF(A69&lt;'Données projet'!$A$218,$FB$205^A69,IF(A69='Données projet'!$A$218,'Données projet'!$B$218,FE68+FD69-FM68)))</f>
        <v>192.53846153846149</v>
      </c>
      <c r="FF69" s="18">
        <f>FE69*VLOOKUP('Données projet'!$B$16,Paramètres!$A$1:$I$89,3,0)*VLOOKUP('Données projet'!$B$16,Paramètres!$A$1:$I$89,5,0)</f>
        <v>115.13799999999998</v>
      </c>
      <c r="FG69" s="14">
        <f t="shared" ref="FG69:FG132" si="101">EXP(-1.0587+0.8836*LN(FF69)+0.284)</f>
        <v>30.538302424714985</v>
      </c>
      <c r="FH69" s="22">
        <f t="shared" si="76"/>
        <v>253.71956005637853</v>
      </c>
      <c r="FI69" s="60">
        <f t="shared" si="77"/>
        <v>547.05289338971181</v>
      </c>
      <c r="FJ69" s="60">
        <f ca="1">AVERAGE(OFFSET($FI$3,0,0,'Données projet'!$E$16+1,1))-AVERAGE(OFFSET($H$3,0,0,'Données projet'!$E$16+1,1))</f>
        <v>111.24788725253484</v>
      </c>
      <c r="FK69" s="60">
        <f t="shared" ref="FK69:FK132" si="102">$FK$3</f>
        <v>82.434879813357327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projet'!$B$16,Paramètres!$A$1:$I$89,3,0)*0.475*44/12</f>
        <v>0</v>
      </c>
      <c r="FR69" s="23">
        <f>EXP(-LN(2)/25)*FR68+(1-EXP(-LN(2)/25))/(LN(2)/25)*Calculateur!FM69*Calculateur!FO69*VLOOKUP('Données projet'!$B$16,Paramètres!$A$1:$I$89,3,0)*0.475*44/12</f>
        <v>0</v>
      </c>
      <c r="FS69" s="23">
        <f>EXP(-LN(2)/2)*FS68+(1-EXP(-LN(2)/2))/(LN(2)/2)*FM69*FP69*VLOOKUP('Données projet'!$B$16,Paramètres!$A$1:$I$89,3,0)*0.475*44/12</f>
        <v>0</v>
      </c>
      <c r="FT69" s="24">
        <f t="shared" si="78"/>
        <v>0</v>
      </c>
      <c r="FU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12.6</v>
      </c>
      <c r="FZ69" s="13">
        <f>IF('Données projet'!$A$244&gt;35,FZ68+FY69-GH68,IF(A69&lt;'Données projet'!$A$244,$FW$205^A69,IF(A69='Données projet'!$A$244,'Données projet'!$B$244,FZ68+FY69-GH68)))</f>
        <v>674.80000000000052</v>
      </c>
      <c r="GA69" s="18">
        <f>FZ69*VLOOKUP('Données projet'!$B$17,Paramètres!$A$1:$I$89,3,0)*VLOOKUP('Données projet'!$B$17,Paramètres!$A$1:$I$89,5,0)</f>
        <v>298.26160000000027</v>
      </c>
      <c r="GB69" s="14">
        <f t="shared" ref="GB69:GB132" si="103">EXP(-1.0587+0.8836*LN(GA69)+0.284)</f>
        <v>70.811904891462618</v>
      </c>
      <c r="GC69" s="22">
        <f t="shared" si="79"/>
        <v>642.80302101929783</v>
      </c>
      <c r="GD69" s="60">
        <f t="shared" si="80"/>
        <v>936.13635435263109</v>
      </c>
      <c r="GE69" s="60">
        <f ca="1">AVERAGE(OFFSET($GD$3,0,0,'Données projet'!$E$17+1,1))-AVERAGE(OFFSET($H$3,0,0,'Données projet'!$E$17+1,1))</f>
        <v>323.56667371063662</v>
      </c>
      <c r="GF69" s="60">
        <f t="shared" ref="GF69:GF132" si="104">$GF$3</f>
        <v>275.70373467723385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>
        <f>EXP(-LN(2)/35)*GL68+(1-EXP(-LN(2)/35))/(LN(2)/35)*GH69*GI69*VLOOKUP('Données projet'!$B$17,Paramètres!$A$1:$I$89,3,0)*0.475*44/12</f>
        <v>0</v>
      </c>
      <c r="GM69" s="23">
        <f>EXP(-LN(2)/25)*GM68+(1-EXP(-LN(2)/25))/(LN(2)/25)*Calculateur!GH69*Calculateur!GJ69*VLOOKUP('Données projet'!$B$17,Paramètres!$A$1:$I$89,3,0)*0.475*44/12</f>
        <v>0</v>
      </c>
      <c r="GN69" s="23">
        <f>EXP(-LN(2)/2)*GN68+(1-EXP(-LN(2)/2))/(LN(2)/2)*GH69*GK69*VLOOKUP('Données projet'!$B$17,Paramètres!$A$1:$I$89,3,0)*0.475*44/12</f>
        <v>0</v>
      </c>
      <c r="GO69" s="23">
        <f t="shared" si="81"/>
        <v>0</v>
      </c>
      <c r="GP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0" t="e">
        <f t="shared" si="83"/>
        <v>#N/A</v>
      </c>
      <c r="GZ69" s="60" t="e">
        <f ca="1">AVERAGE(OFFSET($GY$3,0,0,'Données projet'!$E$18+1,1))-AVERAGE(OFFSET($H$3,0,0,'Données projet'!$E$18+1,1))</f>
        <v>#N/A</v>
      </c>
      <c r="HA69" s="60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4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2">
        <f t="shared" si="86"/>
        <v>11.088050101306514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-1.1368683772161603E-13</v>
      </c>
      <c r="O70" s="14">
        <f>N70*VLOOKUP('Données projet'!$B$9,Paramètres!$A$1:$I$89,3,0)*VLOOKUP('Données projet'!$B$9,Paramètres!$A$1:$I$89,5,0)</f>
        <v>-6.7984728957526396E-14</v>
      </c>
      <c r="P70" s="14" t="e">
        <f t="shared" si="87"/>
        <v>#NUM!</v>
      </c>
      <c r="Q70" s="22" t="e">
        <f t="shared" si="54"/>
        <v>#NUM!</v>
      </c>
      <c r="R70" s="60" t="e">
        <f t="shared" si="55"/>
        <v>#NUM!</v>
      </c>
      <c r="S70" s="60">
        <f ca="1">AVERAGE(OFFSET($R$3,0,0,'Données projet'!$E$9+1,1))-AVERAGE(OFFSET($H$3,0,0,'Données projet'!$E$9+1,1))</f>
        <v>235.63766249714581</v>
      </c>
      <c r="T70" s="60">
        <f t="shared" si="88"/>
        <v>231.3297293785277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5.514059251726767</v>
      </c>
      <c r="AA70" s="23">
        <f>EXP(-LN(2)/25)*AA69+(1-EXP(-LN(2)/25))/(LN(2)/25)*Calculateur!V70*Calculateur!X70*VLOOKUP('Données projet'!$B$9,Paramètres!$A$1:$I$89,3,0)*0.475*44/12</f>
        <v>6.1978959859345135</v>
      </c>
      <c r="AB70" s="23">
        <f>EXP(-LN(2)/2)*AB69+(1-EXP(-LN(2)/2))/(LN(2)/2)*V70*Y70*VLOOKUP('Données projet'!$B$9,Paramètres!$A$1:$I$89,3,0)*0.475*44/12</f>
        <v>1.9185062350581068E-5</v>
      </c>
      <c r="AC70" s="24">
        <f t="shared" si="57"/>
        <v>11.711974422723632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242.59999999999994</v>
      </c>
      <c r="AJ70" s="14">
        <f>AI70*VLOOKUP('Données projet'!$B$10,Paramètres!$A$1:$I$89,3,0)*VLOOKUP('Données projet'!$B$10,Paramètres!$A$1:$I$89,5,0)</f>
        <v>245.99639999999997</v>
      </c>
      <c r="AK70" s="14">
        <f t="shared" si="89"/>
        <v>59.72782632026442</v>
      </c>
      <c r="AL70" s="22">
        <f t="shared" si="58"/>
        <v>532.46969417446041</v>
      </c>
      <c r="AM70" s="60">
        <f t="shared" si="59"/>
        <v>825.80302750779379</v>
      </c>
      <c r="AN70" s="60">
        <f ca="1">AVERAGE(OFFSET($AM$3,0,0,'Données projet'!$E$10+1,1))-AVERAGE(OFFSET($H$3,0,0,'Données projet'!$E$10+1,1))</f>
        <v>350.3652766444938</v>
      </c>
      <c r="AO70" s="60">
        <f t="shared" si="90"/>
        <v>197.04549436738586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6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6.8</v>
      </c>
      <c r="BD70" s="13">
        <f>IF('Données projet'!$A$88&gt;35,BD69+BC70-BL69,IF(A70&lt;'Données projet'!$A$88,$BA$205^A70,IF(A70='Données projet'!$A$88,'Données projet'!$B$88,BD69+BC70-BL69)))</f>
        <v>242.59999999999994</v>
      </c>
      <c r="BE70" s="14">
        <f>BD70*VLOOKUP('Données projet'!$B$11,Paramètres!$A$1:$I$89,3,0)*VLOOKUP('Données projet'!$B$11,Paramètres!$A$1:$I$89,5,0)</f>
        <v>234.64271999999994</v>
      </c>
      <c r="BF70" s="14">
        <f t="shared" si="91"/>
        <v>57.285375557336316</v>
      </c>
      <c r="BG70" s="22">
        <f t="shared" si="61"/>
        <v>508.44143309569387</v>
      </c>
      <c r="BH70" s="60">
        <f t="shared" si="62"/>
        <v>801.77476642902718</v>
      </c>
      <c r="BI70" s="60">
        <f ca="1">AVERAGE(OFFSET($BH$3,0,0,'Données projet'!$E$11+1,1))-AVERAGE(OFFSET($H$3,0,0,'Données projet'!$E$11+1,1))</f>
        <v>330.39429528665841</v>
      </c>
      <c r="BJ70" s="60">
        <f t="shared" si="92"/>
        <v>186.45728006007261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4.9999999999999947</v>
      </c>
      <c r="BY70" s="13">
        <f>IF('Données projet'!$A$114&gt;35,BY69+BX70-CG69,IF(A70&lt;'Données projet'!$A$114,$BV$205^A70,IF(A70='Données projet'!$A$114,'Données projet'!$B$114,BY69+BX70-CG69)))</f>
        <v>250.38461538461544</v>
      </c>
      <c r="BZ70" s="14">
        <f>BY70*VLOOKUP('Données projet'!$B$12,Paramètres!$A$1:$I$89,3,0)*VLOOKUP('Données projet'!$B$12,Paramètres!$A$1:$I$89,5,0)</f>
        <v>167.95800000000006</v>
      </c>
      <c r="CA70" s="14">
        <f t="shared" si="93"/>
        <v>42.632362356023975</v>
      </c>
      <c r="CB70" s="22">
        <f t="shared" si="64"/>
        <v>366.77821443674179</v>
      </c>
      <c r="CC70" s="60">
        <f t="shared" si="65"/>
        <v>660.11154777007505</v>
      </c>
      <c r="CD70" s="60">
        <f ca="1">AVERAGE(OFFSET($CC$3,0,0,'Données projet'!$E$12+1,1))-AVERAGE(OFFSET($H$3,0,0,'Données projet'!$E$12+1,1))</f>
        <v>212.33913923444732</v>
      </c>
      <c r="CE70" s="60">
        <f t="shared" si="94"/>
        <v>183.51194426094372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4</v>
      </c>
      <c r="CT70" s="13">
        <f>IF('Données projet'!$A$140&gt;35,CT69+CS70-DB69,IF(A70&lt;'Données projet'!$A$140,$CQ$205^A70,IF(A70='Données projet'!$A$140,'Données projet'!$B$140,CT69+CS70-DB69)))</f>
        <v>193.99999999999966</v>
      </c>
      <c r="CU70" s="18">
        <f>CT70*VLOOKUP('Données projet'!$B$13,Paramètres!$A$1:$I$89,3,0)*VLOOKUP('Données projet'!$B$13,Paramètres!$A$1:$I$89,5,0)</f>
        <v>169.47839999999971</v>
      </c>
      <c r="CV70" s="14">
        <f t="shared" si="95"/>
        <v>42.973181651930219</v>
      </c>
      <c r="CW70" s="22">
        <f t="shared" si="67"/>
        <v>370.01983804377795</v>
      </c>
      <c r="CX70" s="60">
        <f t="shared" si="68"/>
        <v>663.35317137711127</v>
      </c>
      <c r="CY70" s="60">
        <f ca="1">AVERAGE(OFFSET($CX$3,0,0,'Données projet'!$E$13+1,1))-AVERAGE(OFFSET($H$3,0,0,'Données projet'!$E$13+1,1))</f>
        <v>228.0393346366489</v>
      </c>
      <c r="CZ70" s="60">
        <f t="shared" si="96"/>
        <v>238.591781509447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6.8</v>
      </c>
      <c r="DO70" s="13">
        <f>IF('Données projet'!$A$166&gt;35,DO69+DN70-DW69,IF(A70&lt;'Données projet'!$A$166,$DL$205^A70,IF(A70='Données projet'!$A$166,'Données projet'!$B$166,DO69+DN70-DW69)))</f>
        <v>242.59999999999994</v>
      </c>
      <c r="DP70" s="18">
        <f>DO70*VLOOKUP('Données projet'!$B$14,Paramètres!$A$1:$I$89,3,0)*VLOOKUP('Données projet'!$B$14,Paramètres!$A$1:$I$89,5,0)</f>
        <v>219.50447999999992</v>
      </c>
      <c r="DQ70" s="14">
        <f t="shared" si="97"/>
        <v>54.007172767040167</v>
      </c>
      <c r="DR70" s="22">
        <f t="shared" si="70"/>
        <v>476.36612856926143</v>
      </c>
      <c r="DS70" s="60">
        <f t="shared" si="71"/>
        <v>769.69946190259475</v>
      </c>
      <c r="DT70" s="60">
        <f ca="1">AVERAGE(OFFSET($DS$3,0,0,'Données projet'!$E$14+1,1))-AVERAGE(OFFSET($H$3,0,0,'Données projet'!$E$14+1,1))</f>
        <v>303.73499739059076</v>
      </c>
      <c r="DU70" s="60">
        <f t="shared" si="98"/>
        <v>172.32171001882188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11.896999999999997</v>
      </c>
      <c r="EJ70" s="13">
        <f>IF('Données projet'!$A$192&gt;35,EJ69+EI70-ER69,IF(A70&lt;'Données projet'!$A$192,$EG$205^A70,IF(A70='Données projet'!$A$192,'Données projet'!$B$192,EJ69+EI70-ER69)))</f>
        <v>454.36900000000026</v>
      </c>
      <c r="EK70" s="18">
        <f>EJ70*VLOOKUP('Données projet'!$B$15,Paramètres!$A$1:$I$89,3,0)*VLOOKUP('Données projet'!$B$15,Paramètres!$A$1:$I$89,5,0)</f>
        <v>271.71266200000019</v>
      </c>
      <c r="EL70" s="14">
        <f t="shared" si="99"/>
        <v>65.212605520968935</v>
      </c>
      <c r="EM70" s="22">
        <f t="shared" si="73"/>
        <v>586.81150759902118</v>
      </c>
      <c r="EN70" s="60">
        <f t="shared" si="74"/>
        <v>880.14484093235455</v>
      </c>
      <c r="EO70" s="60">
        <f ca="1">AVERAGE(OFFSET($EN$3,0,0,'Données projet'!$E$15+1,1))-AVERAGE(OFFSET($H$3,0,0,'Données projet'!$E$15+1,1))</f>
        <v>269.94948820700841</v>
      </c>
      <c r="EP70" s="60">
        <f t="shared" si="100"/>
        <v>183.45158355135192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4.8950597020310154</v>
      </c>
      <c r="EX70" s="23">
        <f>EXP(-LN(2)/2)*EX69+(1-EXP(-LN(2)/2))/(LN(2)/2)*ER70*EU70*VLOOKUP('Données projet'!$B$15,Paramètres!$A$1:$I$89,3,0)*0.475*44/12</f>
        <v>1.520801711024449E-5</v>
      </c>
      <c r="EY70" s="24">
        <f t="shared" si="75"/>
        <v>4.8950749100481259</v>
      </c>
      <c r="EZ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7.9230769230769234</v>
      </c>
      <c r="FE70" s="13">
        <f>IF('Données projet'!$A$218&gt;35,FE69+FD70-FM69,IF(A70&lt;'Données projet'!$A$218,$FB$205^A70,IF(A70='Données projet'!$A$218,'Données projet'!$B$218,FE69+FD70-FM69)))</f>
        <v>200.46153846153842</v>
      </c>
      <c r="FF70" s="18">
        <f>FE70*VLOOKUP('Données projet'!$B$16,Paramètres!$A$1:$I$89,3,0)*VLOOKUP('Données projet'!$B$16,Paramètres!$A$1:$I$89,5,0)</f>
        <v>119.87599999999998</v>
      </c>
      <c r="FG70" s="14">
        <f t="shared" si="101"/>
        <v>31.646076590458268</v>
      </c>
      <c r="FH70" s="22">
        <f t="shared" si="76"/>
        <v>263.90095006171481</v>
      </c>
      <c r="FI70" s="60">
        <f t="shared" si="77"/>
        <v>557.23428339504812</v>
      </c>
      <c r="FJ70" s="60">
        <f ca="1">AVERAGE(OFFSET($FI$3,0,0,'Données projet'!$E$16+1,1))-AVERAGE(OFFSET($H$3,0,0,'Données projet'!$E$16+1,1))</f>
        <v>111.24788725253484</v>
      </c>
      <c r="FK70" s="60">
        <f t="shared" si="102"/>
        <v>82.434879813357327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projet'!$B$16,Paramètres!$A$1:$I$89,3,0)*0.475*44/12</f>
        <v>0</v>
      </c>
      <c r="FR70" s="23">
        <f>EXP(-LN(2)/25)*FR69+(1-EXP(-LN(2)/25))/(LN(2)/25)*Calculateur!FM70*Calculateur!FO70*VLOOKUP('Données projet'!$B$16,Paramètres!$A$1:$I$89,3,0)*0.475*44/12</f>
        <v>0</v>
      </c>
      <c r="FS70" s="23">
        <f>EXP(-LN(2)/2)*FS69+(1-EXP(-LN(2)/2))/(LN(2)/2)*FM70*FP70*VLOOKUP('Données projet'!$B$16,Paramètres!$A$1:$I$89,3,0)*0.475*44/12</f>
        <v>0</v>
      </c>
      <c r="FT70" s="24">
        <f t="shared" si="78"/>
        <v>0</v>
      </c>
      <c r="FU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12.6</v>
      </c>
      <c r="FZ70" s="13">
        <f>IF('Données projet'!$A$244&gt;35,FZ69+FY70-GH69,IF(A70&lt;'Données projet'!$A$244,$FW$205^A70,IF(A70='Données projet'!$A$244,'Données projet'!$B$244,FZ69+FY70-GH69)))</f>
        <v>687.40000000000055</v>
      </c>
      <c r="GA70" s="18">
        <f>FZ70*VLOOKUP('Données projet'!$B$17,Paramètres!$A$1:$I$89,3,0)*VLOOKUP('Données projet'!$B$17,Paramètres!$A$1:$I$89,5,0)</f>
        <v>303.83080000000029</v>
      </c>
      <c r="GB70" s="14">
        <f t="shared" si="103"/>
        <v>71.978952284171243</v>
      </c>
      <c r="GC70" s="22">
        <f t="shared" si="79"/>
        <v>654.53531856159873</v>
      </c>
      <c r="GD70" s="60">
        <f t="shared" si="80"/>
        <v>947.8686518949321</v>
      </c>
      <c r="GE70" s="60">
        <f ca="1">AVERAGE(OFFSET($GD$3,0,0,'Données projet'!$E$17+1,1))-AVERAGE(OFFSET($H$3,0,0,'Données projet'!$E$17+1,1))</f>
        <v>323.56667371063662</v>
      </c>
      <c r="GF70" s="60">
        <f t="shared" si="104"/>
        <v>275.70373467723385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>
        <f>EXP(-LN(2)/35)*GL69+(1-EXP(-LN(2)/35))/(LN(2)/35)*GH70*GI70*VLOOKUP('Données projet'!$B$17,Paramètres!$A$1:$I$89,3,0)*0.475*44/12</f>
        <v>0</v>
      </c>
      <c r="GM70" s="23">
        <f>EXP(-LN(2)/25)*GM69+(1-EXP(-LN(2)/25))/(LN(2)/25)*Calculateur!GH70*Calculateur!GJ70*VLOOKUP('Données projet'!$B$17,Paramètres!$A$1:$I$89,3,0)*0.475*44/12</f>
        <v>0</v>
      </c>
      <c r="GN70" s="23">
        <f>EXP(-LN(2)/2)*GN69+(1-EXP(-LN(2)/2))/(LN(2)/2)*GH70*GK70*VLOOKUP('Données projet'!$B$17,Paramètres!$A$1:$I$89,3,0)*0.475*44/12</f>
        <v>0</v>
      </c>
      <c r="GO70" s="23">
        <f t="shared" si="81"/>
        <v>0</v>
      </c>
      <c r="GP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0" t="e">
        <f t="shared" si="83"/>
        <v>#N/A</v>
      </c>
      <c r="GZ70" s="60" t="e">
        <f ca="1">AVERAGE(OFFSET($GY$3,0,0,'Données projet'!$E$18+1,1))-AVERAGE(OFFSET($H$3,0,0,'Données projet'!$E$18+1,1))</f>
        <v>#N/A</v>
      </c>
      <c r="HA70" s="60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4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2">
        <f t="shared" si="86"/>
        <v>11.234153644457548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-1.1368683772161603E-13</v>
      </c>
      <c r="O71" s="14">
        <f>N71*VLOOKUP('Données projet'!$B$9,Paramètres!$A$1:$I$89,3,0)*VLOOKUP('Données projet'!$B$9,Paramètres!$A$1:$I$89,5,0)</f>
        <v>-6.7984728957526396E-14</v>
      </c>
      <c r="P71" s="14" t="e">
        <f t="shared" si="87"/>
        <v>#NUM!</v>
      </c>
      <c r="Q71" s="22" t="e">
        <f t="shared" si="54"/>
        <v>#NUM!</v>
      </c>
      <c r="R71" s="60" t="e">
        <f t="shared" si="55"/>
        <v>#NUM!</v>
      </c>
      <c r="S71" s="60">
        <f ca="1">AVERAGE(OFFSET($R$3,0,0,'Données projet'!$E$9+1,1))-AVERAGE(OFFSET($H$3,0,0,'Données projet'!$E$9+1,1))</f>
        <v>235.63766249714581</v>
      </c>
      <c r="T71" s="60">
        <f t="shared" si="88"/>
        <v>231.3297293785277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5.4059319130444559</v>
      </c>
      <c r="AA71" s="23">
        <f>EXP(-LN(2)/25)*AA70+(1-EXP(-LN(2)/25))/(LN(2)/25)*Calculateur!V71*Calculateur!X71*VLOOKUP('Données projet'!$B$9,Paramètres!$A$1:$I$89,3,0)*0.475*44/12</f>
        <v>6.0284141942659497</v>
      </c>
      <c r="AB71" s="23">
        <f>EXP(-LN(2)/2)*AB70+(1-EXP(-LN(2)/2))/(LN(2)/2)*V71*Y71*VLOOKUP('Données projet'!$B$9,Paramètres!$A$1:$I$89,3,0)*0.475*44/12</f>
        <v>1.3565887685582599E-5</v>
      </c>
      <c r="AC71" s="24">
        <f t="shared" si="57"/>
        <v>11.434359673198092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249.39999999999995</v>
      </c>
      <c r="AJ71" s="14">
        <f>AI71*VLOOKUP('Données projet'!$B$10,Paramètres!$A$1:$I$89,3,0)*VLOOKUP('Données projet'!$B$10,Paramètres!$A$1:$I$89,5,0)</f>
        <v>252.89159999999998</v>
      </c>
      <c r="AK71" s="14">
        <f t="shared" si="89"/>
        <v>61.204718436590312</v>
      </c>
      <c r="AL71" s="22">
        <f t="shared" si="58"/>
        <v>547.05108794372802</v>
      </c>
      <c r="AM71" s="60">
        <f t="shared" si="59"/>
        <v>840.38442127706139</v>
      </c>
      <c r="AN71" s="60">
        <f ca="1">AVERAGE(OFFSET($AM$3,0,0,'Données projet'!$E$10+1,1))-AVERAGE(OFFSET($H$3,0,0,'Données projet'!$E$10+1,1))</f>
        <v>350.3652766444938</v>
      </c>
      <c r="AO71" s="60">
        <f t="shared" si="90"/>
        <v>197.04549436738586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6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6.8</v>
      </c>
      <c r="BD71" s="13">
        <f>IF('Données projet'!$A$88&gt;35,BD70+BC71-BL70,IF(A71&lt;'Données projet'!$A$88,$BA$205^A71,IF(A71='Données projet'!$A$88,'Données projet'!$B$88,BD70+BC71-BL70)))</f>
        <v>249.39999999999995</v>
      </c>
      <c r="BE71" s="14">
        <f>BD71*VLOOKUP('Données projet'!$B$11,Paramètres!$A$1:$I$89,3,0)*VLOOKUP('Données projet'!$B$11,Paramètres!$A$1:$I$89,5,0)</f>
        <v>241.21967999999995</v>
      </c>
      <c r="BF71" s="14">
        <f t="shared" si="91"/>
        <v>58.701873105526744</v>
      </c>
      <c r="BG71" s="22">
        <f t="shared" si="61"/>
        <v>522.36337165879229</v>
      </c>
      <c r="BH71" s="60">
        <f t="shared" si="62"/>
        <v>815.69670499212566</v>
      </c>
      <c r="BI71" s="60">
        <f ca="1">AVERAGE(OFFSET($BH$3,0,0,'Données projet'!$E$11+1,1))-AVERAGE(OFFSET($H$3,0,0,'Données projet'!$E$11+1,1))</f>
        <v>330.39429528665841</v>
      </c>
      <c r="BJ71" s="60">
        <f t="shared" si="92"/>
        <v>186.45728006007261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4.9999999999999947</v>
      </c>
      <c r="BY71" s="13">
        <f>IF('Données projet'!$A$114&gt;35,BY70+BX71-CG70,IF(A71&lt;'Données projet'!$A$114,$BV$205^A71,IF(A71='Données projet'!$A$114,'Données projet'!$B$114,BY70+BX71-CG70)))</f>
        <v>255.38461538461544</v>
      </c>
      <c r="BZ71" s="14">
        <f>BY71*VLOOKUP('Données projet'!$B$12,Paramètres!$A$1:$I$89,3,0)*VLOOKUP('Données projet'!$B$12,Paramètres!$A$1:$I$89,5,0)</f>
        <v>171.31200000000004</v>
      </c>
      <c r="CA71" s="14">
        <f t="shared" si="93"/>
        <v>43.383736333098376</v>
      </c>
      <c r="CB71" s="22">
        <f t="shared" si="64"/>
        <v>373.92840744681308</v>
      </c>
      <c r="CC71" s="60">
        <f t="shared" si="65"/>
        <v>667.2617407801464</v>
      </c>
      <c r="CD71" s="60">
        <f ca="1">AVERAGE(OFFSET($CC$3,0,0,'Données projet'!$E$12+1,1))-AVERAGE(OFFSET($H$3,0,0,'Données projet'!$E$12+1,1))</f>
        <v>212.33913923444732</v>
      </c>
      <c r="CE71" s="60">
        <f t="shared" si="94"/>
        <v>183.51194426094372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4</v>
      </c>
      <c r="CT71" s="13">
        <f>IF('Données projet'!$A$140&gt;35,CT70+CS71-DB70,IF(A71&lt;'Données projet'!$A$140,$CQ$205^A71,IF(A71='Données projet'!$A$140,'Données projet'!$B$140,CT70+CS71-DB70)))</f>
        <v>197.99999999999966</v>
      </c>
      <c r="CU71" s="18">
        <f>CT71*VLOOKUP('Données projet'!$B$13,Paramètres!$A$1:$I$89,3,0)*VLOOKUP('Données projet'!$B$13,Paramètres!$A$1:$I$89,5,0)</f>
        <v>172.97279999999972</v>
      </c>
      <c r="CV71" s="14">
        <f t="shared" si="95"/>
        <v>43.755158638197209</v>
      </c>
      <c r="CW71" s="22">
        <f t="shared" si="67"/>
        <v>377.46786129485963</v>
      </c>
      <c r="CX71" s="60">
        <f t="shared" si="68"/>
        <v>670.80119462819289</v>
      </c>
      <c r="CY71" s="60">
        <f ca="1">AVERAGE(OFFSET($CX$3,0,0,'Données projet'!$E$13+1,1))-AVERAGE(OFFSET($H$3,0,0,'Données projet'!$E$13+1,1))</f>
        <v>228.0393346366489</v>
      </c>
      <c r="CZ71" s="60">
        <f t="shared" si="96"/>
        <v>238.591781509447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6.8</v>
      </c>
      <c r="DO71" s="13">
        <f>IF('Données projet'!$A$166&gt;35,DO70+DN71-DW70,IF(A71&lt;'Données projet'!$A$166,$DL$205^A71,IF(A71='Données projet'!$A$166,'Données projet'!$B$166,DO70+DN71-DW70)))</f>
        <v>249.39999999999995</v>
      </c>
      <c r="DP71" s="18">
        <f>DO71*VLOOKUP('Données projet'!$B$14,Paramètres!$A$1:$I$89,3,0)*VLOOKUP('Données projet'!$B$14,Paramètres!$A$1:$I$89,5,0)</f>
        <v>225.65711999999994</v>
      </c>
      <c r="DQ71" s="14">
        <f t="shared" si="97"/>
        <v>55.342610076561513</v>
      </c>
      <c r="DR71" s="22">
        <f t="shared" si="70"/>
        <v>489.40786321667775</v>
      </c>
      <c r="DS71" s="60">
        <f t="shared" si="71"/>
        <v>782.74119655001107</v>
      </c>
      <c r="DT71" s="60">
        <f ca="1">AVERAGE(OFFSET($DS$3,0,0,'Données projet'!$E$14+1,1))-AVERAGE(OFFSET($H$3,0,0,'Données projet'!$E$14+1,1))</f>
        <v>303.73499739059076</v>
      </c>
      <c r="DU71" s="60">
        <f t="shared" si="98"/>
        <v>172.32171001882188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11.896999999999997</v>
      </c>
      <c r="EJ71" s="13">
        <f>IF('Données projet'!$A$192&gt;35,EJ70+EI71-ER70,IF(A71&lt;'Données projet'!$A$192,$EG$205^A71,IF(A71='Données projet'!$A$192,'Données projet'!$B$192,EJ70+EI71-ER70)))</f>
        <v>466.26600000000025</v>
      </c>
      <c r="EK71" s="18">
        <f>EJ71*VLOOKUP('Données projet'!$B$15,Paramètres!$A$1:$I$89,3,0)*VLOOKUP('Données projet'!$B$15,Paramètres!$A$1:$I$89,5,0)</f>
        <v>278.82706800000017</v>
      </c>
      <c r="EL71" s="14">
        <f t="shared" si="99"/>
        <v>66.719074104976841</v>
      </c>
      <c r="EM71" s="22">
        <f t="shared" si="73"/>
        <v>601.82619749950163</v>
      </c>
      <c r="EN71" s="60">
        <f t="shared" si="74"/>
        <v>895.15953083283489</v>
      </c>
      <c r="EO71" s="60">
        <f ca="1">AVERAGE(OFFSET($EN$3,0,0,'Données projet'!$E$15+1,1))-AVERAGE(OFFSET($H$3,0,0,'Données projet'!$E$15+1,1))</f>
        <v>269.94948820700841</v>
      </c>
      <c r="EP71" s="60">
        <f t="shared" si="100"/>
        <v>183.45158355135192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4.7612040370589757</v>
      </c>
      <c r="EX71" s="23">
        <f>EXP(-LN(2)/2)*EX70+(1-EXP(-LN(2)/2))/(LN(2)/2)*ER71*EU71*VLOOKUP('Données projet'!$B$15,Paramètres!$A$1:$I$89,3,0)*0.475*44/12</f>
        <v>1.0753692027054922E-5</v>
      </c>
      <c r="EY71" s="24">
        <f t="shared" si="75"/>
        <v>4.7612147907510023</v>
      </c>
      <c r="EZ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7.9230769230769234</v>
      </c>
      <c r="FE71" s="13">
        <f>IF('Données projet'!$A$218&gt;35,FE70+FD71-FM70,IF(A71&lt;'Données projet'!$A$218,$FB$205^A71,IF(A71='Données projet'!$A$218,'Données projet'!$B$218,FE70+FD71-FM70)))</f>
        <v>208.38461538461536</v>
      </c>
      <c r="FF71" s="18">
        <f>FE71*VLOOKUP('Données projet'!$B$16,Paramètres!$A$1:$I$89,3,0)*VLOOKUP('Données projet'!$B$16,Paramètres!$A$1:$I$89,5,0)</f>
        <v>124.61399999999999</v>
      </c>
      <c r="FG71" s="14">
        <f t="shared" si="101"/>
        <v>32.748764621718294</v>
      </c>
      <c r="FH71" s="22">
        <f t="shared" si="76"/>
        <v>274.07348171615934</v>
      </c>
      <c r="FI71" s="60">
        <f t="shared" si="77"/>
        <v>567.40681504949271</v>
      </c>
      <c r="FJ71" s="60">
        <f ca="1">AVERAGE(OFFSET($FI$3,0,0,'Données projet'!$E$16+1,1))-AVERAGE(OFFSET($H$3,0,0,'Données projet'!$E$16+1,1))</f>
        <v>111.24788725253484</v>
      </c>
      <c r="FK71" s="60">
        <f t="shared" si="102"/>
        <v>82.434879813357327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projet'!$B$16,Paramètres!$A$1:$I$89,3,0)*0.475*44/12</f>
        <v>0</v>
      </c>
      <c r="FR71" s="23">
        <f>EXP(-LN(2)/25)*FR70+(1-EXP(-LN(2)/25))/(LN(2)/25)*Calculateur!FM71*Calculateur!FO71*VLOOKUP('Données projet'!$B$16,Paramètres!$A$1:$I$89,3,0)*0.475*44/12</f>
        <v>0</v>
      </c>
      <c r="FS71" s="23">
        <f>EXP(-LN(2)/2)*FS70+(1-EXP(-LN(2)/2))/(LN(2)/2)*FM71*FP71*VLOOKUP('Données projet'!$B$16,Paramètres!$A$1:$I$89,3,0)*0.475*44/12</f>
        <v>0</v>
      </c>
      <c r="FT71" s="24">
        <f t="shared" si="78"/>
        <v>0</v>
      </c>
      <c r="FU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>
        <f>VLOOKUP(A71,'Données projet'!$A$243:$I$263,2,0)</f>
        <v>700</v>
      </c>
      <c r="FX71" s="13">
        <f>VLOOKUP(A71,'Données projet'!$A$243:$I$263,9,0)</f>
        <v>12.6</v>
      </c>
      <c r="FY71" s="13">
        <f t="array" ref="FY71">INDEX(FX:FX,MIN(IF(ISNUMBER(FX71:FX267),ROW(FX71:FX267),"")))</f>
        <v>12.6</v>
      </c>
      <c r="FZ71" s="13">
        <f>IF('Données projet'!$A$244&gt;35,FZ70+FY71-GH70,IF(A71&lt;'Données projet'!$A$244,$FW$205^A71,IF(A71='Données projet'!$A$244,'Données projet'!$B$244,FZ70+FY71-GH70)))</f>
        <v>700.00000000000057</v>
      </c>
      <c r="GA71" s="18">
        <f>FZ71*VLOOKUP('Données projet'!$B$17,Paramètres!$A$1:$I$89,3,0)*VLOOKUP('Données projet'!$B$17,Paramètres!$A$1:$I$89,5,0)</f>
        <v>309.40000000000026</v>
      </c>
      <c r="GB71" s="14">
        <f t="shared" si="103"/>
        <v>73.143512166070551</v>
      </c>
      <c r="GC71" s="22">
        <f t="shared" si="79"/>
        <v>666.26328368923998</v>
      </c>
      <c r="GD71" s="60">
        <f t="shared" si="80"/>
        <v>959.59661702257335</v>
      </c>
      <c r="GE71" s="60">
        <f ca="1">AVERAGE(OFFSET($GD$3,0,0,'Données projet'!$E$17+1,1))-AVERAGE(OFFSET($H$3,0,0,'Données projet'!$E$17+1,1))</f>
        <v>323.56667371063662</v>
      </c>
      <c r="GF71" s="60">
        <f t="shared" si="104"/>
        <v>275.70373467723385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>
        <f>EXP(-LN(2)/35)*GL70+(1-EXP(-LN(2)/35))/(LN(2)/35)*GH71*GI71*VLOOKUP('Données projet'!$B$17,Paramètres!$A$1:$I$89,3,0)*0.475*44/12</f>
        <v>0</v>
      </c>
      <c r="GM71" s="23">
        <f>EXP(-LN(2)/25)*GM70+(1-EXP(-LN(2)/25))/(LN(2)/25)*Calculateur!GH71*Calculateur!GJ71*VLOOKUP('Données projet'!$B$17,Paramètres!$A$1:$I$89,3,0)*0.475*44/12</f>
        <v>0</v>
      </c>
      <c r="GN71" s="23">
        <f>EXP(-LN(2)/2)*GN70+(1-EXP(-LN(2)/2))/(LN(2)/2)*GH71*GK71*VLOOKUP('Données projet'!$B$17,Paramètres!$A$1:$I$89,3,0)*0.475*44/12</f>
        <v>0</v>
      </c>
      <c r="GO71" s="23">
        <f t="shared" si="81"/>
        <v>0</v>
      </c>
      <c r="GP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0" t="e">
        <f t="shared" si="83"/>
        <v>#N/A</v>
      </c>
      <c r="GZ71" s="60" t="e">
        <f ca="1">AVERAGE(OFFSET($GY$3,0,0,'Données projet'!$E$18+1,1))-AVERAGE(OFFSET($H$3,0,0,'Données projet'!$E$18+1,1))</f>
        <v>#N/A</v>
      </c>
      <c r="HA71" s="60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4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2">
        <f t="shared" si="86"/>
        <v>11.380007297126165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-1.1368683772161603E-13</v>
      </c>
      <c r="O72" s="14">
        <f>N72*VLOOKUP('Données projet'!$B$9,Paramètres!$A$1:$I$89,3,0)*VLOOKUP('Données projet'!$B$9,Paramètres!$A$1:$I$89,5,0)</f>
        <v>-6.7984728957526396E-14</v>
      </c>
      <c r="P72" s="14" t="e">
        <f t="shared" si="87"/>
        <v>#NUM!</v>
      </c>
      <c r="Q72" s="22" t="e">
        <f t="shared" si="54"/>
        <v>#NUM!</v>
      </c>
      <c r="R72" s="60" t="e">
        <f t="shared" si="55"/>
        <v>#NUM!</v>
      </c>
      <c r="S72" s="60">
        <f ca="1">AVERAGE(OFFSET($R$3,0,0,'Données projet'!$E$9+1,1))-AVERAGE(OFFSET($H$3,0,0,'Données projet'!$E$9+1,1))</f>
        <v>235.63766249714581</v>
      </c>
      <c r="T72" s="60">
        <f t="shared" si="88"/>
        <v>231.3297293785277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5.2999248855225405</v>
      </c>
      <c r="AA72" s="23">
        <f>EXP(-LN(2)/25)*AA71+(1-EXP(-LN(2)/25))/(LN(2)/25)*Calculateur!V72*Calculateur!X72*VLOOKUP('Données projet'!$B$9,Paramètres!$A$1:$I$89,3,0)*0.475*44/12</f>
        <v>5.8635668911032228</v>
      </c>
      <c r="AB72" s="23">
        <f>EXP(-LN(2)/2)*AB71+(1-EXP(-LN(2)/2))/(LN(2)/2)*V72*Y72*VLOOKUP('Données projet'!$B$9,Paramètres!$A$1:$I$89,3,0)*0.475*44/12</f>
        <v>9.5925311752905342E-6</v>
      </c>
      <c r="AC72" s="24">
        <f t="shared" si="57"/>
        <v>11.163501369156938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256.19999999999993</v>
      </c>
      <c r="AJ72" s="14">
        <f>AI72*VLOOKUP('Données projet'!$B$10,Paramètres!$A$1:$I$89,3,0)*VLOOKUP('Données projet'!$B$10,Paramètres!$A$1:$I$89,5,0)</f>
        <v>259.78679999999997</v>
      </c>
      <c r="AK72" s="14">
        <f t="shared" si="89"/>
        <v>62.676930162260739</v>
      </c>
      <c r="AL72" s="22">
        <f t="shared" si="58"/>
        <v>561.62433003260401</v>
      </c>
      <c r="AM72" s="60">
        <f t="shared" si="59"/>
        <v>854.95766336593738</v>
      </c>
      <c r="AN72" s="60">
        <f ca="1">AVERAGE(OFFSET($AM$3,0,0,'Données projet'!$E$10+1,1))-AVERAGE(OFFSET($H$3,0,0,'Données projet'!$E$10+1,1))</f>
        <v>350.3652766444938</v>
      </c>
      <c r="AO72" s="60">
        <f t="shared" si="90"/>
        <v>197.04549436738586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6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6.8</v>
      </c>
      <c r="BD72" s="13">
        <f>IF('Données projet'!$A$88&gt;35,BD71+BC72-BL71,IF(A72&lt;'Données projet'!$A$88,$BA$205^A72,IF(A72='Données projet'!$A$88,'Données projet'!$B$88,BD71+BC72-BL71)))</f>
        <v>256.19999999999993</v>
      </c>
      <c r="BE72" s="14">
        <f>BD72*VLOOKUP('Données projet'!$B$11,Paramètres!$A$1:$I$89,3,0)*VLOOKUP('Données projet'!$B$11,Paramètres!$A$1:$I$89,5,0)</f>
        <v>247.79663999999997</v>
      </c>
      <c r="BF72" s="14">
        <f t="shared" si="91"/>
        <v>60.113881658336368</v>
      </c>
      <c r="BG72" s="22">
        <f t="shared" si="61"/>
        <v>536.27749188826908</v>
      </c>
      <c r="BH72" s="60">
        <f t="shared" si="62"/>
        <v>829.61082522160245</v>
      </c>
      <c r="BI72" s="60">
        <f ca="1">AVERAGE(OFFSET($BH$3,0,0,'Données projet'!$E$11+1,1))-AVERAGE(OFFSET($H$3,0,0,'Données projet'!$E$11+1,1))</f>
        <v>330.39429528665841</v>
      </c>
      <c r="BJ72" s="60">
        <f t="shared" si="92"/>
        <v>186.45728006007261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4.9999999999999947</v>
      </c>
      <c r="BY72" s="13">
        <f>IF('Données projet'!$A$114&gt;35,BY71+BX72-CG71,IF(A72&lt;'Données projet'!$A$114,$BV$205^A72,IF(A72='Données projet'!$A$114,'Données projet'!$B$114,BY71+BX72-CG71)))</f>
        <v>260.38461538461542</v>
      </c>
      <c r="BZ72" s="14">
        <f>BY72*VLOOKUP('Données projet'!$B$12,Paramètres!$A$1:$I$89,3,0)*VLOOKUP('Données projet'!$B$12,Paramètres!$A$1:$I$89,5,0)</f>
        <v>174.66600000000003</v>
      </c>
      <c r="CA72" s="14">
        <f t="shared" si="93"/>
        <v>44.133399826367565</v>
      </c>
      <c r="CB72" s="22">
        <f t="shared" si="64"/>
        <v>381.0756213642569</v>
      </c>
      <c r="CC72" s="60">
        <f t="shared" si="65"/>
        <v>674.40895469759016</v>
      </c>
      <c r="CD72" s="60">
        <f ca="1">AVERAGE(OFFSET($CC$3,0,0,'Données projet'!$E$12+1,1))-AVERAGE(OFFSET($H$3,0,0,'Données projet'!$E$12+1,1))</f>
        <v>212.33913923444732</v>
      </c>
      <c r="CE72" s="60">
        <f t="shared" si="94"/>
        <v>183.51194426094372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4</v>
      </c>
      <c r="CT72" s="13">
        <f>IF('Données projet'!$A$140&gt;35,CT71+CS72-DB71,IF(A72&lt;'Données projet'!$A$140,$CQ$205^A72,IF(A72='Données projet'!$A$140,'Données projet'!$B$140,CT71+CS72-DB71)))</f>
        <v>201.99999999999966</v>
      </c>
      <c r="CU72" s="18">
        <f>CT72*VLOOKUP('Données projet'!$B$13,Paramètres!$A$1:$I$89,3,0)*VLOOKUP('Données projet'!$B$13,Paramètres!$A$1:$I$89,5,0)</f>
        <v>176.46719999999974</v>
      </c>
      <c r="CV72" s="14">
        <f t="shared" si="95"/>
        <v>44.53529882198935</v>
      </c>
      <c r="CW72" s="22">
        <f t="shared" si="67"/>
        <v>384.91268544829768</v>
      </c>
      <c r="CX72" s="60">
        <f t="shared" si="68"/>
        <v>678.24601878163094</v>
      </c>
      <c r="CY72" s="60">
        <f ca="1">AVERAGE(OFFSET($CX$3,0,0,'Données projet'!$E$13+1,1))-AVERAGE(OFFSET($H$3,0,0,'Données projet'!$E$13+1,1))</f>
        <v>228.0393346366489</v>
      </c>
      <c r="CZ72" s="60">
        <f t="shared" si="96"/>
        <v>238.591781509447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6.8</v>
      </c>
      <c r="DO72" s="13">
        <f>IF('Données projet'!$A$166&gt;35,DO71+DN72-DW71,IF(A72&lt;'Données projet'!$A$166,$DL$205^A72,IF(A72='Données projet'!$A$166,'Données projet'!$B$166,DO71+DN72-DW71)))</f>
        <v>256.19999999999993</v>
      </c>
      <c r="DP72" s="18">
        <f>DO72*VLOOKUP('Données projet'!$B$14,Paramètres!$A$1:$I$89,3,0)*VLOOKUP('Données projet'!$B$14,Paramètres!$A$1:$I$89,5,0)</f>
        <v>231.80975999999993</v>
      </c>
      <c r="DQ72" s="14">
        <f t="shared" si="97"/>
        <v>56.673815277159328</v>
      </c>
      <c r="DR72" s="22">
        <f t="shared" si="70"/>
        <v>502.44222694105241</v>
      </c>
      <c r="DS72" s="60">
        <f t="shared" si="71"/>
        <v>795.77556027438573</v>
      </c>
      <c r="DT72" s="60">
        <f ca="1">AVERAGE(OFFSET($DS$3,0,0,'Données projet'!$E$14+1,1))-AVERAGE(OFFSET($H$3,0,0,'Données projet'!$E$14+1,1))</f>
        <v>303.73499739059076</v>
      </c>
      <c r="DU72" s="60">
        <f t="shared" si="98"/>
        <v>172.32171001882188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11.896999999999997</v>
      </c>
      <c r="EJ72" s="13">
        <f>IF('Données projet'!$A$192&gt;35,EJ71+EI72-ER71,IF(A72&lt;'Données projet'!$A$192,$EG$205^A72,IF(A72='Données projet'!$A$192,'Données projet'!$B$192,EJ71+EI72-ER71)))</f>
        <v>478.16300000000024</v>
      </c>
      <c r="EK72" s="18">
        <f>EJ72*VLOOKUP('Données projet'!$B$15,Paramètres!$A$1:$I$89,3,0)*VLOOKUP('Données projet'!$B$15,Paramètres!$A$1:$I$89,5,0)</f>
        <v>285.94147400000014</v>
      </c>
      <c r="EL72" s="14">
        <f t="shared" si="99"/>
        <v>68.221074600056156</v>
      </c>
      <c r="EM72" s="22">
        <f t="shared" si="73"/>
        <v>616.83310547843132</v>
      </c>
      <c r="EN72" s="60">
        <f t="shared" si="74"/>
        <v>910.16643881176469</v>
      </c>
      <c r="EO72" s="60">
        <f ca="1">AVERAGE(OFFSET($EN$3,0,0,'Données projet'!$E$15+1,1))-AVERAGE(OFFSET($H$3,0,0,'Données projet'!$E$15+1,1))</f>
        <v>269.94948820700841</v>
      </c>
      <c r="EP72" s="60">
        <f t="shared" si="100"/>
        <v>183.45158355135192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4.6310086622847599</v>
      </c>
      <c r="EX72" s="23">
        <f>EXP(-LN(2)/2)*EX71+(1-EXP(-LN(2)/2))/(LN(2)/2)*ER72*EU72*VLOOKUP('Données projet'!$B$15,Paramètres!$A$1:$I$89,3,0)*0.475*44/12</f>
        <v>7.6040085551222457E-6</v>
      </c>
      <c r="EY72" s="24">
        <f t="shared" si="75"/>
        <v>4.6310162662933152</v>
      </c>
      <c r="EZ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7.9230769230769234</v>
      </c>
      <c r="FE72" s="13">
        <f>IF('Données projet'!$A$218&gt;35,FE71+FD72-FM71,IF(A72&lt;'Données projet'!$A$218,$FB$205^A72,IF(A72='Données projet'!$A$218,'Données projet'!$B$218,FE71+FD72-FM71)))</f>
        <v>216.30769230769229</v>
      </c>
      <c r="FF72" s="18">
        <f>FE72*VLOOKUP('Données projet'!$B$16,Paramètres!$A$1:$I$89,3,0)*VLOOKUP('Données projet'!$B$16,Paramètres!$A$1:$I$89,5,0)</f>
        <v>129.352</v>
      </c>
      <c r="FG72" s="14">
        <f t="shared" si="101"/>
        <v>33.846582038850023</v>
      </c>
      <c r="FH72" s="22">
        <f t="shared" si="76"/>
        <v>284.23753038433046</v>
      </c>
      <c r="FI72" s="60">
        <f t="shared" si="77"/>
        <v>577.57086371766377</v>
      </c>
      <c r="FJ72" s="60">
        <f ca="1">AVERAGE(OFFSET($FI$3,0,0,'Données projet'!$E$16+1,1))-AVERAGE(OFFSET($H$3,0,0,'Données projet'!$E$16+1,1))</f>
        <v>111.24788725253484</v>
      </c>
      <c r="FK72" s="60">
        <f t="shared" si="102"/>
        <v>82.434879813357327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projet'!$B$16,Paramètres!$A$1:$I$89,3,0)*0.475*44/12</f>
        <v>0</v>
      </c>
      <c r="FR72" s="23">
        <f>EXP(-LN(2)/25)*FR71+(1-EXP(-LN(2)/25))/(LN(2)/25)*Calculateur!FM72*Calculateur!FO72*VLOOKUP('Données projet'!$B$16,Paramètres!$A$1:$I$89,3,0)*0.475*44/12</f>
        <v>0</v>
      </c>
      <c r="FS72" s="23">
        <f>EXP(-LN(2)/2)*FS71+(1-EXP(-LN(2)/2))/(LN(2)/2)*FM72*FP72*VLOOKUP('Données projet'!$B$16,Paramètres!$A$1:$I$89,3,0)*0.475*44/12</f>
        <v>0</v>
      </c>
      <c r="FT72" s="24">
        <f t="shared" si="78"/>
        <v>0</v>
      </c>
      <c r="FU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10.199999999999999</v>
      </c>
      <c r="FZ72" s="13">
        <f>IF('Données projet'!$A$244&gt;35,FZ71+FY72-GH71,IF(A72&lt;'Données projet'!$A$244,$FW$205^A72,IF(A72='Données projet'!$A$244,'Données projet'!$B$244,FZ71+FY72-GH71)))</f>
        <v>710.20000000000061</v>
      </c>
      <c r="GA72" s="18">
        <f>FZ72*VLOOKUP('Données projet'!$B$17,Paramètres!$A$1:$I$89,3,0)*VLOOKUP('Données projet'!$B$17,Paramètres!$A$1:$I$89,5,0)</f>
        <v>313.90840000000031</v>
      </c>
      <c r="GB72" s="14">
        <f t="shared" si="103"/>
        <v>74.08446351662127</v>
      </c>
      <c r="GC72" s="22">
        <f t="shared" si="79"/>
        <v>675.75423729144916</v>
      </c>
      <c r="GD72" s="60">
        <f t="shared" si="80"/>
        <v>969.08757062478253</v>
      </c>
      <c r="GE72" s="60">
        <f ca="1">AVERAGE(OFFSET($GD$3,0,0,'Données projet'!$E$17+1,1))-AVERAGE(OFFSET($H$3,0,0,'Données projet'!$E$17+1,1))</f>
        <v>323.56667371063662</v>
      </c>
      <c r="GF72" s="60">
        <f t="shared" si="104"/>
        <v>275.70373467723385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>
        <f>EXP(-LN(2)/35)*GL71+(1-EXP(-LN(2)/35))/(LN(2)/35)*GH72*GI72*VLOOKUP('Données projet'!$B$17,Paramètres!$A$1:$I$89,3,0)*0.475*44/12</f>
        <v>0</v>
      </c>
      <c r="GM72" s="23">
        <f>EXP(-LN(2)/25)*GM71+(1-EXP(-LN(2)/25))/(LN(2)/25)*Calculateur!GH72*Calculateur!GJ72*VLOOKUP('Données projet'!$B$17,Paramètres!$A$1:$I$89,3,0)*0.475*44/12</f>
        <v>0</v>
      </c>
      <c r="GN72" s="23">
        <f>EXP(-LN(2)/2)*GN71+(1-EXP(-LN(2)/2))/(LN(2)/2)*GH72*GK72*VLOOKUP('Données projet'!$B$17,Paramètres!$A$1:$I$89,3,0)*0.475*44/12</f>
        <v>0</v>
      </c>
      <c r="GO72" s="23">
        <f t="shared" si="81"/>
        <v>0</v>
      </c>
      <c r="GP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0" t="e">
        <f t="shared" si="83"/>
        <v>#N/A</v>
      </c>
      <c r="GZ72" s="60" t="e">
        <f ca="1">AVERAGE(OFFSET($GY$3,0,0,'Données projet'!$E$18+1,1))-AVERAGE(OFFSET($H$3,0,0,'Données projet'!$E$18+1,1))</f>
        <v>#N/A</v>
      </c>
      <c r="HA72" s="60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4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2">
        <f t="shared" si="86"/>
        <v>11.525615099344252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-1.1368683772161603E-13</v>
      </c>
      <c r="O73" s="14">
        <f>N73*VLOOKUP('Données projet'!$B$9,Paramètres!$A$1:$I$89,3,0)*VLOOKUP('Données projet'!$B$9,Paramètres!$A$1:$I$89,5,0)</f>
        <v>-6.7984728957526396E-14</v>
      </c>
      <c r="P73" s="14" t="e">
        <f t="shared" si="87"/>
        <v>#NUM!</v>
      </c>
      <c r="Q73" s="22" t="e">
        <f t="shared" si="54"/>
        <v>#NUM!</v>
      </c>
      <c r="R73" s="60" t="e">
        <f t="shared" si="55"/>
        <v>#NUM!</v>
      </c>
      <c r="S73" s="60">
        <f ca="1">AVERAGE(OFFSET($R$3,0,0,'Données projet'!$E$9+1,1))-AVERAGE(OFFSET($H$3,0,0,'Données projet'!$E$9+1,1))</f>
        <v>235.63766249714581</v>
      </c>
      <c r="T73" s="60">
        <f t="shared" si="88"/>
        <v>231.3297293785277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5.1959965911524275</v>
      </c>
      <c r="AA73" s="23">
        <f>EXP(-LN(2)/25)*AA72+(1-EXP(-LN(2)/25))/(LN(2)/25)*Calculateur!V73*Calculateur!X73*VLOOKUP('Données projet'!$B$9,Paramètres!$A$1:$I$89,3,0)*0.475*44/12</f>
        <v>5.7032273461144234</v>
      </c>
      <c r="AB73" s="23">
        <f>EXP(-LN(2)/2)*AB72+(1-EXP(-LN(2)/2))/(LN(2)/2)*V73*Y73*VLOOKUP('Données projet'!$B$9,Paramètres!$A$1:$I$89,3,0)*0.475*44/12</f>
        <v>6.7829438427912993E-6</v>
      </c>
      <c r="AC73" s="24">
        <f t="shared" si="57"/>
        <v>10.899230720210692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263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262.99999999999994</v>
      </c>
      <c r="AJ73" s="14">
        <f>AI73*VLOOKUP('Données projet'!$B$10,Paramètres!$A$1:$I$89,3,0)*VLOOKUP('Données projet'!$B$10,Paramètres!$A$1:$I$89,5,0)</f>
        <v>266.68199999999996</v>
      </c>
      <c r="AK73" s="14">
        <f t="shared" si="89"/>
        <v>64.144600001897771</v>
      </c>
      <c r="AL73" s="22">
        <f t="shared" si="58"/>
        <v>576.189661669972</v>
      </c>
      <c r="AM73" s="60">
        <f t="shared" si="59"/>
        <v>869.52299500330537</v>
      </c>
      <c r="AN73" s="60">
        <f ca="1">AVERAGE(OFFSET($AM$3,0,0,'Données projet'!$E$10+1,1))-AVERAGE(OFFSET($H$3,0,0,'Données projet'!$E$10+1,1))</f>
        <v>350.3652766444938</v>
      </c>
      <c r="AO73" s="60">
        <f t="shared" si="90"/>
        <v>197.04549436738586</v>
      </c>
      <c r="AP73" s="16">
        <f>IF(ISNA(VLOOKUP(A73,'Données projet'!$A$61:$I$81,3,0)),0,VLOOKUP(A73,'Données projet'!$A$61:$I$81,3,0))</f>
        <v>5</v>
      </c>
      <c r="AQ73" s="16">
        <f>IF(ISNA(VLOOKUP(A73,'Données projet'!$A$61:$I$81,4,0)),0,VLOOKUP(A73,'Données projet'!$A$61:$I$81,4,0))</f>
        <v>42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6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263</v>
      </c>
      <c r="BB73" s="13">
        <f>VLOOKUP(A73,'Données projet'!$A$87:$I$107,9,0)</f>
        <v>6.8</v>
      </c>
      <c r="BC73" s="13">
        <f t="array" ref="BC73">INDEX(BB:BB,MIN(IF(ISNUMBER(BB73:BB269),ROW(BB73:BB269),"")))</f>
        <v>6.8</v>
      </c>
      <c r="BD73" s="13">
        <f>IF('Données projet'!$A$88&gt;35,BD72+BC73-BL72,IF(A73&lt;'Données projet'!$A$88,$BA$205^A73,IF(A73='Données projet'!$A$88,'Données projet'!$B$88,BD72+BC73-BL72)))</f>
        <v>262.99999999999994</v>
      </c>
      <c r="BE73" s="14">
        <f>BD73*VLOOKUP('Données projet'!$B$11,Paramètres!$A$1:$I$89,3,0)*VLOOKUP('Données projet'!$B$11,Paramètres!$A$1:$I$89,5,0)</f>
        <v>254.37359999999998</v>
      </c>
      <c r="BF73" s="14">
        <f t="shared" si="91"/>
        <v>61.521534056516209</v>
      </c>
      <c r="BG73" s="22">
        <f t="shared" si="61"/>
        <v>550.1840251484324</v>
      </c>
      <c r="BH73" s="60">
        <f t="shared" si="62"/>
        <v>843.51735848176577</v>
      </c>
      <c r="BI73" s="60">
        <f ca="1">AVERAGE(OFFSET($BH$3,0,0,'Données projet'!$E$11+1,1))-AVERAGE(OFFSET($H$3,0,0,'Données projet'!$E$11+1,1))</f>
        <v>330.39429528665841</v>
      </c>
      <c r="BJ73" s="60">
        <f t="shared" si="92"/>
        <v>186.45728006007261</v>
      </c>
      <c r="BK73" s="16">
        <f>IF(ISNA(VLOOKUP(A73,'Données projet'!$A$87:$I$107,3,0)),0,VLOOKUP(A73,'Données projet'!$A$87:$I$107,3,0))</f>
        <v>5</v>
      </c>
      <c r="BL73" s="16">
        <f>IF(ISNA(VLOOKUP(A73,'Données projet'!$A$87:$I$107,4,0)),0,VLOOKUP(A73,'Données projet'!$A$87:$I$107,4,0))</f>
        <v>42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265.38461538461536</v>
      </c>
      <c r="BW73" s="13">
        <f>VLOOKUP(A73,'Données projet'!$A$113:$I$133,9,0)</f>
        <v>4.9999999999999947</v>
      </c>
      <c r="BX73" s="13">
        <f t="array" ref="BX73">INDEX(BW:BW,MIN(IF(ISNUMBER(BW73:BW269),ROW(BW73:BW269),"")))</f>
        <v>4.9999999999999947</v>
      </c>
      <c r="BY73" s="13">
        <f>IF('Données projet'!$A$114&gt;35,BY72+BX73-CG72,IF(A73&lt;'Données projet'!$A$114,$BV$205^A73,IF(A73='Données projet'!$A$114,'Données projet'!$B$114,BY72+BX73-CG72)))</f>
        <v>265.38461538461542</v>
      </c>
      <c r="BZ73" s="14">
        <f>BY73*VLOOKUP('Données projet'!$B$12,Paramètres!$A$1:$I$89,3,0)*VLOOKUP('Données projet'!$B$12,Paramètres!$A$1:$I$89,5,0)</f>
        <v>178.02000000000004</v>
      </c>
      <c r="CA73" s="14">
        <f t="shared" si="93"/>
        <v>44.881389467952083</v>
      </c>
      <c r="CB73" s="22">
        <f t="shared" si="64"/>
        <v>388.21991999001654</v>
      </c>
      <c r="CC73" s="60">
        <f t="shared" si="65"/>
        <v>681.55325332334985</v>
      </c>
      <c r="CD73" s="60">
        <f ca="1">AVERAGE(OFFSET($CC$3,0,0,'Données projet'!$E$12+1,1))-AVERAGE(OFFSET($H$3,0,0,'Données projet'!$E$12+1,1))</f>
        <v>212.33913923444732</v>
      </c>
      <c r="CE73" s="60">
        <f t="shared" si="94"/>
        <v>183.51194426094372</v>
      </c>
      <c r="CF73" s="16">
        <f>IF(ISNA(VLOOKUP(A73,'Données projet'!$A$113:$I$133,3,0)),0,VLOOKUP(A73,'Données projet'!$A$113:$I$133,3,0))</f>
        <v>6</v>
      </c>
      <c r="CG73" s="16">
        <f>IF(ISNA(VLOOKUP(A73,'Données projet'!$A$113:$I$133,4,0)),0,VLOOKUP(A73,'Données projet'!$A$113:$I$133,4,0))</f>
        <v>27.564102564102562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206</v>
      </c>
      <c r="CR73" s="13">
        <f>VLOOKUP(A73,'Données projet'!$A$139:$I$159,9,0)</f>
        <v>4</v>
      </c>
      <c r="CS73" s="13">
        <f t="array" ref="CS73">INDEX(CR:CR,MIN(IF(ISNUMBER(CR73:CR269),ROW(CR73:CR269),"")))</f>
        <v>4</v>
      </c>
      <c r="CT73" s="13">
        <f>IF('Données projet'!$A$140&gt;35,CT72+CS73-DB72,IF(A73&lt;'Données projet'!$A$140,$CQ$205^A73,IF(A73='Données projet'!$A$140,'Données projet'!$B$140,CT72+CS73-DB72)))</f>
        <v>205.99999999999966</v>
      </c>
      <c r="CU73" s="18">
        <f>CT73*VLOOKUP('Données projet'!$B$13,Paramètres!$A$1:$I$89,3,0)*VLOOKUP('Données projet'!$B$13,Paramètres!$A$1:$I$89,5,0)</f>
        <v>179.96159999999972</v>
      </c>
      <c r="CV73" s="14">
        <f t="shared" si="95"/>
        <v>45.313642767960062</v>
      </c>
      <c r="CW73" s="22">
        <f t="shared" si="67"/>
        <v>392.35438115419657</v>
      </c>
      <c r="CX73" s="60">
        <f t="shared" si="68"/>
        <v>685.68771448752989</v>
      </c>
      <c r="CY73" s="60">
        <f ca="1">AVERAGE(OFFSET($CX$3,0,0,'Données projet'!$E$13+1,1))-AVERAGE(OFFSET($H$3,0,0,'Données projet'!$E$13+1,1))</f>
        <v>228.0393346366489</v>
      </c>
      <c r="CZ73" s="60">
        <f t="shared" si="96"/>
        <v>238.591781509447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263</v>
      </c>
      <c r="DM73" s="13">
        <f>VLOOKUP(A73,'Données projet'!$A$165:$I$185,9,0)</f>
        <v>6.8</v>
      </c>
      <c r="DN73" s="13">
        <f t="array" ref="DN73">INDEX(DM:DM,MIN(IF(ISNUMBER(DM73:DM269),ROW(DM73:DM269),"")))</f>
        <v>6.8</v>
      </c>
      <c r="DO73" s="13">
        <f>IF('Données projet'!$A$166&gt;35,DO72+DN73-DW72,IF(A73&lt;'Données projet'!$A$166,$DL$205^A73,IF(A73='Données projet'!$A$166,'Données projet'!$B$166,DO72+DN73-DW72)))</f>
        <v>262.99999999999994</v>
      </c>
      <c r="DP73" s="18">
        <f>DO73*VLOOKUP('Données projet'!$B$14,Paramètres!$A$1:$I$89,3,0)*VLOOKUP('Données projet'!$B$14,Paramètres!$A$1:$I$89,5,0)</f>
        <v>237.96239999999995</v>
      </c>
      <c r="DQ73" s="14">
        <f t="shared" si="97"/>
        <v>58.00091360766335</v>
      </c>
      <c r="DR73" s="22">
        <f t="shared" si="70"/>
        <v>515.4694378666801</v>
      </c>
      <c r="DS73" s="60">
        <f t="shared" si="71"/>
        <v>808.80277120001347</v>
      </c>
      <c r="DT73" s="60">
        <f ca="1">AVERAGE(OFFSET($DS$3,0,0,'Données projet'!$E$14+1,1))-AVERAGE(OFFSET($H$3,0,0,'Données projet'!$E$14+1,1))</f>
        <v>303.73499739059076</v>
      </c>
      <c r="DU73" s="60">
        <f t="shared" si="98"/>
        <v>172.32171001882188</v>
      </c>
      <c r="DV73" s="16">
        <f>IF(ISNA(VLOOKUP(A73,'Données projet'!$A$165:$I$185,3,0)),0,VLOOKUP(A73,'Données projet'!$A$165:$I$185,3,0))</f>
        <v>5</v>
      </c>
      <c r="DW73" s="16">
        <f>IF(ISNA(VLOOKUP(A73,'Données projet'!$A$165:$I$185,4,0)),0,VLOOKUP(A73,'Données projet'!$A$165:$I$185,4,0))</f>
        <v>42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490.06</v>
      </c>
      <c r="EH73" s="13">
        <f>VLOOKUP(A73,'Données projet'!$A$191:$I$211,9,0)</f>
        <v>11.896999999999997</v>
      </c>
      <c r="EI73" s="13">
        <f t="array" ref="EI73">INDEX(EH:EH,MIN(IF(ISNUMBER(EH73:EH269),ROW(EH73:EH269),"")))</f>
        <v>11.896999999999997</v>
      </c>
      <c r="EJ73" s="13">
        <f>IF('Données projet'!$A$192&gt;35,EJ72+EI73-ER72,IF(A73&lt;'Données projet'!$A$192,$EG$205^A73,IF(A73='Données projet'!$A$192,'Données projet'!$B$192,EJ72+EI73-ER72)))</f>
        <v>490.06000000000023</v>
      </c>
      <c r="EK73" s="18">
        <f>EJ73*VLOOKUP('Données projet'!$B$15,Paramètres!$A$1:$I$89,3,0)*VLOOKUP('Données projet'!$B$15,Paramètres!$A$1:$I$89,5,0)</f>
        <v>293.05588000000017</v>
      </c>
      <c r="EL73" s="14">
        <f t="shared" si="99"/>
        <v>69.718730961493122</v>
      </c>
      <c r="EM73" s="22">
        <f t="shared" si="73"/>
        <v>631.83244742460067</v>
      </c>
      <c r="EN73" s="60">
        <f t="shared" si="74"/>
        <v>925.16578075793404</v>
      </c>
      <c r="EO73" s="60">
        <f ca="1">AVERAGE(OFFSET($EN$3,0,0,'Données projet'!$E$15+1,1))-AVERAGE(OFFSET($H$3,0,0,'Données projet'!$E$15+1,1))</f>
        <v>269.94948820700841</v>
      </c>
      <c r="EP73" s="60">
        <f t="shared" si="100"/>
        <v>183.45158355135192</v>
      </c>
      <c r="EQ73" s="16">
        <f>IF(ISNA(VLOOKUP(A73,'Données projet'!$A$191:$I$211,3,0)),0,VLOOKUP(A73,'Données projet'!$A$191:$I$211,3,0))</f>
        <v>7</v>
      </c>
      <c r="ER73" s="16">
        <f>IF(ISNA(VLOOKUP(A73,'Données projet'!$A$191:$I$211,4,0)),0,VLOOKUP(A73,'Données projet'!$A$191:$I$211,4,0))</f>
        <v>67.88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4.5043734868804215</v>
      </c>
      <c r="EX73" s="23">
        <f>EXP(-LN(2)/2)*EX72+(1-EXP(-LN(2)/2))/(LN(2)/2)*ER73*EU73*VLOOKUP('Données projet'!$B$15,Paramètres!$A$1:$I$89,3,0)*0.475*44/12</f>
        <v>5.3768460135274617E-6</v>
      </c>
      <c r="EY73" s="24">
        <f t="shared" si="75"/>
        <v>4.5043788637264353</v>
      </c>
      <c r="EZ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7.9230769230769234</v>
      </c>
      <c r="FE73" s="13">
        <f>IF('Données projet'!$A$218&gt;35,FE72+FD73-FM72,IF(A73&lt;'Données projet'!$A$218,$FB$205^A73,IF(A73='Données projet'!$A$218,'Données projet'!$B$218,FE72+FD73-FM72)))</f>
        <v>224.23076923076923</v>
      </c>
      <c r="FF73" s="18">
        <f>FE73*VLOOKUP('Données projet'!$B$16,Paramètres!$A$1:$I$89,3,0)*VLOOKUP('Données projet'!$B$16,Paramètres!$A$1:$I$89,5,0)</f>
        <v>134.09</v>
      </c>
      <c r="FG73" s="14">
        <f t="shared" si="101"/>
        <v>34.939727679026305</v>
      </c>
      <c r="FH73" s="22">
        <f t="shared" si="76"/>
        <v>294.39344237430413</v>
      </c>
      <c r="FI73" s="60">
        <f t="shared" si="77"/>
        <v>587.72677570763744</v>
      </c>
      <c r="FJ73" s="60">
        <f ca="1">AVERAGE(OFFSET($FI$3,0,0,'Données projet'!$E$16+1,1))-AVERAGE(OFFSET($H$3,0,0,'Données projet'!$E$16+1,1))</f>
        <v>111.24788725253484</v>
      </c>
      <c r="FK73" s="60">
        <f t="shared" si="102"/>
        <v>82.434879813357327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projet'!$B$16,Paramètres!$A$1:$I$89,3,0)*0.475*44/12</f>
        <v>0</v>
      </c>
      <c r="FR73" s="23">
        <f>EXP(-LN(2)/25)*FR72+(1-EXP(-LN(2)/25))/(LN(2)/25)*Calculateur!FM73*Calculateur!FO73*VLOOKUP('Données projet'!$B$16,Paramètres!$A$1:$I$89,3,0)*0.475*44/12</f>
        <v>0</v>
      </c>
      <c r="FS73" s="23">
        <f>EXP(-LN(2)/2)*FS72+(1-EXP(-LN(2)/2))/(LN(2)/2)*FM73*FP73*VLOOKUP('Données projet'!$B$16,Paramètres!$A$1:$I$89,3,0)*0.475*44/12</f>
        <v>0</v>
      </c>
      <c r="FT73" s="24">
        <f t="shared" si="78"/>
        <v>0</v>
      </c>
      <c r="FU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10.199999999999999</v>
      </c>
      <c r="FZ73" s="13">
        <f>IF('Données projet'!$A$244&gt;35,FZ72+FY73-GH72,IF(A73&lt;'Données projet'!$A$244,$FW$205^A73,IF(A73='Données projet'!$A$244,'Données projet'!$B$244,FZ72+FY73-GH72)))</f>
        <v>720.40000000000066</v>
      </c>
      <c r="GA73" s="18">
        <f>FZ73*VLOOKUP('Données projet'!$B$17,Paramètres!$A$1:$I$89,3,0)*VLOOKUP('Données projet'!$B$17,Paramètres!$A$1:$I$89,5,0)</f>
        <v>318.41680000000031</v>
      </c>
      <c r="GB73" s="14">
        <f t="shared" si="103"/>
        <v>75.023843084578118</v>
      </c>
      <c r="GC73" s="22">
        <f t="shared" si="79"/>
        <v>685.24245337230741</v>
      </c>
      <c r="GD73" s="60">
        <f t="shared" si="80"/>
        <v>978.57578670564067</v>
      </c>
      <c r="GE73" s="60">
        <f ca="1">AVERAGE(OFFSET($GD$3,0,0,'Données projet'!$E$17+1,1))-AVERAGE(OFFSET($H$3,0,0,'Données projet'!$E$17+1,1))</f>
        <v>323.56667371063662</v>
      </c>
      <c r="GF73" s="60">
        <f t="shared" si="104"/>
        <v>275.70373467723385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>
        <f>EXP(-LN(2)/35)*GL72+(1-EXP(-LN(2)/35))/(LN(2)/35)*GH73*GI73*VLOOKUP('Données projet'!$B$17,Paramètres!$A$1:$I$89,3,0)*0.475*44/12</f>
        <v>0</v>
      </c>
      <c r="GM73" s="23">
        <f>EXP(-LN(2)/25)*GM72+(1-EXP(-LN(2)/25))/(LN(2)/25)*Calculateur!GH73*Calculateur!GJ73*VLOOKUP('Données projet'!$B$17,Paramètres!$A$1:$I$89,3,0)*0.475*44/12</f>
        <v>0</v>
      </c>
      <c r="GN73" s="23">
        <f>EXP(-LN(2)/2)*GN72+(1-EXP(-LN(2)/2))/(LN(2)/2)*GH73*GK73*VLOOKUP('Données projet'!$B$17,Paramètres!$A$1:$I$89,3,0)*0.475*44/12</f>
        <v>0</v>
      </c>
      <c r="GO73" s="23">
        <f t="shared" si="81"/>
        <v>0</v>
      </c>
      <c r="GP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0" t="e">
        <f t="shared" si="83"/>
        <v>#N/A</v>
      </c>
      <c r="GZ73" s="60" t="e">
        <f ca="1">AVERAGE(OFFSET($GY$3,0,0,'Données projet'!$E$18+1,1))-AVERAGE(OFFSET($H$3,0,0,'Données projet'!$E$18+1,1))</f>
        <v>#N/A</v>
      </c>
      <c r="HA73" s="60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4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2">
        <f t="shared" si="86"/>
        <v>11.670980969085333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-1.1368683772161603E-13</v>
      </c>
      <c r="O74" s="14">
        <f>N74*VLOOKUP('Données projet'!$B$9,Paramètres!$A$1:$I$89,3,0)*VLOOKUP('Données projet'!$B$9,Paramètres!$A$1:$I$89,5,0)</f>
        <v>-6.7984728957526396E-14</v>
      </c>
      <c r="P74" s="14" t="e">
        <f t="shared" si="87"/>
        <v>#NUM!</v>
      </c>
      <c r="Q74" s="22" t="e">
        <f t="shared" si="54"/>
        <v>#NUM!</v>
      </c>
      <c r="R74" s="60" t="e">
        <f t="shared" si="55"/>
        <v>#NUM!</v>
      </c>
      <c r="S74" s="60">
        <f ca="1">AVERAGE(OFFSET($R$3,0,0,'Données projet'!$E$9+1,1))-AVERAGE(OFFSET($H$3,0,0,'Données projet'!$E$9+1,1))</f>
        <v>235.63766249714581</v>
      </c>
      <c r="T74" s="60">
        <f t="shared" si="88"/>
        <v>231.3297293785277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5.0941062672449124</v>
      </c>
      <c r="AA74" s="23">
        <f>EXP(-LN(2)/25)*AA73+(1-EXP(-LN(2)/25))/(LN(2)/25)*Calculateur!V74*Calculateur!X74*VLOOKUP('Données projet'!$B$9,Paramètres!$A$1:$I$89,3,0)*0.475*44/12</f>
        <v>5.5472722944152331</v>
      </c>
      <c r="AB74" s="23">
        <f>EXP(-LN(2)/2)*AB73+(1-EXP(-LN(2)/2))/(LN(2)/2)*V74*Y74*VLOOKUP('Données projet'!$B$9,Paramètres!$A$1:$I$89,3,0)*0.475*44/12</f>
        <v>4.7962655876452671E-6</v>
      </c>
      <c r="AC74" s="24">
        <f t="shared" si="57"/>
        <v>10.641383357925733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6.2</v>
      </c>
      <c r="AI74" s="14">
        <f>IF('Données projet'!$A$62&gt;35,AI73+AH74-AQ73,IF(A74&lt;'Données projet'!$A$62,$AF$205^A74,IF(A74='Données projet'!$A$62,'Données projet'!$B$62,AI73+AH74-AQ73)))</f>
        <v>227.19999999999993</v>
      </c>
      <c r="AJ74" s="14">
        <f>AI74*VLOOKUP('Données projet'!$B$10,Paramètres!$A$1:$I$89,3,0)*VLOOKUP('Données projet'!$B$10,Paramètres!$A$1:$I$89,5,0)</f>
        <v>230.38079999999994</v>
      </c>
      <c r="AK74" s="14">
        <f t="shared" si="89"/>
        <v>56.365011465139979</v>
      </c>
      <c r="AL74" s="22">
        <f t="shared" si="58"/>
        <v>499.41562163511867</v>
      </c>
      <c r="AM74" s="60">
        <f t="shared" si="59"/>
        <v>792.74895496845193</v>
      </c>
      <c r="AN74" s="60">
        <f ca="1">AVERAGE(OFFSET($AM$3,0,0,'Données projet'!$E$10+1,1))-AVERAGE(OFFSET($H$3,0,0,'Données projet'!$E$10+1,1))</f>
        <v>350.3652766444938</v>
      </c>
      <c r="AO74" s="60">
        <f t="shared" si="90"/>
        <v>197.04549436738586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6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6.2</v>
      </c>
      <c r="BD74" s="13">
        <f>IF('Données projet'!$A$88&gt;35,BD73+BC74-BL73,IF(A74&lt;'Données projet'!$A$88,$BA$205^A74,IF(A74='Données projet'!$A$88,'Données projet'!$B$88,BD73+BC74-BL73)))</f>
        <v>227.19999999999993</v>
      </c>
      <c r="BE74" s="14">
        <f>BD74*VLOOKUP('Données projet'!$B$11,Paramètres!$A$1:$I$89,3,0)*VLOOKUP('Données projet'!$B$11,Paramètres!$A$1:$I$89,5,0)</f>
        <v>219.74783999999994</v>
      </c>
      <c r="BF74" s="14">
        <f t="shared" si="91"/>
        <v>54.060076332940561</v>
      </c>
      <c r="BG74" s="22">
        <f t="shared" si="61"/>
        <v>476.88212094653812</v>
      </c>
      <c r="BH74" s="60">
        <f t="shared" si="62"/>
        <v>770.21545427987144</v>
      </c>
      <c r="BI74" s="60">
        <f ca="1">AVERAGE(OFFSET($BH$3,0,0,'Données projet'!$E$11+1,1))-AVERAGE(OFFSET($H$3,0,0,'Données projet'!$E$11+1,1))</f>
        <v>330.39429528665841</v>
      </c>
      <c r="BJ74" s="60">
        <f t="shared" si="92"/>
        <v>186.45728006007261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4.6153846153846247</v>
      </c>
      <c r="BY74" s="13">
        <f>IF('Données projet'!$A$114&gt;35,BY73+BX74-CG73,IF(A74&lt;'Données projet'!$A$114,$BV$205^A74,IF(A74='Données projet'!$A$114,'Données projet'!$B$114,BY73+BX74-CG73)))</f>
        <v>242.43589743589749</v>
      </c>
      <c r="BZ74" s="14">
        <f>BY74*VLOOKUP('Données projet'!$B$12,Paramètres!$A$1:$I$89,3,0)*VLOOKUP('Données projet'!$B$12,Paramètres!$A$1:$I$89,5,0)</f>
        <v>162.62600000000003</v>
      </c>
      <c r="CA74" s="14">
        <f t="shared" si="93"/>
        <v>41.43425469159893</v>
      </c>
      <c r="CB74" s="22">
        <f t="shared" si="64"/>
        <v>355.40494358786822</v>
      </c>
      <c r="CC74" s="60">
        <f t="shared" si="65"/>
        <v>648.73827692120153</v>
      </c>
      <c r="CD74" s="60">
        <f ca="1">AVERAGE(OFFSET($CC$3,0,0,'Données projet'!$E$12+1,1))-AVERAGE(OFFSET($H$3,0,0,'Données projet'!$E$12+1,1))</f>
        <v>212.33913923444732</v>
      </c>
      <c r="CE74" s="60">
        <f t="shared" si="94"/>
        <v>183.51194426094372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3.6</v>
      </c>
      <c r="CT74" s="13">
        <f>IF('Données projet'!$A$140&gt;35,CT73+CS74-DB73,IF(A74&lt;'Données projet'!$A$140,$CQ$205^A74,IF(A74='Données projet'!$A$140,'Données projet'!$B$140,CT73+CS74-DB73)))</f>
        <v>209.59999999999965</v>
      </c>
      <c r="CU74" s="18">
        <f>CT74*VLOOKUP('Données projet'!$B$13,Paramètres!$A$1:$I$89,3,0)*VLOOKUP('Données projet'!$B$13,Paramètres!$A$1:$I$89,5,0)</f>
        <v>183.10655999999972</v>
      </c>
      <c r="CV74" s="14">
        <f t="shared" si="95"/>
        <v>46.012648718992004</v>
      </c>
      <c r="CW74" s="22">
        <f t="shared" si="67"/>
        <v>399.04928851891054</v>
      </c>
      <c r="CX74" s="60">
        <f t="shared" si="68"/>
        <v>692.3826218522438</v>
      </c>
      <c r="CY74" s="60">
        <f ca="1">AVERAGE(OFFSET($CX$3,0,0,'Données projet'!$E$13+1,1))-AVERAGE(OFFSET($H$3,0,0,'Données projet'!$E$13+1,1))</f>
        <v>228.0393346366489</v>
      </c>
      <c r="CZ74" s="60">
        <f t="shared" si="96"/>
        <v>238.591781509447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6.2</v>
      </c>
      <c r="DO74" s="13">
        <f>IF('Données projet'!$A$166&gt;35,DO73+DN74-DW73,IF(A74&lt;'Données projet'!$A$166,$DL$205^A74,IF(A74='Données projet'!$A$166,'Données projet'!$B$166,DO73+DN74-DW73)))</f>
        <v>227.19999999999993</v>
      </c>
      <c r="DP74" s="18">
        <f>DO74*VLOOKUP('Données projet'!$B$14,Paramètres!$A$1:$I$89,3,0)*VLOOKUP('Données projet'!$B$14,Paramètres!$A$1:$I$89,5,0)</f>
        <v>205.57055999999994</v>
      </c>
      <c r="DQ74" s="14">
        <f t="shared" si="97"/>
        <v>50.966443946767392</v>
      </c>
      <c r="DR74" s="22">
        <f t="shared" si="70"/>
        <v>446.80194854061978</v>
      </c>
      <c r="DS74" s="60">
        <f t="shared" si="71"/>
        <v>740.13528187395309</v>
      </c>
      <c r="DT74" s="60">
        <f ca="1">AVERAGE(OFFSET($DS$3,0,0,'Données projet'!$E$14+1,1))-AVERAGE(OFFSET($H$3,0,0,'Données projet'!$E$14+1,1))</f>
        <v>303.73499739059076</v>
      </c>
      <c r="DU74" s="60">
        <f t="shared" si="98"/>
        <v>172.32171001882188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9.782</v>
      </c>
      <c r="EJ74" s="13">
        <f>IF('Données projet'!$A$192&gt;35,EJ73+EI74-ER73,IF(A74&lt;'Données projet'!$A$192,$EG$205^A74,IF(A74='Données projet'!$A$192,'Données projet'!$B$192,EJ73+EI74-ER73)))</f>
        <v>431.96200000000022</v>
      </c>
      <c r="EK74" s="18">
        <f>EJ74*VLOOKUP('Données projet'!$B$15,Paramètres!$A$1:$I$89,3,0)*VLOOKUP('Données projet'!$B$15,Paramètres!$A$1:$I$89,5,0)</f>
        <v>258.31327600000014</v>
      </c>
      <c r="EL74" s="14">
        <f t="shared" si="99"/>
        <v>62.362700481716232</v>
      </c>
      <c r="EM74" s="22">
        <f t="shared" si="73"/>
        <v>558.51065903898927</v>
      </c>
      <c r="EN74" s="60">
        <f t="shared" si="74"/>
        <v>851.84399237232265</v>
      </c>
      <c r="EO74" s="60">
        <f ca="1">AVERAGE(OFFSET($EN$3,0,0,'Données projet'!$E$15+1,1))-AVERAGE(OFFSET($H$3,0,0,'Données projet'!$E$15+1,1))</f>
        <v>269.94948820700841</v>
      </c>
      <c r="EP74" s="60">
        <f t="shared" si="100"/>
        <v>183.45158355135192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4.38120115700697</v>
      </c>
      <c r="EX74" s="23">
        <f>EXP(-LN(2)/2)*EX73+(1-EXP(-LN(2)/2))/(LN(2)/2)*ER74*EU74*VLOOKUP('Données projet'!$B$15,Paramètres!$A$1:$I$89,3,0)*0.475*44/12</f>
        <v>3.8020042775611233E-6</v>
      </c>
      <c r="EY74" s="24">
        <f t="shared" si="75"/>
        <v>4.3812049590112476</v>
      </c>
      <c r="EZ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7.9230769230769234</v>
      </c>
      <c r="FE74" s="13">
        <f>IF('Données projet'!$A$218&gt;35,FE73+FD74-FM73,IF(A74&lt;'Données projet'!$A$218,$FB$205^A74,IF(A74='Données projet'!$A$218,'Données projet'!$B$218,FE73+FD74-FM73)))</f>
        <v>232.15384615384616</v>
      </c>
      <c r="FF74" s="18">
        <f>FE74*VLOOKUP('Données projet'!$B$16,Paramètres!$A$1:$I$89,3,0)*VLOOKUP('Données projet'!$B$16,Paramètres!$A$1:$I$89,5,0)</f>
        <v>138.82800000000003</v>
      </c>
      <c r="FG74" s="14">
        <f t="shared" si="101"/>
        <v>36.028385531122503</v>
      </c>
      <c r="FH74" s="22">
        <f t="shared" si="76"/>
        <v>304.54153813337172</v>
      </c>
      <c r="FI74" s="60">
        <f t="shared" si="77"/>
        <v>597.87487146670503</v>
      </c>
      <c r="FJ74" s="60">
        <f ca="1">AVERAGE(OFFSET($FI$3,0,0,'Données projet'!$E$16+1,1))-AVERAGE(OFFSET($H$3,0,0,'Données projet'!$E$16+1,1))</f>
        <v>111.24788725253484</v>
      </c>
      <c r="FK74" s="60">
        <f t="shared" si="102"/>
        <v>82.434879813357327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projet'!$B$16,Paramètres!$A$1:$I$89,3,0)*0.475*44/12</f>
        <v>0</v>
      </c>
      <c r="FR74" s="23">
        <f>EXP(-LN(2)/25)*FR73+(1-EXP(-LN(2)/25))/(LN(2)/25)*Calculateur!FM74*Calculateur!FO74*VLOOKUP('Données projet'!$B$16,Paramètres!$A$1:$I$89,3,0)*0.475*44/12</f>
        <v>0</v>
      </c>
      <c r="FS74" s="23">
        <f>EXP(-LN(2)/2)*FS73+(1-EXP(-LN(2)/2))/(LN(2)/2)*FM74*FP74*VLOOKUP('Données projet'!$B$16,Paramètres!$A$1:$I$89,3,0)*0.475*44/12</f>
        <v>0</v>
      </c>
      <c r="FT74" s="24">
        <f t="shared" si="78"/>
        <v>0</v>
      </c>
      <c r="FU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10.199999999999999</v>
      </c>
      <c r="FZ74" s="13">
        <f>IF('Données projet'!$A$244&gt;35,FZ73+FY74-GH73,IF(A74&lt;'Données projet'!$A$244,$FW$205^A74,IF(A74='Données projet'!$A$244,'Données projet'!$B$244,FZ73+FY74-GH73)))</f>
        <v>730.6000000000007</v>
      </c>
      <c r="GA74" s="18">
        <f>FZ74*VLOOKUP('Données projet'!$B$17,Paramètres!$A$1:$I$89,3,0)*VLOOKUP('Données projet'!$B$17,Paramètres!$A$1:$I$89,5,0)</f>
        <v>322.92520000000036</v>
      </c>
      <c r="GB74" s="14">
        <f t="shared" si="103"/>
        <v>75.9616756961356</v>
      </c>
      <c r="GC74" s="22">
        <f t="shared" si="79"/>
        <v>694.72797517077015</v>
      </c>
      <c r="GD74" s="60">
        <f t="shared" si="80"/>
        <v>988.06130850410341</v>
      </c>
      <c r="GE74" s="60">
        <f ca="1">AVERAGE(OFFSET($GD$3,0,0,'Données projet'!$E$17+1,1))-AVERAGE(OFFSET($H$3,0,0,'Données projet'!$E$17+1,1))</f>
        <v>323.56667371063662</v>
      </c>
      <c r="GF74" s="60">
        <f t="shared" si="104"/>
        <v>275.70373467723385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>
        <f>EXP(-LN(2)/35)*GL73+(1-EXP(-LN(2)/35))/(LN(2)/35)*GH74*GI74*VLOOKUP('Données projet'!$B$17,Paramètres!$A$1:$I$89,3,0)*0.475*44/12</f>
        <v>0</v>
      </c>
      <c r="GM74" s="23">
        <f>EXP(-LN(2)/25)*GM73+(1-EXP(-LN(2)/25))/(LN(2)/25)*Calculateur!GH74*Calculateur!GJ74*VLOOKUP('Données projet'!$B$17,Paramètres!$A$1:$I$89,3,0)*0.475*44/12</f>
        <v>0</v>
      </c>
      <c r="GN74" s="23">
        <f>EXP(-LN(2)/2)*GN73+(1-EXP(-LN(2)/2))/(LN(2)/2)*GH74*GK74*VLOOKUP('Données projet'!$B$17,Paramètres!$A$1:$I$89,3,0)*0.475*44/12</f>
        <v>0</v>
      </c>
      <c r="GO74" s="23">
        <f t="shared" si="81"/>
        <v>0</v>
      </c>
      <c r="GP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0" t="e">
        <f t="shared" si="83"/>
        <v>#N/A</v>
      </c>
      <c r="GZ74" s="60" t="e">
        <f ca="1">AVERAGE(OFFSET($GY$3,0,0,'Données projet'!$E$18+1,1))-AVERAGE(OFFSET($H$3,0,0,'Données projet'!$E$18+1,1))</f>
        <v>#N/A</v>
      </c>
      <c r="HA74" s="60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4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2">
        <f t="shared" si="86"/>
        <v>11.816108707618389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-1.1368683772161603E-13</v>
      </c>
      <c r="O75" s="14">
        <f>N75*VLOOKUP('Données projet'!$B$9,Paramètres!$A$1:$I$89,3,0)*VLOOKUP('Données projet'!$B$9,Paramètres!$A$1:$I$89,5,0)</f>
        <v>-6.7984728957526396E-14</v>
      </c>
      <c r="P75" s="14" t="e">
        <f t="shared" si="87"/>
        <v>#NUM!</v>
      </c>
      <c r="Q75" s="22" t="e">
        <f t="shared" si="54"/>
        <v>#NUM!</v>
      </c>
      <c r="R75" s="60" t="e">
        <f t="shared" si="55"/>
        <v>#NUM!</v>
      </c>
      <c r="S75" s="60">
        <f ca="1">AVERAGE(OFFSET($R$3,0,0,'Données projet'!$E$9+1,1))-AVERAGE(OFFSET($H$3,0,0,'Données projet'!$E$9+1,1))</f>
        <v>235.63766249714581</v>
      </c>
      <c r="T75" s="60">
        <f t="shared" si="88"/>
        <v>231.3297293785277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4.994213950442262</v>
      </c>
      <c r="AA75" s="23">
        <f>EXP(-LN(2)/25)*AA74+(1-EXP(-LN(2)/25))/(LN(2)/25)*Calculateur!V75*Calculateur!X75*VLOOKUP('Données projet'!$B$9,Paramètres!$A$1:$I$89,3,0)*0.475*44/12</f>
        <v>5.3955818418060773</v>
      </c>
      <c r="AB75" s="23">
        <f>EXP(-LN(2)/2)*AB74+(1-EXP(-LN(2)/2))/(LN(2)/2)*V75*Y75*VLOOKUP('Données projet'!$B$9,Paramètres!$A$1:$I$89,3,0)*0.475*44/12</f>
        <v>3.3914719213956497E-6</v>
      </c>
      <c r="AC75" s="24">
        <f t="shared" si="57"/>
        <v>10.38979918372026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6.2</v>
      </c>
      <c r="AI75" s="14">
        <f>IF('Données projet'!$A$62&gt;35,AI74+AH75-AQ74,IF(A75&lt;'Données projet'!$A$62,$AF$205^A75,IF(A75='Données projet'!$A$62,'Données projet'!$B$62,AI74+AH75-AQ74)))</f>
        <v>233.39999999999992</v>
      </c>
      <c r="AJ75" s="14">
        <f>AI75*VLOOKUP('Données projet'!$B$10,Paramètres!$A$1:$I$89,3,0)*VLOOKUP('Données projet'!$B$10,Paramètres!$A$1:$I$89,5,0)</f>
        <v>236.66759999999994</v>
      </c>
      <c r="AK75" s="14">
        <f t="shared" si="89"/>
        <v>57.721965974560838</v>
      </c>
      <c r="AL75" s="22">
        <f t="shared" si="58"/>
        <v>512.72849407235992</v>
      </c>
      <c r="AM75" s="60">
        <f t="shared" si="59"/>
        <v>806.06182740569329</v>
      </c>
      <c r="AN75" s="60">
        <f ca="1">AVERAGE(OFFSET($AM$3,0,0,'Données projet'!$E$10+1,1))-AVERAGE(OFFSET($H$3,0,0,'Données projet'!$E$10+1,1))</f>
        <v>350.3652766444938</v>
      </c>
      <c r="AO75" s="60">
        <f t="shared" si="90"/>
        <v>197.04549436738586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6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6.2</v>
      </c>
      <c r="BD75" s="13">
        <f>IF('Données projet'!$A$88&gt;35,BD74+BC75-BL74,IF(A75&lt;'Données projet'!$A$88,$BA$205^A75,IF(A75='Données projet'!$A$88,'Données projet'!$B$88,BD74+BC75-BL74)))</f>
        <v>233.39999999999992</v>
      </c>
      <c r="BE75" s="14">
        <f>BD75*VLOOKUP('Données projet'!$B$11,Paramètres!$A$1:$I$89,3,0)*VLOOKUP('Données projet'!$B$11,Paramètres!$A$1:$I$89,5,0)</f>
        <v>225.74447999999992</v>
      </c>
      <c r="BF75" s="14">
        <f t="shared" si="91"/>
        <v>55.36154088431374</v>
      </c>
      <c r="BG75" s="22">
        <f t="shared" si="61"/>
        <v>489.59298637351299</v>
      </c>
      <c r="BH75" s="60">
        <f t="shared" si="62"/>
        <v>782.92631970684624</v>
      </c>
      <c r="BI75" s="60">
        <f ca="1">AVERAGE(OFFSET($BH$3,0,0,'Données projet'!$E$11+1,1))-AVERAGE(OFFSET($H$3,0,0,'Données projet'!$E$11+1,1))</f>
        <v>330.39429528665841</v>
      </c>
      <c r="BJ75" s="60">
        <f t="shared" si="92"/>
        <v>186.45728006007261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4.6153846153846247</v>
      </c>
      <c r="BY75" s="13">
        <f>IF('Données projet'!$A$114&gt;35,BY74+BX75-CG74,IF(A75&lt;'Données projet'!$A$114,$BV$205^A75,IF(A75='Données projet'!$A$114,'Données projet'!$B$114,BY74+BX75-CG74)))</f>
        <v>247.0512820512821</v>
      </c>
      <c r="BZ75" s="14">
        <f>BY75*VLOOKUP('Données projet'!$B$12,Paramètres!$A$1:$I$89,3,0)*VLOOKUP('Données projet'!$B$12,Paramètres!$A$1:$I$89,5,0)</f>
        <v>165.72200000000004</v>
      </c>
      <c r="CA75" s="14">
        <f t="shared" si="93"/>
        <v>42.130477313738041</v>
      </c>
      <c r="CB75" s="22">
        <f t="shared" si="64"/>
        <v>362.00973132142713</v>
      </c>
      <c r="CC75" s="60">
        <f t="shared" si="65"/>
        <v>655.34306465476038</v>
      </c>
      <c r="CD75" s="60">
        <f ca="1">AVERAGE(OFFSET($CC$3,0,0,'Données projet'!$E$12+1,1))-AVERAGE(OFFSET($H$3,0,0,'Données projet'!$E$12+1,1))</f>
        <v>212.33913923444732</v>
      </c>
      <c r="CE75" s="60">
        <f t="shared" si="94"/>
        <v>183.51194426094372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3.6</v>
      </c>
      <c r="CT75" s="13">
        <f>IF('Données projet'!$A$140&gt;35,CT74+CS75-DB74,IF(A75&lt;'Données projet'!$A$140,$CQ$205^A75,IF(A75='Données projet'!$A$140,'Données projet'!$B$140,CT74+CS75-DB74)))</f>
        <v>213.19999999999965</v>
      </c>
      <c r="CU75" s="18">
        <f>CT75*VLOOKUP('Données projet'!$B$13,Paramètres!$A$1:$I$89,3,0)*VLOOKUP('Données projet'!$B$13,Paramètres!$A$1:$I$89,5,0)</f>
        <v>186.25151999999972</v>
      </c>
      <c r="CV75" s="14">
        <f t="shared" si="95"/>
        <v>46.710258515156667</v>
      </c>
      <c r="CW75" s="22">
        <f t="shared" si="67"/>
        <v>405.74176424723061</v>
      </c>
      <c r="CX75" s="60">
        <f t="shared" si="68"/>
        <v>699.07509758056392</v>
      </c>
      <c r="CY75" s="60">
        <f ca="1">AVERAGE(OFFSET($CX$3,0,0,'Données projet'!$E$13+1,1))-AVERAGE(OFFSET($H$3,0,0,'Données projet'!$E$13+1,1))</f>
        <v>228.0393346366489</v>
      </c>
      <c r="CZ75" s="60">
        <f t="shared" si="96"/>
        <v>238.591781509447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6.2</v>
      </c>
      <c r="DO75" s="13">
        <f>IF('Données projet'!$A$166&gt;35,DO74+DN75-DW74,IF(A75&lt;'Données projet'!$A$166,$DL$205^A75,IF(A75='Données projet'!$A$166,'Données projet'!$B$166,DO74+DN75-DW74)))</f>
        <v>233.39999999999992</v>
      </c>
      <c r="DP75" s="18">
        <f>DO75*VLOOKUP('Données projet'!$B$14,Paramètres!$A$1:$I$89,3,0)*VLOOKUP('Données projet'!$B$14,Paramètres!$A$1:$I$89,5,0)</f>
        <v>211.18031999999994</v>
      </c>
      <c r="DQ75" s="14">
        <f t="shared" si="97"/>
        <v>52.193431117443019</v>
      </c>
      <c r="DR75" s="22">
        <f t="shared" si="70"/>
        <v>458.70928319621316</v>
      </c>
      <c r="DS75" s="60">
        <f t="shared" si="71"/>
        <v>752.04261652954642</v>
      </c>
      <c r="DT75" s="60">
        <f ca="1">AVERAGE(OFFSET($DS$3,0,0,'Données projet'!$E$14+1,1))-AVERAGE(OFFSET($H$3,0,0,'Données projet'!$E$14+1,1))</f>
        <v>303.73499739059076</v>
      </c>
      <c r="DU75" s="60">
        <f t="shared" si="98"/>
        <v>172.32171001882188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9.782</v>
      </c>
      <c r="EJ75" s="13">
        <f>IF('Données projet'!$A$192&gt;35,EJ74+EI75-ER74,IF(A75&lt;'Données projet'!$A$192,$EG$205^A75,IF(A75='Données projet'!$A$192,'Données projet'!$B$192,EJ74+EI75-ER74)))</f>
        <v>441.7440000000002</v>
      </c>
      <c r="EK75" s="18">
        <f>EJ75*VLOOKUP('Données projet'!$B$15,Paramètres!$A$1:$I$89,3,0)*VLOOKUP('Données projet'!$B$15,Paramètres!$A$1:$I$89,5,0)</f>
        <v>264.16291200000012</v>
      </c>
      <c r="EL75" s="14">
        <f t="shared" si="99"/>
        <v>63.608920560680907</v>
      </c>
      <c r="EM75" s="22">
        <f t="shared" si="73"/>
        <v>570.86927504318612</v>
      </c>
      <c r="EN75" s="60">
        <f t="shared" si="74"/>
        <v>864.20260837651949</v>
      </c>
      <c r="EO75" s="60">
        <f ca="1">AVERAGE(OFFSET($EN$3,0,0,'Données projet'!$E$15+1,1))-AVERAGE(OFFSET($H$3,0,0,'Données projet'!$E$15+1,1))</f>
        <v>269.94948820700841</v>
      </c>
      <c r="EP75" s="60">
        <f t="shared" si="100"/>
        <v>183.45158355135192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4.2613969809712593</v>
      </c>
      <c r="EX75" s="23">
        <f>EXP(-LN(2)/2)*EX74+(1-EXP(-LN(2)/2))/(LN(2)/2)*ER75*EU75*VLOOKUP('Données projet'!$B$15,Paramètres!$A$1:$I$89,3,0)*0.475*44/12</f>
        <v>2.6884230067637313E-6</v>
      </c>
      <c r="EY75" s="24">
        <f t="shared" si="75"/>
        <v>4.2613996693942662</v>
      </c>
      <c r="EZ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7.9230769230769234</v>
      </c>
      <c r="FE75" s="13">
        <f>IF('Données projet'!$A$218&gt;35,FE74+FD75-FM74,IF(A75&lt;'Données projet'!$A$218,$FB$205^A75,IF(A75='Données projet'!$A$218,'Données projet'!$B$218,FE74+FD75-FM74)))</f>
        <v>240.07692307692309</v>
      </c>
      <c r="FF75" s="18">
        <f>FE75*VLOOKUP('Données projet'!$B$16,Paramètres!$A$1:$I$89,3,0)*VLOOKUP('Données projet'!$B$16,Paramètres!$A$1:$I$89,5,0)</f>
        <v>143.56600000000003</v>
      </c>
      <c r="FG75" s="14">
        <f t="shared" si="101"/>
        <v>37.112726313076166</v>
      </c>
      <c r="FH75" s="22">
        <f t="shared" si="76"/>
        <v>314.68211499527439</v>
      </c>
      <c r="FI75" s="60">
        <f t="shared" si="77"/>
        <v>608.0154483286077</v>
      </c>
      <c r="FJ75" s="60">
        <f ca="1">AVERAGE(OFFSET($FI$3,0,0,'Données projet'!$E$16+1,1))-AVERAGE(OFFSET($H$3,0,0,'Données projet'!$E$16+1,1))</f>
        <v>111.24788725253484</v>
      </c>
      <c r="FK75" s="60">
        <f t="shared" si="102"/>
        <v>82.434879813357327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projet'!$B$16,Paramètres!$A$1:$I$89,3,0)*0.475*44/12</f>
        <v>0</v>
      </c>
      <c r="FR75" s="23">
        <f>EXP(-LN(2)/25)*FR74+(1-EXP(-LN(2)/25))/(LN(2)/25)*Calculateur!FM75*Calculateur!FO75*VLOOKUP('Données projet'!$B$16,Paramètres!$A$1:$I$89,3,0)*0.475*44/12</f>
        <v>0</v>
      </c>
      <c r="FS75" s="23">
        <f>EXP(-LN(2)/2)*FS74+(1-EXP(-LN(2)/2))/(LN(2)/2)*FM75*FP75*VLOOKUP('Données projet'!$B$16,Paramètres!$A$1:$I$89,3,0)*0.475*44/12</f>
        <v>0</v>
      </c>
      <c r="FT75" s="24">
        <f t="shared" si="78"/>
        <v>0</v>
      </c>
      <c r="FU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10.199999999999999</v>
      </c>
      <c r="FZ75" s="13">
        <f>IF('Données projet'!$A$244&gt;35,FZ74+FY75-GH74,IF(A75&lt;'Données projet'!$A$244,$FW$205^A75,IF(A75='Données projet'!$A$244,'Données projet'!$B$244,FZ74+FY75-GH74)))</f>
        <v>740.80000000000075</v>
      </c>
      <c r="GA75" s="18">
        <f>FZ75*VLOOKUP('Données projet'!$B$17,Paramètres!$A$1:$I$89,3,0)*VLOOKUP('Données projet'!$B$17,Paramètres!$A$1:$I$89,5,0)</f>
        <v>327.43360000000035</v>
      </c>
      <c r="GB75" s="14">
        <f t="shared" si="103"/>
        <v>76.897985444464794</v>
      </c>
      <c r="GC75" s="22">
        <f t="shared" si="79"/>
        <v>704.21084464911007</v>
      </c>
      <c r="GD75" s="60">
        <f t="shared" si="80"/>
        <v>997.54417798244344</v>
      </c>
      <c r="GE75" s="60">
        <f ca="1">AVERAGE(OFFSET($GD$3,0,0,'Données projet'!$E$17+1,1))-AVERAGE(OFFSET($H$3,0,0,'Données projet'!$E$17+1,1))</f>
        <v>323.56667371063662</v>
      </c>
      <c r="GF75" s="60">
        <f t="shared" si="104"/>
        <v>275.70373467723385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>
        <f>EXP(-LN(2)/35)*GL74+(1-EXP(-LN(2)/35))/(LN(2)/35)*GH75*GI75*VLOOKUP('Données projet'!$B$17,Paramètres!$A$1:$I$89,3,0)*0.475*44/12</f>
        <v>0</v>
      </c>
      <c r="GM75" s="23">
        <f>EXP(-LN(2)/25)*GM74+(1-EXP(-LN(2)/25))/(LN(2)/25)*Calculateur!GH75*Calculateur!GJ75*VLOOKUP('Données projet'!$B$17,Paramètres!$A$1:$I$89,3,0)*0.475*44/12</f>
        <v>0</v>
      </c>
      <c r="GN75" s="23">
        <f>EXP(-LN(2)/2)*GN74+(1-EXP(-LN(2)/2))/(LN(2)/2)*GH75*GK75*VLOOKUP('Données projet'!$B$17,Paramètres!$A$1:$I$89,3,0)*0.475*44/12</f>
        <v>0</v>
      </c>
      <c r="GO75" s="23">
        <f t="shared" si="81"/>
        <v>0</v>
      </c>
      <c r="GP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0" t="e">
        <f t="shared" si="83"/>
        <v>#N/A</v>
      </c>
      <c r="GZ75" s="60" t="e">
        <f ca="1">AVERAGE(OFFSET($GY$3,0,0,'Données projet'!$E$18+1,1))-AVERAGE(OFFSET($H$3,0,0,'Données projet'!$E$18+1,1))</f>
        <v>#N/A</v>
      </c>
      <c r="HA75" s="60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4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2">
        <f t="shared" si="86"/>
        <v>11.961002004555786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-1.1368683772161603E-13</v>
      </c>
      <c r="O76" s="14">
        <f>N76*VLOOKUP('Données projet'!$B$9,Paramètres!$A$1:$I$89,3,0)*VLOOKUP('Données projet'!$B$9,Paramètres!$A$1:$I$89,5,0)</f>
        <v>-6.7984728957526396E-14</v>
      </c>
      <c r="P76" s="14" t="e">
        <f t="shared" si="87"/>
        <v>#NUM!</v>
      </c>
      <c r="Q76" s="22" t="e">
        <f t="shared" si="54"/>
        <v>#NUM!</v>
      </c>
      <c r="R76" s="60" t="e">
        <f t="shared" si="55"/>
        <v>#NUM!</v>
      </c>
      <c r="S76" s="60">
        <f ca="1">AVERAGE(OFFSET($R$3,0,0,'Données projet'!$E$9+1,1))-AVERAGE(OFFSET($H$3,0,0,'Données projet'!$E$9+1,1))</f>
        <v>235.63766249714581</v>
      </c>
      <c r="T76" s="60">
        <f t="shared" si="88"/>
        <v>231.3297293785277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4.8962804610438146</v>
      </c>
      <c r="AA76" s="23">
        <f>EXP(-LN(2)/25)*AA75+(1-EXP(-LN(2)/25))/(LN(2)/25)*Calculateur!V76*Calculateur!X76*VLOOKUP('Données projet'!$B$9,Paramètres!$A$1:$I$89,3,0)*0.475*44/12</f>
        <v>5.248039372600573</v>
      </c>
      <c r="AB76" s="23">
        <f>EXP(-LN(2)/2)*AB75+(1-EXP(-LN(2)/2))/(LN(2)/2)*V76*Y76*VLOOKUP('Données projet'!$B$9,Paramètres!$A$1:$I$89,3,0)*0.475*44/12</f>
        <v>2.3981327938226335E-6</v>
      </c>
      <c r="AC76" s="24">
        <f t="shared" si="57"/>
        <v>10.144322231777183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6.2</v>
      </c>
      <c r="AI76" s="14">
        <f>IF('Données projet'!$A$62&gt;35,AI75+AH76-AQ75,IF(A76&lt;'Données projet'!$A$62,$AF$205^A76,IF(A76='Données projet'!$A$62,'Données projet'!$B$62,AI75+AH76-AQ75)))</f>
        <v>239.59999999999991</v>
      </c>
      <c r="AJ76" s="14">
        <f>AI76*VLOOKUP('Données projet'!$B$10,Paramètres!$A$1:$I$89,3,0)*VLOOKUP('Données projet'!$B$10,Paramètres!$A$1:$I$89,5,0)</f>
        <v>242.95439999999994</v>
      </c>
      <c r="AK76" s="14">
        <f t="shared" si="89"/>
        <v>59.074730698078945</v>
      </c>
      <c r="AL76" s="22">
        <f t="shared" si="58"/>
        <v>526.034069299154</v>
      </c>
      <c r="AM76" s="60">
        <f t="shared" si="59"/>
        <v>819.36740263248726</v>
      </c>
      <c r="AN76" s="60">
        <f ca="1">AVERAGE(OFFSET($AM$3,0,0,'Données projet'!$E$10+1,1))-AVERAGE(OFFSET($H$3,0,0,'Données projet'!$E$10+1,1))</f>
        <v>350.3652766444938</v>
      </c>
      <c r="AO76" s="60">
        <f t="shared" si="90"/>
        <v>197.04549436738586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6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6.2</v>
      </c>
      <c r="BD76" s="13">
        <f>IF('Données projet'!$A$88&gt;35,BD75+BC76-BL75,IF(A76&lt;'Données projet'!$A$88,$BA$205^A76,IF(A76='Données projet'!$A$88,'Données projet'!$B$88,BD75+BC76-BL75)))</f>
        <v>239.59999999999991</v>
      </c>
      <c r="BE76" s="14">
        <f>BD76*VLOOKUP('Données projet'!$B$11,Paramètres!$A$1:$I$89,3,0)*VLOOKUP('Données projet'!$B$11,Paramètres!$A$1:$I$89,5,0)</f>
        <v>231.74111999999991</v>
      </c>
      <c r="BF76" s="14">
        <f t="shared" si="91"/>
        <v>56.658986982752438</v>
      </c>
      <c r="BG76" s="22">
        <f t="shared" si="61"/>
        <v>502.29685299496032</v>
      </c>
      <c r="BH76" s="60">
        <f t="shared" si="62"/>
        <v>795.63018632829358</v>
      </c>
      <c r="BI76" s="60">
        <f ca="1">AVERAGE(OFFSET($BH$3,0,0,'Données projet'!$E$11+1,1))-AVERAGE(OFFSET($H$3,0,0,'Données projet'!$E$11+1,1))</f>
        <v>330.39429528665841</v>
      </c>
      <c r="BJ76" s="60">
        <f t="shared" si="92"/>
        <v>186.45728006007261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4.6153846153846247</v>
      </c>
      <c r="BY76" s="13">
        <f>IF('Données projet'!$A$114&gt;35,BY75+BX76-CG75,IF(A76&lt;'Données projet'!$A$114,$BV$205^A76,IF(A76='Données projet'!$A$114,'Données projet'!$B$114,BY75+BX76-CG75)))</f>
        <v>251.66666666666671</v>
      </c>
      <c r="BZ76" s="14">
        <f>BY76*VLOOKUP('Données projet'!$B$12,Paramètres!$A$1:$I$89,3,0)*VLOOKUP('Données projet'!$B$12,Paramètres!$A$1:$I$89,5,0)</f>
        <v>168.81800000000004</v>
      </c>
      <c r="CA76" s="14">
        <f t="shared" si="93"/>
        <v>42.825187501685285</v>
      </c>
      <c r="CB76" s="22">
        <f t="shared" si="64"/>
        <v>368.61188489876866</v>
      </c>
      <c r="CC76" s="60">
        <f t="shared" si="65"/>
        <v>661.94521823210198</v>
      </c>
      <c r="CD76" s="60">
        <f ca="1">AVERAGE(OFFSET($CC$3,0,0,'Données projet'!$E$12+1,1))-AVERAGE(OFFSET($H$3,0,0,'Données projet'!$E$12+1,1))</f>
        <v>212.33913923444732</v>
      </c>
      <c r="CE76" s="60">
        <f t="shared" si="94"/>
        <v>183.51194426094372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3.6</v>
      </c>
      <c r="CT76" s="13">
        <f>IF('Données projet'!$A$140&gt;35,CT75+CS76-DB75,IF(A76&lt;'Données projet'!$A$140,$CQ$205^A76,IF(A76='Données projet'!$A$140,'Données projet'!$B$140,CT75+CS76-DB75)))</f>
        <v>216.79999999999964</v>
      </c>
      <c r="CU76" s="18">
        <f>CT76*VLOOKUP('Données projet'!$B$13,Paramètres!$A$1:$I$89,3,0)*VLOOKUP('Données projet'!$B$13,Paramètres!$A$1:$I$89,5,0)</f>
        <v>189.39647999999971</v>
      </c>
      <c r="CV76" s="14">
        <f t="shared" si="95"/>
        <v>47.406498452084463</v>
      </c>
      <c r="CW76" s="22">
        <f t="shared" si="67"/>
        <v>412.43185413737996</v>
      </c>
      <c r="CX76" s="60">
        <f t="shared" si="68"/>
        <v>705.76518747071327</v>
      </c>
      <c r="CY76" s="60">
        <f ca="1">AVERAGE(OFFSET($CX$3,0,0,'Données projet'!$E$13+1,1))-AVERAGE(OFFSET($H$3,0,0,'Données projet'!$E$13+1,1))</f>
        <v>228.0393346366489</v>
      </c>
      <c r="CZ76" s="60">
        <f t="shared" si="96"/>
        <v>238.591781509447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6.2</v>
      </c>
      <c r="DO76" s="13">
        <f>IF('Données projet'!$A$166&gt;35,DO75+DN76-DW75,IF(A76&lt;'Données projet'!$A$166,$DL$205^A76,IF(A76='Données projet'!$A$166,'Données projet'!$B$166,DO75+DN76-DW75)))</f>
        <v>239.59999999999991</v>
      </c>
      <c r="DP76" s="18">
        <f>DO76*VLOOKUP('Données projet'!$B$14,Paramètres!$A$1:$I$89,3,0)*VLOOKUP('Données projet'!$B$14,Paramètres!$A$1:$I$89,5,0)</f>
        <v>216.7900799999999</v>
      </c>
      <c r="DQ76" s="14">
        <f t="shared" si="97"/>
        <v>53.416629794462551</v>
      </c>
      <c r="DR76" s="22">
        <f t="shared" si="70"/>
        <v>470.61001955868869</v>
      </c>
      <c r="DS76" s="60">
        <f t="shared" si="71"/>
        <v>763.94335289202195</v>
      </c>
      <c r="DT76" s="60">
        <f ca="1">AVERAGE(OFFSET($DS$3,0,0,'Données projet'!$E$14+1,1))-AVERAGE(OFFSET($H$3,0,0,'Données projet'!$E$14+1,1))</f>
        <v>303.73499739059076</v>
      </c>
      <c r="DU76" s="60">
        <f t="shared" si="98"/>
        <v>172.32171001882188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9.782</v>
      </c>
      <c r="EJ76" s="13">
        <f>IF('Données projet'!$A$192&gt;35,EJ75+EI76-ER75,IF(A76&lt;'Données projet'!$A$192,$EG$205^A76,IF(A76='Données projet'!$A$192,'Données projet'!$B$192,EJ75+EI76-ER75)))</f>
        <v>451.52600000000018</v>
      </c>
      <c r="EK76" s="18">
        <f>EJ76*VLOOKUP('Données projet'!$B$15,Paramètres!$A$1:$I$89,3,0)*VLOOKUP('Données projet'!$B$15,Paramètres!$A$1:$I$89,5,0)</f>
        <v>270.01254800000015</v>
      </c>
      <c r="EL76" s="14">
        <f t="shared" si="99"/>
        <v>64.851932282926271</v>
      </c>
      <c r="EM76" s="22">
        <f t="shared" si="73"/>
        <v>583.22230315943023</v>
      </c>
      <c r="EN76" s="60">
        <f t="shared" si="74"/>
        <v>876.5556364927636</v>
      </c>
      <c r="EO76" s="60">
        <f ca="1">AVERAGE(OFFSET($EN$3,0,0,'Données projet'!$E$15+1,1))-AVERAGE(OFFSET($H$3,0,0,'Données projet'!$E$15+1,1))</f>
        <v>269.94948820700841</v>
      </c>
      <c r="EP76" s="60">
        <f t="shared" si="100"/>
        <v>183.45158355135192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4.1448688564294729</v>
      </c>
      <c r="EX76" s="23">
        <f>EXP(-LN(2)/2)*EX75+(1-EXP(-LN(2)/2))/(LN(2)/2)*ER76*EU76*VLOOKUP('Données projet'!$B$15,Paramètres!$A$1:$I$89,3,0)*0.475*44/12</f>
        <v>1.9010021387805621E-6</v>
      </c>
      <c r="EY76" s="24">
        <f t="shared" si="75"/>
        <v>4.1448707574316117</v>
      </c>
      <c r="EZ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>
        <f>VLOOKUP(A76,'Données projet'!$A$217:$I$237,2,0)</f>
        <v>248</v>
      </c>
      <c r="FC76" s="13">
        <f>VLOOKUP(A76,'Données projet'!$A$217:$I$237,9,0)</f>
        <v>7.9230769230769234</v>
      </c>
      <c r="FD76" s="13">
        <f t="array" ref="FD76">INDEX(FC:FC,MIN(IF(ISNUMBER(FC76:FC272),ROW(FC76:FC272),"")))</f>
        <v>7.9230769230769234</v>
      </c>
      <c r="FE76" s="13">
        <f>IF('Données projet'!$A$218&gt;35,FE75+FD76-FM75,IF(A76&lt;'Données projet'!$A$218,$FB$205^A76,IF(A76='Données projet'!$A$218,'Données projet'!$B$218,FE75+FD76-FM75)))</f>
        <v>248.00000000000003</v>
      </c>
      <c r="FF76" s="18">
        <f>FE76*VLOOKUP('Données projet'!$B$16,Paramètres!$A$1:$I$89,3,0)*VLOOKUP('Données projet'!$B$16,Paramètres!$A$1:$I$89,5,0)</f>
        <v>148.30400000000003</v>
      </c>
      <c r="FG76" s="14">
        <f t="shared" si="101"/>
        <v>38.192908835171721</v>
      </c>
      <c r="FH76" s="22">
        <f t="shared" si="76"/>
        <v>324.81544955459077</v>
      </c>
      <c r="FI76" s="60">
        <f t="shared" si="77"/>
        <v>618.14878288792409</v>
      </c>
      <c r="FJ76" s="60">
        <f ca="1">AVERAGE(OFFSET($FI$3,0,0,'Données projet'!$E$16+1,1))-AVERAGE(OFFSET($H$3,0,0,'Données projet'!$E$16+1,1))</f>
        <v>111.24788725253484</v>
      </c>
      <c r="FK76" s="60">
        <f t="shared" si="102"/>
        <v>82.434879813357327</v>
      </c>
      <c r="FL76" s="16">
        <f>IF(ISNA(VLOOKUP(A76,'Données projet'!$A$217:$I$237,3,0)),0,VLOOKUP(A76,'Données projet'!$A$217:$I$237,3,0))</f>
        <v>5</v>
      </c>
      <c r="FM76" s="16">
        <f>IF(ISNA(VLOOKUP(A76,'Données projet'!$A$217:$I$237,4,0)),0,VLOOKUP(A76,'Données projet'!$A$217:$I$237,4,0))</f>
        <v>67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projet'!$B$16,Paramètres!$A$1:$I$89,3,0)*0.475*44/12</f>
        <v>0</v>
      </c>
      <c r="FR76" s="23">
        <f>EXP(-LN(2)/25)*FR75+(1-EXP(-LN(2)/25))/(LN(2)/25)*Calculateur!FM76*Calculateur!FO76*VLOOKUP('Données projet'!$B$16,Paramètres!$A$1:$I$89,3,0)*0.475*44/12</f>
        <v>0</v>
      </c>
      <c r="FS76" s="23">
        <f>EXP(-LN(2)/2)*FS75+(1-EXP(-LN(2)/2))/(LN(2)/2)*FM76*FP76*VLOOKUP('Données projet'!$B$16,Paramètres!$A$1:$I$89,3,0)*0.475*44/12</f>
        <v>0</v>
      </c>
      <c r="FT76" s="24">
        <f t="shared" si="78"/>
        <v>0</v>
      </c>
      <c r="FU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>
        <f>VLOOKUP(A76,'Données projet'!$A$243:$I$263,2,0)</f>
        <v>751</v>
      </c>
      <c r="FX76" s="13">
        <f>VLOOKUP(A76,'Données projet'!$A$243:$I$263,9,0)</f>
        <v>10.199999999999999</v>
      </c>
      <c r="FY76" s="13">
        <f t="array" ref="FY76">INDEX(FX:FX,MIN(IF(ISNUMBER(FX76:FX272),ROW(FX76:FX272),"")))</f>
        <v>10.199999999999999</v>
      </c>
      <c r="FZ76" s="13">
        <f>IF('Données projet'!$A$244&gt;35,FZ75+FY76-GH75,IF(A76&lt;'Données projet'!$A$244,$FW$205^A76,IF(A76='Données projet'!$A$244,'Données projet'!$B$244,FZ75+FY76-GH75)))</f>
        <v>751.0000000000008</v>
      </c>
      <c r="GA76" s="18">
        <f>FZ76*VLOOKUP('Données projet'!$B$17,Paramètres!$A$1:$I$89,3,0)*VLOOKUP('Données projet'!$B$17,Paramètres!$A$1:$I$89,5,0)</f>
        <v>331.94200000000041</v>
      </c>
      <c r="GB76" s="14">
        <f t="shared" si="103"/>
        <v>77.832795721146368</v>
      </c>
      <c r="GC76" s="22">
        <f t="shared" si="79"/>
        <v>713.69110254766395</v>
      </c>
      <c r="GD76" s="60">
        <f t="shared" si="80"/>
        <v>1007.0244358809973</v>
      </c>
      <c r="GE76" s="60">
        <f ca="1">AVERAGE(OFFSET($GD$3,0,0,'Données projet'!$E$17+1,1))-AVERAGE(OFFSET($H$3,0,0,'Données projet'!$E$17+1,1))</f>
        <v>323.56667371063662</v>
      </c>
      <c r="GF76" s="60">
        <f t="shared" si="104"/>
        <v>275.70373467723385</v>
      </c>
      <c r="GG76" s="16">
        <f>IF(ISNA(VLOOKUP(A76,'Données projet'!$A$243:$I$263,3,0)),0,VLOOKUP(A76,'Données projet'!$A$243:$I$263,3,0))</f>
        <v>6</v>
      </c>
      <c r="GH76" s="16">
        <f>IF(ISNA(VLOOKUP(A76,'Données projet'!$A$243:$I$263,4,0)),0,VLOOKUP(A76,'Données projet'!$A$243:$I$263,4,0))</f>
        <v>52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>
        <f>EXP(-LN(2)/35)*GL75+(1-EXP(-LN(2)/35))/(LN(2)/35)*GH76*GI76*VLOOKUP('Données projet'!$B$17,Paramètres!$A$1:$I$89,3,0)*0.475*44/12</f>
        <v>0</v>
      </c>
      <c r="GM76" s="23">
        <f>EXP(-LN(2)/25)*GM75+(1-EXP(-LN(2)/25))/(LN(2)/25)*Calculateur!GH76*Calculateur!GJ76*VLOOKUP('Données projet'!$B$17,Paramètres!$A$1:$I$89,3,0)*0.475*44/12</f>
        <v>0</v>
      </c>
      <c r="GN76" s="23">
        <f>EXP(-LN(2)/2)*GN75+(1-EXP(-LN(2)/2))/(LN(2)/2)*GH76*GK76*VLOOKUP('Données projet'!$B$17,Paramètres!$A$1:$I$89,3,0)*0.475*44/12</f>
        <v>0</v>
      </c>
      <c r="GO76" s="23">
        <f t="shared" si="81"/>
        <v>0</v>
      </c>
      <c r="GP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0" t="e">
        <f t="shared" si="83"/>
        <v>#N/A</v>
      </c>
      <c r="GZ76" s="60" t="e">
        <f ca="1">AVERAGE(OFFSET($GY$3,0,0,'Données projet'!$E$18+1,1))-AVERAGE(OFFSET($H$3,0,0,'Données projet'!$E$18+1,1))</f>
        <v>#N/A</v>
      </c>
      <c r="HA76" s="60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4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2">
        <f t="shared" si="86"/>
        <v>12.105664442616701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-1.1368683772161603E-13</v>
      </c>
      <c r="O77" s="14">
        <f>N77*VLOOKUP('Données projet'!$B$9,Paramètres!$A$1:$I$89,3,0)*VLOOKUP('Données projet'!$B$9,Paramètres!$A$1:$I$89,5,0)</f>
        <v>-6.7984728957526396E-14</v>
      </c>
      <c r="P77" s="14" t="e">
        <f t="shared" si="87"/>
        <v>#NUM!</v>
      </c>
      <c r="Q77" s="22" t="e">
        <f t="shared" si="54"/>
        <v>#NUM!</v>
      </c>
      <c r="R77" s="60" t="e">
        <f t="shared" si="55"/>
        <v>#NUM!</v>
      </c>
      <c r="S77" s="60">
        <f ca="1">AVERAGE(OFFSET($R$3,0,0,'Données projet'!$E$9+1,1))-AVERAGE(OFFSET($H$3,0,0,'Données projet'!$E$9+1,1))</f>
        <v>235.63766249714581</v>
      </c>
      <c r="T77" s="60">
        <f t="shared" si="88"/>
        <v>231.3297293785277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4.8002673876389403</v>
      </c>
      <c r="AA77" s="23">
        <f>EXP(-LN(2)/25)*AA76+(1-EXP(-LN(2)/25))/(LN(2)/25)*Calculateur!V77*Calculateur!X77*VLOOKUP('Données projet'!$B$9,Paramètres!$A$1:$I$89,3,0)*0.475*44/12</f>
        <v>5.1045314599744138</v>
      </c>
      <c r="AB77" s="23">
        <f>EXP(-LN(2)/2)*AB76+(1-EXP(-LN(2)/2))/(LN(2)/2)*V77*Y77*VLOOKUP('Données projet'!$B$9,Paramètres!$A$1:$I$89,3,0)*0.475*44/12</f>
        <v>1.6957359606978248E-6</v>
      </c>
      <c r="AC77" s="24">
        <f t="shared" si="57"/>
        <v>9.9048005433493138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6.2</v>
      </c>
      <c r="AI77" s="14">
        <f>IF('Données projet'!$A$62&gt;35,AI76+AH77-AQ76,IF(A77&lt;'Données projet'!$A$62,$AF$205^A77,IF(A77='Données projet'!$A$62,'Données projet'!$B$62,AI76+AH77-AQ76)))</f>
        <v>245.7999999999999</v>
      </c>
      <c r="AJ77" s="14">
        <f>AI77*VLOOKUP('Données projet'!$B$10,Paramètres!$A$1:$I$89,3,0)*VLOOKUP('Données projet'!$B$10,Paramètres!$A$1:$I$89,5,0)</f>
        <v>249.24119999999988</v>
      </c>
      <c r="AK77" s="14">
        <f t="shared" si="89"/>
        <v>60.42342651744687</v>
      </c>
      <c r="AL77" s="22">
        <f t="shared" si="58"/>
        <v>539.3325578512198</v>
      </c>
      <c r="AM77" s="60">
        <f t="shared" si="59"/>
        <v>832.66589118455317</v>
      </c>
      <c r="AN77" s="60">
        <f ca="1">AVERAGE(OFFSET($AM$3,0,0,'Données projet'!$E$10+1,1))-AVERAGE(OFFSET($H$3,0,0,'Données projet'!$E$10+1,1))</f>
        <v>350.3652766444938</v>
      </c>
      <c r="AO77" s="60">
        <f t="shared" si="90"/>
        <v>197.04549436738586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6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6.2</v>
      </c>
      <c r="BD77" s="13">
        <f>IF('Données projet'!$A$88&gt;35,BD76+BC77-BL76,IF(A77&lt;'Données projet'!$A$88,$BA$205^A77,IF(A77='Données projet'!$A$88,'Données projet'!$B$88,BD76+BC77-BL76)))</f>
        <v>245.7999999999999</v>
      </c>
      <c r="BE77" s="14">
        <f>BD77*VLOOKUP('Données projet'!$B$11,Paramètres!$A$1:$I$89,3,0)*VLOOKUP('Données projet'!$B$11,Paramètres!$A$1:$I$89,5,0)</f>
        <v>237.73775999999989</v>
      </c>
      <c r="BF77" s="14">
        <f t="shared" si="91"/>
        <v>57.952530566790166</v>
      </c>
      <c r="BG77" s="22">
        <f t="shared" si="61"/>
        <v>514.99392273715932</v>
      </c>
      <c r="BH77" s="60">
        <f t="shared" si="62"/>
        <v>808.32725607049269</v>
      </c>
      <c r="BI77" s="60">
        <f ca="1">AVERAGE(OFFSET($BH$3,0,0,'Données projet'!$E$11+1,1))-AVERAGE(OFFSET($H$3,0,0,'Données projet'!$E$11+1,1))</f>
        <v>330.39429528665841</v>
      </c>
      <c r="BJ77" s="60">
        <f t="shared" si="92"/>
        <v>186.45728006007261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4.6153846153846247</v>
      </c>
      <c r="BY77" s="13">
        <f>IF('Données projet'!$A$114&gt;35,BY76+BX77-CG76,IF(A77&lt;'Données projet'!$A$114,$BV$205^A77,IF(A77='Données projet'!$A$114,'Données projet'!$B$114,BY76+BX77-CG76)))</f>
        <v>256.28205128205133</v>
      </c>
      <c r="BZ77" s="14">
        <f>BY77*VLOOKUP('Données projet'!$B$12,Paramètres!$A$1:$I$89,3,0)*VLOOKUP('Données projet'!$B$12,Paramètres!$A$1:$I$89,5,0)</f>
        <v>171.91400000000002</v>
      </c>
      <c r="CA77" s="14">
        <f t="shared" si="93"/>
        <v>43.518416191440224</v>
      </c>
      <c r="CB77" s="22">
        <f t="shared" si="64"/>
        <v>375.21145820009173</v>
      </c>
      <c r="CC77" s="60">
        <f t="shared" si="65"/>
        <v>668.54479153342504</v>
      </c>
      <c r="CD77" s="60">
        <f ca="1">AVERAGE(OFFSET($CC$3,0,0,'Données projet'!$E$12+1,1))-AVERAGE(OFFSET($H$3,0,0,'Données projet'!$E$12+1,1))</f>
        <v>212.33913923444732</v>
      </c>
      <c r="CE77" s="60">
        <f t="shared" si="94"/>
        <v>183.51194426094372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3.6</v>
      </c>
      <c r="CT77" s="13">
        <f>IF('Données projet'!$A$140&gt;35,CT76+CS77-DB76,IF(A77&lt;'Données projet'!$A$140,$CQ$205^A77,IF(A77='Données projet'!$A$140,'Données projet'!$B$140,CT76+CS77-DB76)))</f>
        <v>220.39999999999964</v>
      </c>
      <c r="CU77" s="18">
        <f>CT77*VLOOKUP('Données projet'!$B$13,Paramètres!$A$1:$I$89,3,0)*VLOOKUP('Données projet'!$B$13,Paramètres!$A$1:$I$89,5,0)</f>
        <v>192.54143999999971</v>
      </c>
      <c r="CV77" s="14">
        <f t="shared" si="95"/>
        <v>48.101393902059613</v>
      </c>
      <c r="CW77" s="22">
        <f t="shared" si="67"/>
        <v>419.11960237941997</v>
      </c>
      <c r="CX77" s="60">
        <f t="shared" si="68"/>
        <v>712.45293571275329</v>
      </c>
      <c r="CY77" s="60">
        <f ca="1">AVERAGE(OFFSET($CX$3,0,0,'Données projet'!$E$13+1,1))-AVERAGE(OFFSET($H$3,0,0,'Données projet'!$E$13+1,1))</f>
        <v>228.0393346366489</v>
      </c>
      <c r="CZ77" s="60">
        <f t="shared" si="96"/>
        <v>238.591781509447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6.2</v>
      </c>
      <c r="DO77" s="13">
        <f>IF('Données projet'!$A$166&gt;35,DO76+DN77-DW76,IF(A77&lt;'Données projet'!$A$166,$DL$205^A77,IF(A77='Données projet'!$A$166,'Données projet'!$B$166,DO76+DN77-DW76)))</f>
        <v>245.7999999999999</v>
      </c>
      <c r="DP77" s="18">
        <f>DO77*VLOOKUP('Données projet'!$B$14,Paramètres!$A$1:$I$89,3,0)*VLOOKUP('Données projet'!$B$14,Paramètres!$A$1:$I$89,5,0)</f>
        <v>222.3998399999999</v>
      </c>
      <c r="DQ77" s="14">
        <f t="shared" si="97"/>
        <v>54.636149281681448</v>
      </c>
      <c r="DR77" s="22">
        <f t="shared" si="70"/>
        <v>482.50434799892832</v>
      </c>
      <c r="DS77" s="60">
        <f t="shared" si="71"/>
        <v>775.83768133226158</v>
      </c>
      <c r="DT77" s="60">
        <f ca="1">AVERAGE(OFFSET($DS$3,0,0,'Données projet'!$E$14+1,1))-AVERAGE(OFFSET($H$3,0,0,'Données projet'!$E$14+1,1))</f>
        <v>303.73499739059076</v>
      </c>
      <c r="DU77" s="60">
        <f t="shared" si="98"/>
        <v>172.32171001882188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9.782</v>
      </c>
      <c r="EJ77" s="13">
        <f>IF('Données projet'!$A$192&gt;35,EJ76+EI77-ER76,IF(A77&lt;'Données projet'!$A$192,$EG$205^A77,IF(A77='Données projet'!$A$192,'Données projet'!$B$192,EJ76+EI77-ER76)))</f>
        <v>461.30800000000016</v>
      </c>
      <c r="EK77" s="18">
        <f>EJ77*VLOOKUP('Données projet'!$B$15,Paramètres!$A$1:$I$89,3,0)*VLOOKUP('Données projet'!$B$15,Paramètres!$A$1:$I$89,5,0)</f>
        <v>275.86218400000013</v>
      </c>
      <c r="EL77" s="14">
        <f t="shared" si="99"/>
        <v>66.091813160377626</v>
      </c>
      <c r="EM77" s="22">
        <f t="shared" si="73"/>
        <v>595.56987838765781</v>
      </c>
      <c r="EN77" s="60">
        <f t="shared" si="74"/>
        <v>888.90321172099107</v>
      </c>
      <c r="EO77" s="60">
        <f ca="1">AVERAGE(OFFSET($EN$3,0,0,'Données projet'!$E$15+1,1))-AVERAGE(OFFSET($H$3,0,0,'Données projet'!$E$15+1,1))</f>
        <v>269.94948820700841</v>
      </c>
      <c r="EP77" s="60">
        <f t="shared" si="100"/>
        <v>183.45158355135192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4.0315271995812294</v>
      </c>
      <c r="EX77" s="23">
        <f>EXP(-LN(2)/2)*EX76+(1-EXP(-LN(2)/2))/(LN(2)/2)*ER77*EU77*VLOOKUP('Données projet'!$B$15,Paramètres!$A$1:$I$89,3,0)*0.475*44/12</f>
        <v>1.3442115033818658E-6</v>
      </c>
      <c r="EY77" s="24">
        <f t="shared" si="75"/>
        <v>4.0315285437927324</v>
      </c>
      <c r="EZ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6.25</v>
      </c>
      <c r="FE77" s="13">
        <f>IF('Données projet'!$A$218&gt;35,FE76+FD77-FM76,IF(A77&lt;'Données projet'!$A$218,$FB$205^A77,IF(A77='Données projet'!$A$218,'Données projet'!$B$218,FE76+FD77-FM76)))</f>
        <v>187.25000000000003</v>
      </c>
      <c r="FF77" s="18">
        <f>FE77*VLOOKUP('Données projet'!$B$16,Paramètres!$A$1:$I$89,3,0)*VLOOKUP('Données projet'!$B$16,Paramètres!$A$1:$I$89,5,0)</f>
        <v>111.97550000000003</v>
      </c>
      <c r="FG77" s="14">
        <f t="shared" si="101"/>
        <v>29.795944511509465</v>
      </c>
      <c r="FH77" s="22">
        <f t="shared" si="76"/>
        <v>246.91859919087901</v>
      </c>
      <c r="FI77" s="60">
        <f t="shared" si="77"/>
        <v>540.25193252421229</v>
      </c>
      <c r="FJ77" s="60">
        <f ca="1">AVERAGE(OFFSET($FI$3,0,0,'Données projet'!$E$16+1,1))-AVERAGE(OFFSET($H$3,0,0,'Données projet'!$E$16+1,1))</f>
        <v>111.24788725253484</v>
      </c>
      <c r="FK77" s="60">
        <f t="shared" si="102"/>
        <v>82.434879813357327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projet'!$B$16,Paramètres!$A$1:$I$89,3,0)*0.475*44/12</f>
        <v>0</v>
      </c>
      <c r="FR77" s="23">
        <f>EXP(-LN(2)/25)*FR76+(1-EXP(-LN(2)/25))/(LN(2)/25)*Calculateur!FM77*Calculateur!FO77*VLOOKUP('Données projet'!$B$16,Paramètres!$A$1:$I$89,3,0)*0.475*44/12</f>
        <v>0</v>
      </c>
      <c r="FS77" s="23">
        <f>EXP(-LN(2)/2)*FS76+(1-EXP(-LN(2)/2))/(LN(2)/2)*FM77*FP77*VLOOKUP('Données projet'!$B$16,Paramètres!$A$1:$I$89,3,0)*0.475*44/12</f>
        <v>0</v>
      </c>
      <c r="FT77" s="24">
        <f t="shared" si="78"/>
        <v>0</v>
      </c>
      <c r="FU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8.1999999999999993</v>
      </c>
      <c r="FZ77" s="13">
        <f>IF('Données projet'!$A$244&gt;35,FZ76+FY77-GH76,IF(A77&lt;'Données projet'!$A$244,$FW$205^A77,IF(A77='Données projet'!$A$244,'Données projet'!$B$244,FZ76+FY77-GH76)))</f>
        <v>707.20000000000084</v>
      </c>
      <c r="GA77" s="18">
        <f>FZ77*VLOOKUP('Données projet'!$B$17,Paramètres!$A$1:$I$89,3,0)*VLOOKUP('Données projet'!$B$17,Paramètres!$A$1:$I$89,5,0)</f>
        <v>312.5824000000004</v>
      </c>
      <c r="GB77" s="14">
        <f t="shared" si="103"/>
        <v>73.807877411299316</v>
      </c>
      <c r="GC77" s="22">
        <f t="shared" si="79"/>
        <v>672.96306649134704</v>
      </c>
      <c r="GD77" s="60">
        <f t="shared" si="80"/>
        <v>966.29639982468029</v>
      </c>
      <c r="GE77" s="60">
        <f ca="1">AVERAGE(OFFSET($GD$3,0,0,'Données projet'!$E$17+1,1))-AVERAGE(OFFSET($H$3,0,0,'Données projet'!$E$17+1,1))</f>
        <v>323.56667371063662</v>
      </c>
      <c r="GF77" s="60">
        <f t="shared" si="104"/>
        <v>275.70373467723385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>
        <f>EXP(-LN(2)/35)*GL76+(1-EXP(-LN(2)/35))/(LN(2)/35)*GH77*GI77*VLOOKUP('Données projet'!$B$17,Paramètres!$A$1:$I$89,3,0)*0.475*44/12</f>
        <v>0</v>
      </c>
      <c r="GM77" s="23">
        <f>EXP(-LN(2)/25)*GM76+(1-EXP(-LN(2)/25))/(LN(2)/25)*Calculateur!GH77*Calculateur!GJ77*VLOOKUP('Données projet'!$B$17,Paramètres!$A$1:$I$89,3,0)*0.475*44/12</f>
        <v>0</v>
      </c>
      <c r="GN77" s="23">
        <f>EXP(-LN(2)/2)*GN76+(1-EXP(-LN(2)/2))/(LN(2)/2)*GH77*GK77*VLOOKUP('Données projet'!$B$17,Paramètres!$A$1:$I$89,3,0)*0.475*44/12</f>
        <v>0</v>
      </c>
      <c r="GO77" s="23">
        <f t="shared" si="81"/>
        <v>0</v>
      </c>
      <c r="GP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0" t="e">
        <f t="shared" si="83"/>
        <v>#N/A</v>
      </c>
      <c r="GZ77" s="60" t="e">
        <f ca="1">AVERAGE(OFFSET($GY$3,0,0,'Données projet'!$E$18+1,1))-AVERAGE(OFFSET($H$3,0,0,'Données projet'!$E$18+1,1))</f>
        <v>#N/A</v>
      </c>
      <c r="HA77" s="60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4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2">
        <f t="shared" si="86"/>
        <v>12.250099502125838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-1.1368683772161603E-13</v>
      </c>
      <c r="O78" s="14">
        <f>N78*VLOOKUP('Données projet'!$B$9,Paramètres!$A$1:$I$89,3,0)*VLOOKUP('Données projet'!$B$9,Paramètres!$A$1:$I$89,5,0)</f>
        <v>-6.7984728957526396E-14</v>
      </c>
      <c r="P78" s="14" t="e">
        <f t="shared" si="87"/>
        <v>#NUM!</v>
      </c>
      <c r="Q78" s="22" t="e">
        <f t="shared" si="54"/>
        <v>#NUM!</v>
      </c>
      <c r="R78" s="60" t="e">
        <f t="shared" si="55"/>
        <v>#NUM!</v>
      </c>
      <c r="S78" s="60">
        <f ca="1">AVERAGE(OFFSET($R$3,0,0,'Données projet'!$E$9+1,1))-AVERAGE(OFFSET($H$3,0,0,'Données projet'!$E$9+1,1))</f>
        <v>235.63766249714581</v>
      </c>
      <c r="T78" s="60">
        <f t="shared" si="88"/>
        <v>231.3297293785277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4.7061370720413436</v>
      </c>
      <c r="AA78" s="23">
        <f>EXP(-LN(2)/25)*AA77+(1-EXP(-LN(2)/25))/(LN(2)/25)*Calculateur!V78*Calculateur!X78*VLOOKUP('Données projet'!$B$9,Paramètres!$A$1:$I$89,3,0)*0.475*44/12</f>
        <v>4.9649477787657705</v>
      </c>
      <c r="AB78" s="23">
        <f>EXP(-LN(2)/2)*AB77+(1-EXP(-LN(2)/2))/(LN(2)/2)*V78*Y78*VLOOKUP('Données projet'!$B$9,Paramètres!$A$1:$I$89,3,0)*0.475*44/12</f>
        <v>1.1990663969113168E-6</v>
      </c>
      <c r="AC78" s="24">
        <f t="shared" si="57"/>
        <v>9.6710860498735105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252</v>
      </c>
      <c r="AG78" s="13">
        <f>VLOOKUP(A78,'Données projet'!$A$61:$I$81,9,0)</f>
        <v>6.2</v>
      </c>
      <c r="AH78" s="13">
        <f t="array" ref="AH78">INDEX(AG:AG,MIN(IF(ISNUMBER(AG78:AG274),ROW(AG78:AG274),"")))</f>
        <v>6.2</v>
      </c>
      <c r="AI78" s="14">
        <f>IF('Données projet'!$A$62&gt;35,AI77+AH78-AQ77,IF(A78&lt;'Données projet'!$A$62,$AF$205^A78,IF(A78='Données projet'!$A$62,'Données projet'!$B$62,AI77+AH78-AQ77)))</f>
        <v>251.99999999999989</v>
      </c>
      <c r="AJ78" s="14">
        <f>AI78*VLOOKUP('Données projet'!$B$10,Paramètres!$A$1:$I$89,3,0)*VLOOKUP('Données projet'!$B$10,Paramètres!$A$1:$I$89,5,0)</f>
        <v>255.52799999999991</v>
      </c>
      <c r="AK78" s="14">
        <f t="shared" si="89"/>
        <v>61.768167868721477</v>
      </c>
      <c r="AL78" s="22">
        <f t="shared" si="58"/>
        <v>552.62415903802309</v>
      </c>
      <c r="AM78" s="60">
        <f t="shared" si="59"/>
        <v>845.95749237135647</v>
      </c>
      <c r="AN78" s="60">
        <f ca="1">AVERAGE(OFFSET($AM$3,0,0,'Données projet'!$E$10+1,1))-AVERAGE(OFFSET($H$3,0,0,'Données projet'!$E$10+1,1))</f>
        <v>350.3652766444938</v>
      </c>
      <c r="AO78" s="60">
        <f t="shared" si="90"/>
        <v>197.04549436738586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6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252</v>
      </c>
      <c r="BB78" s="13">
        <f>VLOOKUP(A78,'Données projet'!$A$87:$I$107,9,0)</f>
        <v>6.2</v>
      </c>
      <c r="BC78" s="13">
        <f t="array" ref="BC78">INDEX(BB:BB,MIN(IF(ISNUMBER(BB78:BB274),ROW(BB78:BB274),"")))</f>
        <v>6.2</v>
      </c>
      <c r="BD78" s="13">
        <f>IF('Données projet'!$A$88&gt;35,BD77+BC78-BL77,IF(A78&lt;'Données projet'!$A$88,$BA$205^A78,IF(A78='Données projet'!$A$88,'Données projet'!$B$88,BD77+BC78-BL77)))</f>
        <v>251.99999999999989</v>
      </c>
      <c r="BE78" s="14">
        <f>BD78*VLOOKUP('Données projet'!$B$11,Paramètres!$A$1:$I$89,3,0)*VLOOKUP('Données projet'!$B$11,Paramètres!$A$1:$I$89,5,0)</f>
        <v>243.73439999999988</v>
      </c>
      <c r="BF78" s="14">
        <f t="shared" si="91"/>
        <v>59.242281392848767</v>
      </c>
      <c r="BG78" s="22">
        <f t="shared" si="61"/>
        <v>527.68438675921141</v>
      </c>
      <c r="BH78" s="60">
        <f t="shared" si="62"/>
        <v>821.01772009254478</v>
      </c>
      <c r="BI78" s="60">
        <f ca="1">AVERAGE(OFFSET($BH$3,0,0,'Données projet'!$E$11+1,1))-AVERAGE(OFFSET($H$3,0,0,'Données projet'!$E$11+1,1))</f>
        <v>330.39429528665841</v>
      </c>
      <c r="BJ78" s="60">
        <f t="shared" si="92"/>
        <v>186.45728006007261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260.89743589743591</v>
      </c>
      <c r="BW78" s="13">
        <f>VLOOKUP(A78,'Données projet'!$A$113:$I$133,9,0)</f>
        <v>4.6153846153846247</v>
      </c>
      <c r="BX78" s="13">
        <f t="array" ref="BX78">INDEX(BW:BW,MIN(IF(ISNUMBER(BW78:BW274),ROW(BW78:BW274),"")))</f>
        <v>4.6153846153846247</v>
      </c>
      <c r="BY78" s="13">
        <f>IF('Données projet'!$A$114&gt;35,BY77+BX78-CG77,IF(A78&lt;'Données projet'!$A$114,$BV$205^A78,IF(A78='Données projet'!$A$114,'Données projet'!$B$114,BY77+BX78-CG77)))</f>
        <v>260.89743589743597</v>
      </c>
      <c r="BZ78" s="14">
        <f>BY78*VLOOKUP('Données projet'!$B$12,Paramètres!$A$1:$I$89,3,0)*VLOOKUP('Données projet'!$B$12,Paramètres!$A$1:$I$89,5,0)</f>
        <v>175.01000000000005</v>
      </c>
      <c r="CA78" s="14">
        <f t="shared" si="93"/>
        <v>44.210193140944192</v>
      </c>
      <c r="CB78" s="22">
        <f t="shared" si="64"/>
        <v>381.80850305381119</v>
      </c>
      <c r="CC78" s="60">
        <f t="shared" si="65"/>
        <v>675.14183638714451</v>
      </c>
      <c r="CD78" s="60">
        <f ca="1">AVERAGE(OFFSET($CC$3,0,0,'Données projet'!$E$12+1,1))-AVERAGE(OFFSET($H$3,0,0,'Données projet'!$E$12+1,1))</f>
        <v>212.33913923444732</v>
      </c>
      <c r="CE78" s="60">
        <f t="shared" si="94"/>
        <v>183.51194426094372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224</v>
      </c>
      <c r="CR78" s="13">
        <f>VLOOKUP(A78,'Données projet'!$A$139:$I$159,9,0)</f>
        <v>3.6</v>
      </c>
      <c r="CS78" s="13">
        <f t="array" ref="CS78">INDEX(CR:CR,MIN(IF(ISNUMBER(CR78:CR274),ROW(CR78:CR274),"")))</f>
        <v>3.6</v>
      </c>
      <c r="CT78" s="13">
        <f>IF('Données projet'!$A$140&gt;35,CT77+CS78-DB77,IF(A78&lt;'Données projet'!$A$140,$CQ$205^A78,IF(A78='Données projet'!$A$140,'Données projet'!$B$140,CT77+CS78-DB77)))</f>
        <v>223.99999999999963</v>
      </c>
      <c r="CU78" s="18">
        <f>CT78*VLOOKUP('Données projet'!$B$13,Paramètres!$A$1:$I$89,3,0)*VLOOKUP('Données projet'!$B$13,Paramètres!$A$1:$I$89,5,0)</f>
        <v>195.68639999999968</v>
      </c>
      <c r="CV78" s="14">
        <f t="shared" si="95"/>
        <v>48.794969360985071</v>
      </c>
      <c r="CW78" s="22">
        <f t="shared" si="67"/>
        <v>425.80505163704839</v>
      </c>
      <c r="CX78" s="60">
        <f t="shared" si="68"/>
        <v>719.13838497038171</v>
      </c>
      <c r="CY78" s="60">
        <f ca="1">AVERAGE(OFFSET($CX$3,0,0,'Données projet'!$E$13+1,1))-AVERAGE(OFFSET($H$3,0,0,'Données projet'!$E$13+1,1))</f>
        <v>228.0393346366489</v>
      </c>
      <c r="CZ78" s="60">
        <f t="shared" si="96"/>
        <v>238.591781509447</v>
      </c>
      <c r="DA78" s="16">
        <f>IF(ISNA(VLOOKUP(A78,'Données projet'!$A$139:$I$159,3,0)),0,VLOOKUP(A78,'Données projet'!$A$139:$I$159,3,0))</f>
        <v>6</v>
      </c>
      <c r="DB78" s="16">
        <f>IF(ISNA(VLOOKUP(A78,'Données projet'!$A$139:$I$159,4,0)),0,VLOOKUP(A78,'Données projet'!$A$139:$I$159,4,0))</f>
        <v>28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252</v>
      </c>
      <c r="DM78" s="13">
        <f>VLOOKUP(A78,'Données projet'!$A$165:$I$185,9,0)</f>
        <v>6.2</v>
      </c>
      <c r="DN78" s="13">
        <f t="array" ref="DN78">INDEX(DM:DM,MIN(IF(ISNUMBER(DM78:DM274),ROW(DM78:DM274),"")))</f>
        <v>6.2</v>
      </c>
      <c r="DO78" s="13">
        <f>IF('Données projet'!$A$166&gt;35,DO77+DN78-DW77,IF(A78&lt;'Données projet'!$A$166,$DL$205^A78,IF(A78='Données projet'!$A$166,'Données projet'!$B$166,DO77+DN78-DW77)))</f>
        <v>251.99999999999989</v>
      </c>
      <c r="DP78" s="18">
        <f>DO78*VLOOKUP('Données projet'!$B$14,Paramètres!$A$1:$I$89,3,0)*VLOOKUP('Données projet'!$B$14,Paramètres!$A$1:$I$89,5,0)</f>
        <v>228.00959999999986</v>
      </c>
      <c r="DQ78" s="14">
        <f t="shared" si="97"/>
        <v>55.852093054619779</v>
      </c>
      <c r="DR78" s="22">
        <f t="shared" si="70"/>
        <v>494.39244873679587</v>
      </c>
      <c r="DS78" s="60">
        <f t="shared" si="71"/>
        <v>787.72578207012918</v>
      </c>
      <c r="DT78" s="60">
        <f ca="1">AVERAGE(OFFSET($DS$3,0,0,'Données projet'!$E$14+1,1))-AVERAGE(OFFSET($H$3,0,0,'Données projet'!$E$14+1,1))</f>
        <v>303.73499739059076</v>
      </c>
      <c r="DU78" s="60">
        <f t="shared" si="98"/>
        <v>172.32171001882188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9.782</v>
      </c>
      <c r="EJ78" s="13">
        <f>IF('Données projet'!$A$192&gt;35,EJ77+EI78-ER77,IF(A78&lt;'Données projet'!$A$192,$EG$205^A78,IF(A78='Données projet'!$A$192,'Données projet'!$B$192,EJ77+EI78-ER77)))</f>
        <v>471.09000000000015</v>
      </c>
      <c r="EK78" s="18">
        <f>EJ78*VLOOKUP('Données projet'!$B$15,Paramètres!$A$1:$I$89,3,0)*VLOOKUP('Données projet'!$B$15,Paramètres!$A$1:$I$89,5,0)</f>
        <v>281.7118200000001</v>
      </c>
      <c r="EL78" s="14">
        <f t="shared" si="99"/>
        <v>67.328637229880215</v>
      </c>
      <c r="EM78" s="22">
        <f t="shared" si="73"/>
        <v>607.91212967537479</v>
      </c>
      <c r="EN78" s="60">
        <f t="shared" si="74"/>
        <v>901.24546300870816</v>
      </c>
      <c r="EO78" s="60">
        <f ca="1">AVERAGE(OFFSET($EN$3,0,0,'Données projet'!$E$15+1,1))-AVERAGE(OFFSET($H$3,0,0,'Données projet'!$E$15+1,1))</f>
        <v>269.94948820700841</v>
      </c>
      <c r="EP78" s="60">
        <f t="shared" si="100"/>
        <v>183.45158355135192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3.9212848762998793</v>
      </c>
      <c r="EX78" s="23">
        <f>EXP(-LN(2)/2)*EX77+(1-EXP(-LN(2)/2))/(LN(2)/2)*ER78*EU78*VLOOKUP('Données projet'!$B$15,Paramètres!$A$1:$I$89,3,0)*0.475*44/12</f>
        <v>9.5050106939028113E-7</v>
      </c>
      <c r="EY78" s="24">
        <f t="shared" si="75"/>
        <v>3.9212858268009487</v>
      </c>
      <c r="EZ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6.25</v>
      </c>
      <c r="FE78" s="13">
        <f>IF('Données projet'!$A$218&gt;35,FE77+FD78-FM77,IF(A78&lt;'Données projet'!$A$218,$FB$205^A78,IF(A78='Données projet'!$A$218,'Données projet'!$B$218,FE77+FD78-FM77)))</f>
        <v>193.50000000000003</v>
      </c>
      <c r="FF78" s="18">
        <f>FE78*VLOOKUP('Données projet'!$B$16,Paramètres!$A$1:$I$89,3,0)*VLOOKUP('Données projet'!$B$16,Paramètres!$A$1:$I$89,5,0)</f>
        <v>115.71300000000002</v>
      </c>
      <c r="FG78" s="14">
        <f t="shared" si="101"/>
        <v>30.673019842466044</v>
      </c>
      <c r="FH78" s="22">
        <f t="shared" si="76"/>
        <v>254.95565122562834</v>
      </c>
      <c r="FI78" s="60">
        <f t="shared" si="77"/>
        <v>548.2889845589616</v>
      </c>
      <c r="FJ78" s="60">
        <f ca="1">AVERAGE(OFFSET($FI$3,0,0,'Données projet'!$E$16+1,1))-AVERAGE(OFFSET($H$3,0,0,'Données projet'!$E$16+1,1))</f>
        <v>111.24788725253484</v>
      </c>
      <c r="FK78" s="60">
        <f t="shared" si="102"/>
        <v>82.434879813357327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projet'!$B$16,Paramètres!$A$1:$I$89,3,0)*0.475*44/12</f>
        <v>0</v>
      </c>
      <c r="FR78" s="23">
        <f>EXP(-LN(2)/25)*FR77+(1-EXP(-LN(2)/25))/(LN(2)/25)*Calculateur!FM78*Calculateur!FO78*VLOOKUP('Données projet'!$B$16,Paramètres!$A$1:$I$89,3,0)*0.475*44/12</f>
        <v>0</v>
      </c>
      <c r="FS78" s="23">
        <f>EXP(-LN(2)/2)*FS77+(1-EXP(-LN(2)/2))/(LN(2)/2)*FM78*FP78*VLOOKUP('Données projet'!$B$16,Paramètres!$A$1:$I$89,3,0)*0.475*44/12</f>
        <v>0</v>
      </c>
      <c r="FT78" s="24">
        <f t="shared" si="78"/>
        <v>0</v>
      </c>
      <c r="FU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8.1999999999999993</v>
      </c>
      <c r="FZ78" s="13">
        <f>IF('Données projet'!$A$244&gt;35,FZ77+FY78-GH77,IF(A78&lt;'Données projet'!$A$244,$FW$205^A78,IF(A78='Données projet'!$A$244,'Données projet'!$B$244,FZ77+FY78-GH77)))</f>
        <v>715.40000000000089</v>
      </c>
      <c r="GA78" s="18">
        <f>FZ78*VLOOKUP('Données projet'!$B$17,Paramètres!$A$1:$I$89,3,0)*VLOOKUP('Données projet'!$B$17,Paramètres!$A$1:$I$89,5,0)</f>
        <v>316.20680000000044</v>
      </c>
      <c r="GB78" s="14">
        <f t="shared" si="103"/>
        <v>74.563557722763775</v>
      </c>
      <c r="GC78" s="22">
        <f t="shared" si="79"/>
        <v>680.59170636714771</v>
      </c>
      <c r="GD78" s="60">
        <f t="shared" si="80"/>
        <v>973.92503970048097</v>
      </c>
      <c r="GE78" s="60">
        <f ca="1">AVERAGE(OFFSET($GD$3,0,0,'Données projet'!$E$17+1,1))-AVERAGE(OFFSET($H$3,0,0,'Données projet'!$E$17+1,1))</f>
        <v>323.56667371063662</v>
      </c>
      <c r="GF78" s="60">
        <f t="shared" si="104"/>
        <v>275.70373467723385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>
        <f>EXP(-LN(2)/35)*GL77+(1-EXP(-LN(2)/35))/(LN(2)/35)*GH78*GI78*VLOOKUP('Données projet'!$B$17,Paramètres!$A$1:$I$89,3,0)*0.475*44/12</f>
        <v>0</v>
      </c>
      <c r="GM78" s="23">
        <f>EXP(-LN(2)/25)*GM77+(1-EXP(-LN(2)/25))/(LN(2)/25)*Calculateur!GH78*Calculateur!GJ78*VLOOKUP('Données projet'!$B$17,Paramètres!$A$1:$I$89,3,0)*0.475*44/12</f>
        <v>0</v>
      </c>
      <c r="GN78" s="23">
        <f>EXP(-LN(2)/2)*GN77+(1-EXP(-LN(2)/2))/(LN(2)/2)*GH78*GK78*VLOOKUP('Données projet'!$B$17,Paramètres!$A$1:$I$89,3,0)*0.475*44/12</f>
        <v>0</v>
      </c>
      <c r="GO78" s="23">
        <f t="shared" si="81"/>
        <v>0</v>
      </c>
      <c r="GP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0" t="e">
        <f t="shared" si="83"/>
        <v>#N/A</v>
      </c>
      <c r="GZ78" s="60" t="e">
        <f ca="1">AVERAGE(OFFSET($GY$3,0,0,'Données projet'!$E$18+1,1))-AVERAGE(OFFSET($H$3,0,0,'Données projet'!$E$18+1,1))</f>
        <v>#N/A</v>
      </c>
      <c r="HA78" s="60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4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2">
        <f t="shared" si="86"/>
        <v>12.394310565265254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-1.1368683772161603E-13</v>
      </c>
      <c r="O79" s="14">
        <f>N79*VLOOKUP('Données projet'!$B$9,Paramètres!$A$1:$I$89,3,0)*VLOOKUP('Données projet'!$B$9,Paramètres!$A$1:$I$89,5,0)</f>
        <v>-6.7984728957526396E-14</v>
      </c>
      <c r="P79" s="14" t="e">
        <f t="shared" si="87"/>
        <v>#NUM!</v>
      </c>
      <c r="Q79" s="22" t="e">
        <f t="shared" si="54"/>
        <v>#NUM!</v>
      </c>
      <c r="R79" s="60" t="e">
        <f t="shared" si="55"/>
        <v>#NUM!</v>
      </c>
      <c r="S79" s="60">
        <f ca="1">AVERAGE(OFFSET($R$3,0,0,'Données projet'!$E$9+1,1))-AVERAGE(OFFSET($H$3,0,0,'Données projet'!$E$9+1,1))</f>
        <v>235.63766249714581</v>
      </c>
      <c r="T79" s="60">
        <f t="shared" si="88"/>
        <v>231.3297293785277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4.613852594518792</v>
      </c>
      <c r="AA79" s="23">
        <f>EXP(-LN(2)/25)*AA78+(1-EXP(-LN(2)/25))/(LN(2)/25)*Calculateur!V79*Calculateur!X79*VLOOKUP('Données projet'!$B$9,Paramètres!$A$1:$I$89,3,0)*0.475*44/12</f>
        <v>4.8291810206601644</v>
      </c>
      <c r="AB79" s="23">
        <f>EXP(-LN(2)/2)*AB78+(1-EXP(-LN(2)/2))/(LN(2)/2)*V79*Y79*VLOOKUP('Données projet'!$B$9,Paramètres!$A$1:$I$89,3,0)*0.475*44/12</f>
        <v>8.4786798034891242E-7</v>
      </c>
      <c r="AC79" s="24">
        <f t="shared" si="57"/>
        <v>9.4430344630469367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6</v>
      </c>
      <c r="AI79" s="14">
        <f>IF('Données projet'!$A$62&gt;35,AI78+AH79-AQ78,IF(A79&lt;'Données projet'!$A$62,$AF$205^A79,IF(A79='Données projet'!$A$62,'Données projet'!$B$62,AI78+AH79-AQ78)))</f>
        <v>257.99999999999989</v>
      </c>
      <c r="AJ79" s="14">
        <f>AI79*VLOOKUP('Données projet'!$B$10,Paramètres!$A$1:$I$89,3,0)*VLOOKUP('Données projet'!$B$10,Paramètres!$A$1:$I$89,5,0)</f>
        <v>261.61199999999991</v>
      </c>
      <c r="AK79" s="14">
        <f t="shared" si="89"/>
        <v>63.065867509496442</v>
      </c>
      <c r="AL79" s="22">
        <f t="shared" si="58"/>
        <v>565.48061924570618</v>
      </c>
      <c r="AM79" s="60">
        <f t="shared" si="59"/>
        <v>858.81395257903955</v>
      </c>
      <c r="AN79" s="60">
        <f ca="1">AVERAGE(OFFSET($AM$3,0,0,'Données projet'!$E$10+1,1))-AVERAGE(OFFSET($H$3,0,0,'Données projet'!$E$10+1,1))</f>
        <v>350.3652766444938</v>
      </c>
      <c r="AO79" s="60">
        <f t="shared" si="90"/>
        <v>197.04549436738586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6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6</v>
      </c>
      <c r="BD79" s="13">
        <f>IF('Données projet'!$A$88&gt;35,BD78+BC79-BL78,IF(A79&lt;'Données projet'!$A$88,$BA$205^A79,IF(A79='Données projet'!$A$88,'Données projet'!$B$88,BD78+BC79-BL78)))</f>
        <v>257.99999999999989</v>
      </c>
      <c r="BE79" s="14">
        <f>BD79*VLOOKUP('Données projet'!$B$11,Paramètres!$A$1:$I$89,3,0)*VLOOKUP('Données projet'!$B$11,Paramètres!$A$1:$I$89,5,0)</f>
        <v>249.53759999999988</v>
      </c>
      <c r="BF79" s="14">
        <f t="shared" si="91"/>
        <v>60.486914185674671</v>
      </c>
      <c r="BG79" s="22">
        <f t="shared" si="61"/>
        <v>539.95936220671649</v>
      </c>
      <c r="BH79" s="60">
        <f t="shared" si="62"/>
        <v>833.29269554004986</v>
      </c>
      <c r="BI79" s="60">
        <f ca="1">AVERAGE(OFFSET($BH$3,0,0,'Données projet'!$E$11+1,1))-AVERAGE(OFFSET($H$3,0,0,'Données projet'!$E$11+1,1))</f>
        <v>330.39429528665841</v>
      </c>
      <c r="BJ79" s="60">
        <f t="shared" si="92"/>
        <v>186.45728006007261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4.2307692307692264</v>
      </c>
      <c r="BY79" s="13">
        <f>IF('Données projet'!$A$114&gt;35,BY78+BX79-CG78,IF(A79&lt;'Données projet'!$A$114,$BV$205^A79,IF(A79='Données projet'!$A$114,'Données projet'!$B$114,BY78+BX79-CG78)))</f>
        <v>265.1282051282052</v>
      </c>
      <c r="BZ79" s="14">
        <f>BY79*VLOOKUP('Données projet'!$B$12,Paramètres!$A$1:$I$89,3,0)*VLOOKUP('Données projet'!$B$12,Paramètres!$A$1:$I$89,5,0)</f>
        <v>177.84800000000004</v>
      </c>
      <c r="CA79" s="14">
        <f t="shared" si="93"/>
        <v>44.84307118144492</v>
      </c>
      <c r="CB79" s="22">
        <f t="shared" si="64"/>
        <v>387.85361564101663</v>
      </c>
      <c r="CC79" s="60">
        <f t="shared" si="65"/>
        <v>681.18694897434989</v>
      </c>
      <c r="CD79" s="60">
        <f ca="1">AVERAGE(OFFSET($CC$3,0,0,'Données projet'!$E$12+1,1))-AVERAGE(OFFSET($H$3,0,0,'Données projet'!$E$12+1,1))</f>
        <v>212.33913923444732</v>
      </c>
      <c r="CE79" s="60">
        <f t="shared" si="94"/>
        <v>183.51194426094372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3</v>
      </c>
      <c r="CT79" s="13">
        <f>IF('Données projet'!$A$140&gt;35,CT78+CS79-DB78,IF(A79&lt;'Données projet'!$A$140,$CQ$205^A79,IF(A79='Données projet'!$A$140,'Données projet'!$B$140,CT78+CS79-DB78)))</f>
        <v>198.99999999999963</v>
      </c>
      <c r="CU79" s="18">
        <f>CT79*VLOOKUP('Données projet'!$B$13,Paramètres!$A$1:$I$89,3,0)*VLOOKUP('Données projet'!$B$13,Paramètres!$A$1:$I$89,5,0)</f>
        <v>173.8463999999997</v>
      </c>
      <c r="CV79" s="14">
        <f t="shared" si="95"/>
        <v>43.950364270382217</v>
      </c>
      <c r="CW79" s="22">
        <f t="shared" si="67"/>
        <v>379.32936443758177</v>
      </c>
      <c r="CX79" s="60">
        <f t="shared" si="68"/>
        <v>672.66269777091509</v>
      </c>
      <c r="CY79" s="60">
        <f ca="1">AVERAGE(OFFSET($CX$3,0,0,'Données projet'!$E$13+1,1))-AVERAGE(OFFSET($H$3,0,0,'Données projet'!$E$13+1,1))</f>
        <v>228.0393346366489</v>
      </c>
      <c r="CZ79" s="60">
        <f t="shared" si="96"/>
        <v>238.591781509447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6</v>
      </c>
      <c r="DO79" s="13">
        <f>IF('Données projet'!$A$166&gt;35,DO78+DN79-DW78,IF(A79&lt;'Données projet'!$A$166,$DL$205^A79,IF(A79='Données projet'!$A$166,'Données projet'!$B$166,DO78+DN79-DW78)))</f>
        <v>257.99999999999989</v>
      </c>
      <c r="DP79" s="18">
        <f>DO79*VLOOKUP('Données projet'!$B$14,Paramètres!$A$1:$I$89,3,0)*VLOOKUP('Données projet'!$B$14,Paramètres!$A$1:$I$89,5,0)</f>
        <v>233.43839999999989</v>
      </c>
      <c r="DQ79" s="14">
        <f t="shared" si="97"/>
        <v>57.025500710931624</v>
      </c>
      <c r="DR79" s="22">
        <f t="shared" si="70"/>
        <v>505.89129373820577</v>
      </c>
      <c r="DS79" s="60">
        <f t="shared" si="71"/>
        <v>799.22462707153909</v>
      </c>
      <c r="DT79" s="60">
        <f ca="1">AVERAGE(OFFSET($DS$3,0,0,'Données projet'!$E$14+1,1))-AVERAGE(OFFSET($H$3,0,0,'Données projet'!$E$14+1,1))</f>
        <v>303.73499739059076</v>
      </c>
      <c r="DU79" s="60">
        <f t="shared" si="98"/>
        <v>172.32171001882188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9.782</v>
      </c>
      <c r="EJ79" s="13">
        <f>IF('Données projet'!$A$192&gt;35,EJ78+EI79-ER78,IF(A79&lt;'Données projet'!$A$192,$EG$205^A79,IF(A79='Données projet'!$A$192,'Données projet'!$B$192,EJ78+EI79-ER78)))</f>
        <v>480.87200000000013</v>
      </c>
      <c r="EK79" s="18">
        <f>EJ79*VLOOKUP('Données projet'!$B$15,Paramètres!$A$1:$I$89,3,0)*VLOOKUP('Données projet'!$B$15,Paramètres!$A$1:$I$89,5,0)</f>
        <v>287.56145600000008</v>
      </c>
      <c r="EL79" s="14">
        <f t="shared" si="99"/>
        <v>68.562475277867293</v>
      </c>
      <c r="EM79" s="22">
        <f t="shared" si="73"/>
        <v>620.2491803089523</v>
      </c>
      <c r="EN79" s="60">
        <f t="shared" si="74"/>
        <v>913.58251364228568</v>
      </c>
      <c r="EO79" s="60">
        <f ca="1">AVERAGE(OFFSET($EN$3,0,0,'Données projet'!$E$15+1,1))-AVERAGE(OFFSET($H$3,0,0,'Données projet'!$E$15+1,1))</f>
        <v>269.94948820700841</v>
      </c>
      <c r="EP79" s="60">
        <f t="shared" si="100"/>
        <v>183.45158355135192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3.8140571351460495</v>
      </c>
      <c r="EX79" s="23">
        <f>EXP(-LN(2)/2)*EX78+(1-EXP(-LN(2)/2))/(LN(2)/2)*ER79*EU79*VLOOKUP('Données projet'!$B$15,Paramètres!$A$1:$I$89,3,0)*0.475*44/12</f>
        <v>6.7210575169093303E-7</v>
      </c>
      <c r="EY79" s="24">
        <f t="shared" si="75"/>
        <v>3.814057807251801</v>
      </c>
      <c r="EZ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6.25</v>
      </c>
      <c r="FE79" s="13">
        <f>IF('Données projet'!$A$218&gt;35,FE78+FD79-FM78,IF(A79&lt;'Données projet'!$A$218,$FB$205^A79,IF(A79='Données projet'!$A$218,'Données projet'!$B$218,FE78+FD79-FM78)))</f>
        <v>199.75000000000003</v>
      </c>
      <c r="FF79" s="18">
        <f>FE79*VLOOKUP('Données projet'!$B$16,Paramètres!$A$1:$I$89,3,0)*VLOOKUP('Données projet'!$B$16,Paramètres!$A$1:$I$89,5,0)</f>
        <v>119.45050000000003</v>
      </c>
      <c r="FG79" s="14">
        <f t="shared" si="101"/>
        <v>31.546803228497456</v>
      </c>
      <c r="FH79" s="22">
        <f t="shared" si="76"/>
        <v>262.98696978963306</v>
      </c>
      <c r="FI79" s="60">
        <f t="shared" si="77"/>
        <v>556.32030312296638</v>
      </c>
      <c r="FJ79" s="60">
        <f ca="1">AVERAGE(OFFSET($FI$3,0,0,'Données projet'!$E$16+1,1))-AVERAGE(OFFSET($H$3,0,0,'Données projet'!$E$16+1,1))</f>
        <v>111.24788725253484</v>
      </c>
      <c r="FK79" s="60">
        <f t="shared" si="102"/>
        <v>82.434879813357327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projet'!$B$16,Paramètres!$A$1:$I$89,3,0)*0.475*44/12</f>
        <v>0</v>
      </c>
      <c r="FR79" s="23">
        <f>EXP(-LN(2)/25)*FR78+(1-EXP(-LN(2)/25))/(LN(2)/25)*Calculateur!FM79*Calculateur!FO79*VLOOKUP('Données projet'!$B$16,Paramètres!$A$1:$I$89,3,0)*0.475*44/12</f>
        <v>0</v>
      </c>
      <c r="FS79" s="23">
        <f>EXP(-LN(2)/2)*FS78+(1-EXP(-LN(2)/2))/(LN(2)/2)*FM79*FP79*VLOOKUP('Données projet'!$B$16,Paramètres!$A$1:$I$89,3,0)*0.475*44/12</f>
        <v>0</v>
      </c>
      <c r="FT79" s="24">
        <f t="shared" si="78"/>
        <v>0</v>
      </c>
      <c r="FU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8.1999999999999993</v>
      </c>
      <c r="FZ79" s="13">
        <f>IF('Données projet'!$A$244&gt;35,FZ78+FY79-GH78,IF(A79&lt;'Données projet'!$A$244,$FW$205^A79,IF(A79='Données projet'!$A$244,'Données projet'!$B$244,FZ78+FY79-GH78)))</f>
        <v>723.60000000000093</v>
      </c>
      <c r="GA79" s="18">
        <f>FZ79*VLOOKUP('Données projet'!$B$17,Paramètres!$A$1:$I$89,3,0)*VLOOKUP('Données projet'!$B$17,Paramètres!$A$1:$I$89,5,0)</f>
        <v>319.83120000000048</v>
      </c>
      <c r="GB79" s="14">
        <f t="shared" si="103"/>
        <v>75.318230461561853</v>
      </c>
      <c r="GC79" s="22">
        <f t="shared" si="79"/>
        <v>688.21859138722095</v>
      </c>
      <c r="GD79" s="60">
        <f t="shared" si="80"/>
        <v>981.55192472055433</v>
      </c>
      <c r="GE79" s="60">
        <f ca="1">AVERAGE(OFFSET($GD$3,0,0,'Données projet'!$E$17+1,1))-AVERAGE(OFFSET($H$3,0,0,'Données projet'!$E$17+1,1))</f>
        <v>323.56667371063662</v>
      </c>
      <c r="GF79" s="60">
        <f t="shared" si="104"/>
        <v>275.70373467723385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>
        <f>EXP(-LN(2)/35)*GL78+(1-EXP(-LN(2)/35))/(LN(2)/35)*GH79*GI79*VLOOKUP('Données projet'!$B$17,Paramètres!$A$1:$I$89,3,0)*0.475*44/12</f>
        <v>0</v>
      </c>
      <c r="GM79" s="23">
        <f>EXP(-LN(2)/25)*GM78+(1-EXP(-LN(2)/25))/(LN(2)/25)*Calculateur!GH79*Calculateur!GJ79*VLOOKUP('Données projet'!$B$17,Paramètres!$A$1:$I$89,3,0)*0.475*44/12</f>
        <v>0</v>
      </c>
      <c r="GN79" s="23">
        <f>EXP(-LN(2)/2)*GN78+(1-EXP(-LN(2)/2))/(LN(2)/2)*GH79*GK79*VLOOKUP('Données projet'!$B$17,Paramètres!$A$1:$I$89,3,0)*0.475*44/12</f>
        <v>0</v>
      </c>
      <c r="GO79" s="23">
        <f t="shared" si="81"/>
        <v>0</v>
      </c>
      <c r="GP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0" t="e">
        <f t="shared" si="83"/>
        <v>#N/A</v>
      </c>
      <c r="GZ79" s="60" t="e">
        <f ca="1">AVERAGE(OFFSET($GY$3,0,0,'Données projet'!$E$18+1,1))-AVERAGE(OFFSET($H$3,0,0,'Données projet'!$E$18+1,1))</f>
        <v>#N/A</v>
      </c>
      <c r="HA79" s="60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4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2">
        <f t="shared" si="86"/>
        <v>12.538300920096166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-1.1368683772161603E-13</v>
      </c>
      <c r="O80" s="14">
        <f>N80*VLOOKUP('Données projet'!$B$9,Paramètres!$A$1:$I$89,3,0)*VLOOKUP('Données projet'!$B$9,Paramètres!$A$1:$I$89,5,0)</f>
        <v>-6.7984728957526396E-14</v>
      </c>
      <c r="P80" s="14" t="e">
        <f t="shared" si="87"/>
        <v>#NUM!</v>
      </c>
      <c r="Q80" s="22" t="e">
        <f t="shared" si="54"/>
        <v>#NUM!</v>
      </c>
      <c r="R80" s="60" t="e">
        <f t="shared" si="55"/>
        <v>#NUM!</v>
      </c>
      <c r="S80" s="60">
        <f ca="1">AVERAGE(OFFSET($R$3,0,0,'Données projet'!$E$9+1,1))-AVERAGE(OFFSET($H$3,0,0,'Données projet'!$E$9+1,1))</f>
        <v>235.63766249714581</v>
      </c>
      <c r="T80" s="60">
        <f t="shared" si="88"/>
        <v>231.3297293785277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4.5233777593124849</v>
      </c>
      <c r="AA80" s="23">
        <f>EXP(-LN(2)/25)*AA79+(1-EXP(-LN(2)/25))/(LN(2)/25)*Calculateur!V80*Calculateur!X80*VLOOKUP('Données projet'!$B$9,Paramètres!$A$1:$I$89,3,0)*0.475*44/12</f>
        <v>4.6971268116946199</v>
      </c>
      <c r="AB80" s="23">
        <f>EXP(-LN(2)/2)*AB79+(1-EXP(-LN(2)/2))/(LN(2)/2)*V80*Y80*VLOOKUP('Données projet'!$B$9,Paramètres!$A$1:$I$89,3,0)*0.475*44/12</f>
        <v>5.9953319845565839E-7</v>
      </c>
      <c r="AC80" s="24">
        <f t="shared" si="57"/>
        <v>9.2205051705403029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6</v>
      </c>
      <c r="AI80" s="14">
        <f>IF('Données projet'!$A$62&gt;35,AI79+AH80-AQ79,IF(A80&lt;'Données projet'!$A$62,$AF$205^A80,IF(A80='Données projet'!$A$62,'Données projet'!$B$62,AI79+AH80-AQ79)))</f>
        <v>263.99999999999989</v>
      </c>
      <c r="AJ80" s="14">
        <f>AI80*VLOOKUP('Données projet'!$B$10,Paramètres!$A$1:$I$89,3,0)*VLOOKUP('Données projet'!$B$10,Paramètres!$A$1:$I$89,5,0)</f>
        <v>267.69599999999991</v>
      </c>
      <c r="AK80" s="14">
        <f t="shared" si="89"/>
        <v>64.360058723585439</v>
      </c>
      <c r="AL80" s="22">
        <f t="shared" si="58"/>
        <v>578.33096894357777</v>
      </c>
      <c r="AM80" s="60">
        <f t="shared" si="59"/>
        <v>871.66430227691103</v>
      </c>
      <c r="AN80" s="60">
        <f ca="1">AVERAGE(OFFSET($AM$3,0,0,'Données projet'!$E$10+1,1))-AVERAGE(OFFSET($H$3,0,0,'Données projet'!$E$10+1,1))</f>
        <v>350.3652766444938</v>
      </c>
      <c r="AO80" s="60">
        <f t="shared" si="90"/>
        <v>197.04549436738586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6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6</v>
      </c>
      <c r="BD80" s="13">
        <f>IF('Données projet'!$A$88&gt;35,BD79+BC80-BL79,IF(A80&lt;'Données projet'!$A$88,$BA$205^A80,IF(A80='Données projet'!$A$88,'Données projet'!$B$88,BD79+BC80-BL79)))</f>
        <v>263.99999999999989</v>
      </c>
      <c r="BE80" s="14">
        <f>BD80*VLOOKUP('Données projet'!$B$11,Paramètres!$A$1:$I$89,3,0)*VLOOKUP('Données projet'!$B$11,Paramètres!$A$1:$I$89,5,0)</f>
        <v>255.34079999999989</v>
      </c>
      <c r="BF80" s="14">
        <f t="shared" si="91"/>
        <v>61.728182021951895</v>
      </c>
      <c r="BG80" s="22">
        <f t="shared" si="61"/>
        <v>552.22847702156594</v>
      </c>
      <c r="BH80" s="60">
        <f t="shared" si="62"/>
        <v>845.56181035489931</v>
      </c>
      <c r="BI80" s="60">
        <f ca="1">AVERAGE(OFFSET($BH$3,0,0,'Données projet'!$E$11+1,1))-AVERAGE(OFFSET($H$3,0,0,'Données projet'!$E$11+1,1))</f>
        <v>330.39429528665841</v>
      </c>
      <c r="BJ80" s="60">
        <f t="shared" si="92"/>
        <v>186.45728006007261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4.2307692307692264</v>
      </c>
      <c r="BY80" s="13">
        <f>IF('Données projet'!$A$114&gt;35,BY79+BX80-CG79,IF(A80&lt;'Données projet'!$A$114,$BV$205^A80,IF(A80='Données projet'!$A$114,'Données projet'!$B$114,BY79+BX80-CG79)))</f>
        <v>269.35897435897442</v>
      </c>
      <c r="BZ80" s="14">
        <f>BY80*VLOOKUP('Données projet'!$B$12,Paramètres!$A$1:$I$89,3,0)*VLOOKUP('Données projet'!$B$12,Paramètres!$A$1:$I$89,5,0)</f>
        <v>180.68600000000004</v>
      </c>
      <c r="CA80" s="14">
        <f t="shared" si="93"/>
        <v>45.474774723021419</v>
      </c>
      <c r="CB80" s="22">
        <f t="shared" si="64"/>
        <v>393.89668264259575</v>
      </c>
      <c r="CC80" s="60">
        <f t="shared" si="65"/>
        <v>687.23001597592906</v>
      </c>
      <c r="CD80" s="60">
        <f ca="1">AVERAGE(OFFSET($CC$3,0,0,'Données projet'!$E$12+1,1))-AVERAGE(OFFSET($H$3,0,0,'Données projet'!$E$12+1,1))</f>
        <v>212.33913923444732</v>
      </c>
      <c r="CE80" s="60">
        <f t="shared" si="94"/>
        <v>183.51194426094372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3</v>
      </c>
      <c r="CT80" s="13">
        <f>IF('Données projet'!$A$140&gt;35,CT79+CS80-DB79,IF(A80&lt;'Données projet'!$A$140,$CQ$205^A80,IF(A80='Données projet'!$A$140,'Données projet'!$B$140,CT79+CS80-DB79)))</f>
        <v>201.99999999999963</v>
      </c>
      <c r="CU80" s="18">
        <f>CT80*VLOOKUP('Données projet'!$B$13,Paramètres!$A$1:$I$89,3,0)*VLOOKUP('Données projet'!$B$13,Paramètres!$A$1:$I$89,5,0)</f>
        <v>176.46719999999971</v>
      </c>
      <c r="CV80" s="14">
        <f t="shared" si="95"/>
        <v>44.53529882198935</v>
      </c>
      <c r="CW80" s="22">
        <f t="shared" si="67"/>
        <v>384.91268544829762</v>
      </c>
      <c r="CX80" s="60">
        <f t="shared" si="68"/>
        <v>678.24601878163094</v>
      </c>
      <c r="CY80" s="60">
        <f ca="1">AVERAGE(OFFSET($CX$3,0,0,'Données projet'!$E$13+1,1))-AVERAGE(OFFSET($H$3,0,0,'Données projet'!$E$13+1,1))</f>
        <v>228.0393346366489</v>
      </c>
      <c r="CZ80" s="60">
        <f t="shared" si="96"/>
        <v>238.591781509447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6</v>
      </c>
      <c r="DO80" s="13">
        <f>IF('Données projet'!$A$166&gt;35,DO79+DN80-DW79,IF(A80&lt;'Données projet'!$A$166,$DL$205^A80,IF(A80='Données projet'!$A$166,'Données projet'!$B$166,DO79+DN80-DW79)))</f>
        <v>263.99999999999989</v>
      </c>
      <c r="DP80" s="18">
        <f>DO80*VLOOKUP('Données projet'!$B$14,Paramètres!$A$1:$I$89,3,0)*VLOOKUP('Données projet'!$B$14,Paramètres!$A$1:$I$89,5,0)</f>
        <v>238.86719999999988</v>
      </c>
      <c r="DQ80" s="14">
        <f t="shared" si="97"/>
        <v>58.195735973104156</v>
      </c>
      <c r="DR80" s="22">
        <f t="shared" si="70"/>
        <v>517.38461348648957</v>
      </c>
      <c r="DS80" s="60">
        <f t="shared" si="71"/>
        <v>810.71794681982283</v>
      </c>
      <c r="DT80" s="60">
        <f ca="1">AVERAGE(OFFSET($DS$3,0,0,'Données projet'!$E$14+1,1))-AVERAGE(OFFSET($H$3,0,0,'Données projet'!$E$14+1,1))</f>
        <v>303.73499739059076</v>
      </c>
      <c r="DU80" s="60">
        <f t="shared" si="98"/>
        <v>172.32171001882188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9.782</v>
      </c>
      <c r="EJ80" s="13">
        <f>IF('Données projet'!$A$192&gt;35,EJ79+EI80-ER79,IF(A80&lt;'Données projet'!$A$192,$EG$205^A80,IF(A80='Données projet'!$A$192,'Données projet'!$B$192,EJ79+EI80-ER79)))</f>
        <v>490.65400000000011</v>
      </c>
      <c r="EK80" s="18">
        <f>EJ80*VLOOKUP('Données projet'!$B$15,Paramètres!$A$1:$I$89,3,0)*VLOOKUP('Données projet'!$B$15,Paramètres!$A$1:$I$89,5,0)</f>
        <v>293.41109200000011</v>
      </c>
      <c r="EL80" s="14">
        <f t="shared" si="99"/>
        <v>69.793395046231581</v>
      </c>
      <c r="EM80" s="22">
        <f t="shared" si="73"/>
        <v>632.58114827218685</v>
      </c>
      <c r="EN80" s="60">
        <f t="shared" si="74"/>
        <v>925.91448160552022</v>
      </c>
      <c r="EO80" s="60">
        <f ca="1">AVERAGE(OFFSET($EN$3,0,0,'Données projet'!$E$15+1,1))-AVERAGE(OFFSET($H$3,0,0,'Données projet'!$E$15+1,1))</f>
        <v>269.94948820700841</v>
      </c>
      <c r="EP80" s="60">
        <f t="shared" si="100"/>
        <v>183.45158355135192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3.7097615422129331</v>
      </c>
      <c r="EX80" s="23">
        <f>EXP(-LN(2)/2)*EX79+(1-EXP(-LN(2)/2))/(LN(2)/2)*ER80*EU80*VLOOKUP('Données projet'!$B$15,Paramètres!$A$1:$I$89,3,0)*0.475*44/12</f>
        <v>4.7525053469514067E-7</v>
      </c>
      <c r="EY80" s="24">
        <f t="shared" si="75"/>
        <v>3.7097620174634676</v>
      </c>
      <c r="EZ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6.25</v>
      </c>
      <c r="FE80" s="13">
        <f>IF('Données projet'!$A$218&gt;35,FE79+FD80-FM79,IF(A80&lt;'Données projet'!$A$218,$FB$205^A80,IF(A80='Données projet'!$A$218,'Données projet'!$B$218,FE79+FD80-FM79)))</f>
        <v>206.00000000000003</v>
      </c>
      <c r="FF80" s="18">
        <f>FE80*VLOOKUP('Données projet'!$B$16,Paramètres!$A$1:$I$89,3,0)*VLOOKUP('Données projet'!$B$16,Paramètres!$A$1:$I$89,5,0)</f>
        <v>123.18800000000003</v>
      </c>
      <c r="FG80" s="14">
        <f t="shared" si="101"/>
        <v>32.417409489939047</v>
      </c>
      <c r="FH80" s="22">
        <f t="shared" si="76"/>
        <v>271.01275486164383</v>
      </c>
      <c r="FI80" s="60">
        <f t="shared" si="77"/>
        <v>564.34608819497714</v>
      </c>
      <c r="FJ80" s="60">
        <f ca="1">AVERAGE(OFFSET($FI$3,0,0,'Données projet'!$E$16+1,1))-AVERAGE(OFFSET($H$3,0,0,'Données projet'!$E$16+1,1))</f>
        <v>111.24788725253484</v>
      </c>
      <c r="FK80" s="60">
        <f t="shared" si="102"/>
        <v>82.434879813357327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projet'!$B$16,Paramètres!$A$1:$I$89,3,0)*0.475*44/12</f>
        <v>0</v>
      </c>
      <c r="FR80" s="23">
        <f>EXP(-LN(2)/25)*FR79+(1-EXP(-LN(2)/25))/(LN(2)/25)*Calculateur!FM80*Calculateur!FO80*VLOOKUP('Données projet'!$B$16,Paramètres!$A$1:$I$89,3,0)*0.475*44/12</f>
        <v>0</v>
      </c>
      <c r="FS80" s="23">
        <f>EXP(-LN(2)/2)*FS79+(1-EXP(-LN(2)/2))/(LN(2)/2)*FM80*FP80*VLOOKUP('Données projet'!$B$16,Paramètres!$A$1:$I$89,3,0)*0.475*44/12</f>
        <v>0</v>
      </c>
      <c r="FT80" s="24">
        <f t="shared" si="78"/>
        <v>0</v>
      </c>
      <c r="FU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8.1999999999999993</v>
      </c>
      <c r="FZ80" s="13">
        <f>IF('Données projet'!$A$244&gt;35,FZ79+FY80-GH79,IF(A80&lt;'Données projet'!$A$244,$FW$205^A80,IF(A80='Données projet'!$A$244,'Données projet'!$B$244,FZ79+FY80-GH79)))</f>
        <v>731.80000000000098</v>
      </c>
      <c r="GA80" s="18">
        <f>FZ80*VLOOKUP('Données projet'!$B$17,Paramètres!$A$1:$I$89,3,0)*VLOOKUP('Données projet'!$B$17,Paramètres!$A$1:$I$89,5,0)</f>
        <v>323.45560000000046</v>
      </c>
      <c r="GB80" s="14">
        <f t="shared" si="103"/>
        <v>76.071908366941528</v>
      </c>
      <c r="GC80" s="22">
        <f t="shared" si="79"/>
        <v>695.84374373909066</v>
      </c>
      <c r="GD80" s="60">
        <f t="shared" si="80"/>
        <v>989.17707707242403</v>
      </c>
      <c r="GE80" s="60">
        <f ca="1">AVERAGE(OFFSET($GD$3,0,0,'Données projet'!$E$17+1,1))-AVERAGE(OFFSET($H$3,0,0,'Données projet'!$E$17+1,1))</f>
        <v>323.56667371063662</v>
      </c>
      <c r="GF80" s="60">
        <f t="shared" si="104"/>
        <v>275.70373467723385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>
        <f>EXP(-LN(2)/35)*GL79+(1-EXP(-LN(2)/35))/(LN(2)/35)*GH80*GI80*VLOOKUP('Données projet'!$B$17,Paramètres!$A$1:$I$89,3,0)*0.475*44/12</f>
        <v>0</v>
      </c>
      <c r="GM80" s="23">
        <f>EXP(-LN(2)/25)*GM79+(1-EXP(-LN(2)/25))/(LN(2)/25)*Calculateur!GH80*Calculateur!GJ80*VLOOKUP('Données projet'!$B$17,Paramètres!$A$1:$I$89,3,0)*0.475*44/12</f>
        <v>0</v>
      </c>
      <c r="GN80" s="23">
        <f>EXP(-LN(2)/2)*GN79+(1-EXP(-LN(2)/2))/(LN(2)/2)*GH80*GK80*VLOOKUP('Données projet'!$B$17,Paramètres!$A$1:$I$89,3,0)*0.475*44/12</f>
        <v>0</v>
      </c>
      <c r="GO80" s="23">
        <f t="shared" si="81"/>
        <v>0</v>
      </c>
      <c r="GP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0" t="e">
        <f t="shared" si="83"/>
        <v>#N/A</v>
      </c>
      <c r="GZ80" s="60" t="e">
        <f ca="1">AVERAGE(OFFSET($GY$3,0,0,'Données projet'!$E$18+1,1))-AVERAGE(OFFSET($H$3,0,0,'Données projet'!$E$18+1,1))</f>
        <v>#N/A</v>
      </c>
      <c r="HA80" s="60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4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2">
        <f t="shared" si="86"/>
        <v>12.682073764365757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-1.1368683772161603E-13</v>
      </c>
      <c r="O81" s="14">
        <f>N81*VLOOKUP('Données projet'!$B$9,Paramètres!$A$1:$I$89,3,0)*VLOOKUP('Données projet'!$B$9,Paramètres!$A$1:$I$89,5,0)</f>
        <v>-6.7984728957526396E-14</v>
      </c>
      <c r="P81" s="14" t="e">
        <f t="shared" si="87"/>
        <v>#NUM!</v>
      </c>
      <c r="Q81" s="22" t="e">
        <f t="shared" si="54"/>
        <v>#NUM!</v>
      </c>
      <c r="R81" s="60" t="e">
        <f t="shared" si="55"/>
        <v>#NUM!</v>
      </c>
      <c r="S81" s="60">
        <f ca="1">AVERAGE(OFFSET($R$3,0,0,'Données projet'!$E$9+1,1))-AVERAGE(OFFSET($H$3,0,0,'Données projet'!$E$9+1,1))</f>
        <v>235.63766249714581</v>
      </c>
      <c r="T81" s="60">
        <f t="shared" si="88"/>
        <v>231.3297293785277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4.4346770804403723</v>
      </c>
      <c r="AA81" s="23">
        <f>EXP(-LN(2)/25)*AA80+(1-EXP(-LN(2)/25))/(LN(2)/25)*Calculateur!V81*Calculateur!X81*VLOOKUP('Données projet'!$B$9,Paramètres!$A$1:$I$89,3,0)*0.475*44/12</f>
        <v>4.5686836320176667</v>
      </c>
      <c r="AB81" s="23">
        <f>EXP(-LN(2)/2)*AB80+(1-EXP(-LN(2)/2))/(LN(2)/2)*V81*Y81*VLOOKUP('Données projet'!$B$9,Paramètres!$A$1:$I$89,3,0)*0.475*44/12</f>
        <v>4.2393399017445621E-7</v>
      </c>
      <c r="AC81" s="24">
        <f t="shared" si="57"/>
        <v>9.0033611363920301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6</v>
      </c>
      <c r="AI81" s="14">
        <f>IF('Données projet'!$A$62&gt;35,AI80+AH81-AQ80,IF(A81&lt;'Données projet'!$A$62,$AF$205^A81,IF(A81='Données projet'!$A$62,'Données projet'!$B$62,AI80+AH81-AQ80)))</f>
        <v>269.99999999999989</v>
      </c>
      <c r="AJ81" s="14">
        <f>AI81*VLOOKUP('Données projet'!$B$10,Paramètres!$A$1:$I$89,3,0)*VLOOKUP('Données projet'!$B$10,Paramètres!$A$1:$I$89,5,0)</f>
        <v>273.77999999999992</v>
      </c>
      <c r="AK81" s="14">
        <f t="shared" si="89"/>
        <v>65.650830427167435</v>
      </c>
      <c r="AL81" s="22">
        <f t="shared" si="58"/>
        <v>591.17536299398307</v>
      </c>
      <c r="AM81" s="60">
        <f t="shared" si="59"/>
        <v>884.50869632731633</v>
      </c>
      <c r="AN81" s="60">
        <f ca="1">AVERAGE(OFFSET($AM$3,0,0,'Données projet'!$E$10+1,1))-AVERAGE(OFFSET($H$3,0,0,'Données projet'!$E$10+1,1))</f>
        <v>350.3652766444938</v>
      </c>
      <c r="AO81" s="60">
        <f t="shared" si="90"/>
        <v>197.04549436738586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6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6</v>
      </c>
      <c r="BD81" s="13">
        <f>IF('Données projet'!$A$88&gt;35,BD80+BC81-BL80,IF(A81&lt;'Données projet'!$A$88,$BA$205^A81,IF(A81='Données projet'!$A$88,'Données projet'!$B$88,BD80+BC81-BL80)))</f>
        <v>269.99999999999989</v>
      </c>
      <c r="BE81" s="14">
        <f>BD81*VLOOKUP('Données projet'!$B$11,Paramètres!$A$1:$I$89,3,0)*VLOOKUP('Données projet'!$B$11,Paramètres!$A$1:$I$89,5,0)</f>
        <v>261.14399999999989</v>
      </c>
      <c r="BF81" s="14">
        <f t="shared" si="91"/>
        <v>62.966170181808813</v>
      </c>
      <c r="BG81" s="22">
        <f t="shared" si="61"/>
        <v>564.49187973331675</v>
      </c>
      <c r="BH81" s="60">
        <f t="shared" si="62"/>
        <v>857.82521306665012</v>
      </c>
      <c r="BI81" s="60">
        <f ca="1">AVERAGE(OFFSET($BH$3,0,0,'Données projet'!$E$11+1,1))-AVERAGE(OFFSET($H$3,0,0,'Données projet'!$E$11+1,1))</f>
        <v>330.39429528665841</v>
      </c>
      <c r="BJ81" s="60">
        <f t="shared" si="92"/>
        <v>186.45728006007261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4.2307692307692264</v>
      </c>
      <c r="BY81" s="13">
        <f>IF('Données projet'!$A$114&gt;35,BY80+BX81-CG80,IF(A81&lt;'Données projet'!$A$114,$BV$205^A81,IF(A81='Données projet'!$A$114,'Données projet'!$B$114,BY80+BX81-CG80)))</f>
        <v>273.58974358974365</v>
      </c>
      <c r="BZ81" s="14">
        <f>BY81*VLOOKUP('Données projet'!$B$12,Paramètres!$A$1:$I$89,3,0)*VLOOKUP('Données projet'!$B$12,Paramètres!$A$1:$I$89,5,0)</f>
        <v>183.52400000000006</v>
      </c>
      <c r="CA81" s="14">
        <f t="shared" si="93"/>
        <v>46.10532434349372</v>
      </c>
      <c r="CB81" s="22">
        <f t="shared" si="64"/>
        <v>399.93773989825166</v>
      </c>
      <c r="CC81" s="60">
        <f t="shared" si="65"/>
        <v>693.27107323158498</v>
      </c>
      <c r="CD81" s="60">
        <f ca="1">AVERAGE(OFFSET($CC$3,0,0,'Données projet'!$E$12+1,1))-AVERAGE(OFFSET($H$3,0,0,'Données projet'!$E$12+1,1))</f>
        <v>212.33913923444732</v>
      </c>
      <c r="CE81" s="60">
        <f t="shared" si="94"/>
        <v>183.51194426094372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3</v>
      </c>
      <c r="CT81" s="13">
        <f>IF('Données projet'!$A$140&gt;35,CT80+CS81-DB80,IF(A81&lt;'Données projet'!$A$140,$CQ$205^A81,IF(A81='Données projet'!$A$140,'Données projet'!$B$140,CT80+CS81-DB80)))</f>
        <v>204.99999999999963</v>
      </c>
      <c r="CU81" s="18">
        <f>CT81*VLOOKUP('Données projet'!$B$13,Paramètres!$A$1:$I$89,3,0)*VLOOKUP('Données projet'!$B$13,Paramètres!$A$1:$I$89,5,0)</f>
        <v>179.08799999999968</v>
      </c>
      <c r="CV81" s="14">
        <f t="shared" si="95"/>
        <v>45.119223023956756</v>
      </c>
      <c r="CW81" s="22">
        <f t="shared" si="67"/>
        <v>390.49424676672407</v>
      </c>
      <c r="CX81" s="60">
        <f t="shared" si="68"/>
        <v>683.82758010005739</v>
      </c>
      <c r="CY81" s="60">
        <f ca="1">AVERAGE(OFFSET($CX$3,0,0,'Données projet'!$E$13+1,1))-AVERAGE(OFFSET($H$3,0,0,'Données projet'!$E$13+1,1))</f>
        <v>228.0393346366489</v>
      </c>
      <c r="CZ81" s="60">
        <f t="shared" si="96"/>
        <v>238.591781509447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6</v>
      </c>
      <c r="DO81" s="13">
        <f>IF('Données projet'!$A$166&gt;35,DO80+DN81-DW80,IF(A81&lt;'Données projet'!$A$166,$DL$205^A81,IF(A81='Données projet'!$A$166,'Données projet'!$B$166,DO80+DN81-DW80)))</f>
        <v>269.99999999999989</v>
      </c>
      <c r="DP81" s="18">
        <f>DO81*VLOOKUP('Données projet'!$B$14,Paramètres!$A$1:$I$89,3,0)*VLOOKUP('Données projet'!$B$14,Paramètres!$A$1:$I$89,5,0)</f>
        <v>244.29599999999991</v>
      </c>
      <c r="DQ81" s="14">
        <f t="shared" si="97"/>
        <v>59.362879241040318</v>
      </c>
      <c r="DR81" s="22">
        <f t="shared" si="70"/>
        <v>528.87254801147833</v>
      </c>
      <c r="DS81" s="60">
        <f t="shared" si="71"/>
        <v>822.20588134481159</v>
      </c>
      <c r="DT81" s="60">
        <f ca="1">AVERAGE(OFFSET($DS$3,0,0,'Données projet'!$E$14+1,1))-AVERAGE(OFFSET($H$3,0,0,'Données projet'!$E$14+1,1))</f>
        <v>303.73499739059076</v>
      </c>
      <c r="DU81" s="60">
        <f t="shared" si="98"/>
        <v>172.32171001882188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9.782</v>
      </c>
      <c r="EJ81" s="13">
        <f>IF('Données projet'!$A$192&gt;35,EJ80+EI81-ER80,IF(A81&lt;'Données projet'!$A$192,$EG$205^A81,IF(A81='Données projet'!$A$192,'Données projet'!$B$192,EJ80+EI81-ER80)))</f>
        <v>500.43600000000009</v>
      </c>
      <c r="EK81" s="18">
        <f>EJ81*VLOOKUP('Données projet'!$B$15,Paramètres!$A$1:$I$89,3,0)*VLOOKUP('Données projet'!$B$15,Paramètres!$A$1:$I$89,5,0)</f>
        <v>299.26072800000009</v>
      </c>
      <c r="EL81" s="14">
        <f t="shared" si="99"/>
        <v>71.021461421315166</v>
      </c>
      <c r="EM81" s="22">
        <f t="shared" si="73"/>
        <v>644.90814657545741</v>
      </c>
      <c r="EN81" s="60">
        <f t="shared" si="74"/>
        <v>938.24147990879078</v>
      </c>
      <c r="EO81" s="60">
        <f ca="1">AVERAGE(OFFSET($EN$3,0,0,'Données projet'!$E$15+1,1))-AVERAGE(OFFSET($H$3,0,0,'Données projet'!$E$15+1,1))</f>
        <v>269.94948820700841</v>
      </c>
      <c r="EP81" s="60">
        <f t="shared" si="100"/>
        <v>183.45158355135192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3.6083179177532396</v>
      </c>
      <c r="EX81" s="23">
        <f>EXP(-LN(2)/2)*EX80+(1-EXP(-LN(2)/2))/(LN(2)/2)*ER81*EU81*VLOOKUP('Données projet'!$B$15,Paramètres!$A$1:$I$89,3,0)*0.475*44/12</f>
        <v>3.3605287584546657E-7</v>
      </c>
      <c r="EY81" s="24">
        <f t="shared" si="75"/>
        <v>3.6083182538061154</v>
      </c>
      <c r="EZ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6.25</v>
      </c>
      <c r="FE81" s="13">
        <f>IF('Données projet'!$A$218&gt;35,FE80+FD81-FM80,IF(A81&lt;'Données projet'!$A$218,$FB$205^A81,IF(A81='Données projet'!$A$218,'Données projet'!$B$218,FE80+FD81-FM80)))</f>
        <v>212.25000000000003</v>
      </c>
      <c r="FF81" s="18">
        <f>FE81*VLOOKUP('Données projet'!$B$16,Paramètres!$A$1:$I$89,3,0)*VLOOKUP('Données projet'!$B$16,Paramètres!$A$1:$I$89,5,0)</f>
        <v>126.92550000000003</v>
      </c>
      <c r="FG81" s="14">
        <f t="shared" si="101"/>
        <v>33.284946083957735</v>
      </c>
      <c r="FH81" s="22">
        <f t="shared" si="76"/>
        <v>279.03319359622645</v>
      </c>
      <c r="FI81" s="60">
        <f t="shared" si="77"/>
        <v>572.36652692955977</v>
      </c>
      <c r="FJ81" s="60">
        <f ca="1">AVERAGE(OFFSET($FI$3,0,0,'Données projet'!$E$16+1,1))-AVERAGE(OFFSET($H$3,0,0,'Données projet'!$E$16+1,1))</f>
        <v>111.24788725253484</v>
      </c>
      <c r="FK81" s="60">
        <f t="shared" si="102"/>
        <v>82.434879813357327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projet'!$B$16,Paramètres!$A$1:$I$89,3,0)*0.475*44/12</f>
        <v>0</v>
      </c>
      <c r="FR81" s="23">
        <f>EXP(-LN(2)/25)*FR80+(1-EXP(-LN(2)/25))/(LN(2)/25)*Calculateur!FM81*Calculateur!FO81*VLOOKUP('Données projet'!$B$16,Paramètres!$A$1:$I$89,3,0)*0.475*44/12</f>
        <v>0</v>
      </c>
      <c r="FS81" s="23">
        <f>EXP(-LN(2)/2)*FS80+(1-EXP(-LN(2)/2))/(LN(2)/2)*FM81*FP81*VLOOKUP('Données projet'!$B$16,Paramètres!$A$1:$I$89,3,0)*0.475*44/12</f>
        <v>0</v>
      </c>
      <c r="FT81" s="24">
        <f t="shared" si="78"/>
        <v>0</v>
      </c>
      <c r="FU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>
        <f>VLOOKUP(A81,'Données projet'!$A$243:$I$263,2,0)</f>
        <v>740</v>
      </c>
      <c r="FX81" s="13">
        <f>VLOOKUP(A81,'Données projet'!$A$243:$I$263,9,0)</f>
        <v>8.1999999999999993</v>
      </c>
      <c r="FY81" s="13">
        <f t="array" ref="FY81">INDEX(FX:FX,MIN(IF(ISNUMBER(FX81:FX277),ROW(FX81:FX277),"")))</f>
        <v>8.1999999999999993</v>
      </c>
      <c r="FZ81" s="13">
        <f>IF('Données projet'!$A$244&gt;35,FZ80+FY81-GH80,IF(A81&lt;'Données projet'!$A$244,$FW$205^A81,IF(A81='Données projet'!$A$244,'Données projet'!$B$244,FZ80+FY81-GH80)))</f>
        <v>740.00000000000102</v>
      </c>
      <c r="GA81" s="18">
        <f>FZ81*VLOOKUP('Données projet'!$B$17,Paramètres!$A$1:$I$89,3,0)*VLOOKUP('Données projet'!$B$17,Paramètres!$A$1:$I$89,5,0)</f>
        <v>327.0800000000005</v>
      </c>
      <c r="GB81" s="14">
        <f t="shared" si="103"/>
        <v>76.824603876220081</v>
      </c>
      <c r="GC81" s="22">
        <f t="shared" si="79"/>
        <v>703.46718508441745</v>
      </c>
      <c r="GD81" s="60">
        <f t="shared" si="80"/>
        <v>996.80051841775071</v>
      </c>
      <c r="GE81" s="60">
        <f ca="1">AVERAGE(OFFSET($GD$3,0,0,'Données projet'!$E$17+1,1))-AVERAGE(OFFSET($H$3,0,0,'Données projet'!$E$17+1,1))</f>
        <v>323.56667371063662</v>
      </c>
      <c r="GF81" s="60">
        <f t="shared" si="104"/>
        <v>275.70373467723385</v>
      </c>
      <c r="GG81" s="16">
        <f>IF(ISNA(VLOOKUP(A81,'Données projet'!$A$243:$I$263,3,0)),0,VLOOKUP(A81,'Données projet'!$A$243:$I$263,3,0))</f>
        <v>7</v>
      </c>
      <c r="GH81" s="16">
        <f>IF(ISNA(VLOOKUP(A81,'Données projet'!$A$243:$I$263,4,0)),0,VLOOKUP(A81,'Données projet'!$A$243:$I$263,4,0))</f>
        <v>740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>
        <f>EXP(-LN(2)/35)*GL80+(1-EXP(-LN(2)/35))/(LN(2)/35)*GH81*GI81*VLOOKUP('Données projet'!$B$17,Paramètres!$A$1:$I$89,3,0)*0.475*44/12</f>
        <v>0</v>
      </c>
      <c r="GM81" s="23">
        <f>EXP(-LN(2)/25)*GM80+(1-EXP(-LN(2)/25))/(LN(2)/25)*Calculateur!GH81*Calculateur!GJ81*VLOOKUP('Données projet'!$B$17,Paramètres!$A$1:$I$89,3,0)*0.475*44/12</f>
        <v>0</v>
      </c>
      <c r="GN81" s="23">
        <f>EXP(-LN(2)/2)*GN80+(1-EXP(-LN(2)/2))/(LN(2)/2)*GH81*GK81*VLOOKUP('Données projet'!$B$17,Paramètres!$A$1:$I$89,3,0)*0.475*44/12</f>
        <v>0</v>
      </c>
      <c r="GO81" s="23">
        <f t="shared" si="81"/>
        <v>0</v>
      </c>
      <c r="GP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0" t="e">
        <f t="shared" si="83"/>
        <v>#N/A</v>
      </c>
      <c r="GZ81" s="60" t="e">
        <f ca="1">AVERAGE(OFFSET($GY$3,0,0,'Données projet'!$E$18+1,1))-AVERAGE(OFFSET($H$3,0,0,'Données projet'!$E$18+1,1))</f>
        <v>#N/A</v>
      </c>
      <c r="HA81" s="60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4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2">
        <f t="shared" si="86"/>
        <v>12.82563220911333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-1.1368683772161603E-13</v>
      </c>
      <c r="O82" s="14">
        <f>N82*VLOOKUP('Données projet'!$B$9,Paramètres!$A$1:$I$89,3,0)*VLOOKUP('Données projet'!$B$9,Paramètres!$A$1:$I$89,5,0)</f>
        <v>-6.7984728957526396E-14</v>
      </c>
      <c r="P82" s="14" t="e">
        <f t="shared" si="87"/>
        <v>#NUM!</v>
      </c>
      <c r="Q82" s="22" t="e">
        <f t="shared" si="54"/>
        <v>#NUM!</v>
      </c>
      <c r="R82" s="60" t="e">
        <f t="shared" si="55"/>
        <v>#NUM!</v>
      </c>
      <c r="S82" s="60">
        <f ca="1">AVERAGE(OFFSET($R$3,0,0,'Données projet'!$E$9+1,1))-AVERAGE(OFFSET($H$3,0,0,'Données projet'!$E$9+1,1))</f>
        <v>235.63766249714581</v>
      </c>
      <c r="T82" s="60">
        <f t="shared" si="88"/>
        <v>231.3297293785277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4.3477157677788707</v>
      </c>
      <c r="AA82" s="23">
        <f>EXP(-LN(2)/25)*AA81+(1-EXP(-LN(2)/25))/(LN(2)/25)*Calculateur!V82*Calculateur!X82*VLOOKUP('Données projet'!$B$9,Paramètres!$A$1:$I$89,3,0)*0.475*44/12</f>
        <v>4.4437527378435133</v>
      </c>
      <c r="AB82" s="23">
        <f>EXP(-LN(2)/2)*AB81+(1-EXP(-LN(2)/2))/(LN(2)/2)*V82*Y82*VLOOKUP('Données projet'!$B$9,Paramètres!$A$1:$I$89,3,0)*0.475*44/12</f>
        <v>2.9976659922782919E-7</v>
      </c>
      <c r="AC82" s="24">
        <f t="shared" si="57"/>
        <v>8.7914688053889822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6</v>
      </c>
      <c r="AI82" s="14">
        <f>IF('Données projet'!$A$62&gt;35,AI81+AH82-AQ81,IF(A82&lt;'Données projet'!$A$62,$AF$205^A82,IF(A82='Données projet'!$A$62,'Données projet'!$B$62,AI81+AH82-AQ81)))</f>
        <v>275.99999999999989</v>
      </c>
      <c r="AJ82" s="14">
        <f>AI82*VLOOKUP('Données projet'!$B$10,Paramètres!$A$1:$I$89,3,0)*VLOOKUP('Données projet'!$B$10,Paramètres!$A$1:$I$89,5,0)</f>
        <v>279.86399999999986</v>
      </c>
      <c r="AK82" s="14">
        <f t="shared" si="89"/>
        <v>66.938267358965007</v>
      </c>
      <c r="AL82" s="22">
        <f t="shared" si="58"/>
        <v>604.01394898353044</v>
      </c>
      <c r="AM82" s="60">
        <f t="shared" si="59"/>
        <v>897.34728231686381</v>
      </c>
      <c r="AN82" s="60">
        <f ca="1">AVERAGE(OFFSET($AM$3,0,0,'Données projet'!$E$10+1,1))-AVERAGE(OFFSET($H$3,0,0,'Données projet'!$E$10+1,1))</f>
        <v>350.3652766444938</v>
      </c>
      <c r="AO82" s="60">
        <f t="shared" si="90"/>
        <v>197.04549436738586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6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6</v>
      </c>
      <c r="BD82" s="13">
        <f>IF('Données projet'!$A$88&gt;35,BD81+BC82-BL81,IF(A82&lt;'Données projet'!$A$88,$BA$205^A82,IF(A82='Données projet'!$A$88,'Données projet'!$B$88,BD81+BC82-BL81)))</f>
        <v>275.99999999999989</v>
      </c>
      <c r="BE82" s="14">
        <f>BD82*VLOOKUP('Données projet'!$B$11,Paramètres!$A$1:$I$89,3,0)*VLOOKUP('Données projet'!$B$11,Paramètres!$A$1:$I$89,5,0)</f>
        <v>266.9471999999999</v>
      </c>
      <c r="BF82" s="14">
        <f t="shared" si="91"/>
        <v>64.200959938746379</v>
      </c>
      <c r="BG82" s="22">
        <f t="shared" si="61"/>
        <v>576.74971189331643</v>
      </c>
      <c r="BH82" s="60">
        <f t="shared" si="62"/>
        <v>870.0830452266498</v>
      </c>
      <c r="BI82" s="60">
        <f ca="1">AVERAGE(OFFSET($BH$3,0,0,'Données projet'!$E$11+1,1))-AVERAGE(OFFSET($H$3,0,0,'Données projet'!$E$11+1,1))</f>
        <v>330.39429528665841</v>
      </c>
      <c r="BJ82" s="60">
        <f t="shared" si="92"/>
        <v>186.45728006007261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4.2307692307692264</v>
      </c>
      <c r="BY82" s="13">
        <f>IF('Données projet'!$A$114&gt;35,BY81+BX82-CG81,IF(A82&lt;'Données projet'!$A$114,$BV$205^A82,IF(A82='Données projet'!$A$114,'Données projet'!$B$114,BY81+BX82-CG81)))</f>
        <v>277.82051282051287</v>
      </c>
      <c r="BZ82" s="14">
        <f>BY82*VLOOKUP('Données projet'!$B$12,Paramètres!$A$1:$I$89,3,0)*VLOOKUP('Données projet'!$B$12,Paramètres!$A$1:$I$89,5,0)</f>
        <v>186.36200000000002</v>
      </c>
      <c r="CA82" s="14">
        <f t="shared" si="93"/>
        <v>46.734739947740024</v>
      </c>
      <c r="CB82" s="22">
        <f t="shared" si="64"/>
        <v>405.97682207564725</v>
      </c>
      <c r="CC82" s="60">
        <f t="shared" si="65"/>
        <v>699.31015540898056</v>
      </c>
      <c r="CD82" s="60">
        <f ca="1">AVERAGE(OFFSET($CC$3,0,0,'Données projet'!$E$12+1,1))-AVERAGE(OFFSET($H$3,0,0,'Données projet'!$E$12+1,1))</f>
        <v>212.33913923444732</v>
      </c>
      <c r="CE82" s="60">
        <f t="shared" si="94"/>
        <v>183.51194426094372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3</v>
      </c>
      <c r="CT82" s="13">
        <f>IF('Données projet'!$A$140&gt;35,CT81+CS82-DB81,IF(A82&lt;'Données projet'!$A$140,$CQ$205^A82,IF(A82='Données projet'!$A$140,'Données projet'!$B$140,CT81+CS82-DB81)))</f>
        <v>207.99999999999963</v>
      </c>
      <c r="CU82" s="18">
        <f>CT82*VLOOKUP('Données projet'!$B$13,Paramètres!$A$1:$I$89,3,0)*VLOOKUP('Données projet'!$B$13,Paramètres!$A$1:$I$89,5,0)</f>
        <v>181.70879999999971</v>
      </c>
      <c r="CV82" s="14">
        <f t="shared" si="95"/>
        <v>45.702153370067727</v>
      </c>
      <c r="CW82" s="22">
        <f t="shared" si="67"/>
        <v>396.07407711953414</v>
      </c>
      <c r="CX82" s="60">
        <f t="shared" si="68"/>
        <v>689.40741045286745</v>
      </c>
      <c r="CY82" s="60">
        <f ca="1">AVERAGE(OFFSET($CX$3,0,0,'Données projet'!$E$13+1,1))-AVERAGE(OFFSET($H$3,0,0,'Données projet'!$E$13+1,1))</f>
        <v>228.0393346366489</v>
      </c>
      <c r="CZ82" s="60">
        <f t="shared" si="96"/>
        <v>238.591781509447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6</v>
      </c>
      <c r="DO82" s="13">
        <f>IF('Données projet'!$A$166&gt;35,DO81+DN82-DW81,IF(A82&lt;'Données projet'!$A$166,$DL$205^A82,IF(A82='Données projet'!$A$166,'Données projet'!$B$166,DO81+DN82-DW81)))</f>
        <v>275.99999999999989</v>
      </c>
      <c r="DP82" s="18">
        <f>DO82*VLOOKUP('Données projet'!$B$14,Paramètres!$A$1:$I$89,3,0)*VLOOKUP('Données projet'!$B$14,Paramètres!$A$1:$I$89,5,0)</f>
        <v>249.7247999999999</v>
      </c>
      <c r="DQ82" s="14">
        <f t="shared" si="97"/>
        <v>60.527007137298092</v>
      </c>
      <c r="DR82" s="22">
        <f t="shared" si="70"/>
        <v>540.35523076412733</v>
      </c>
      <c r="DS82" s="60">
        <f t="shared" si="71"/>
        <v>833.68856409746058</v>
      </c>
      <c r="DT82" s="60">
        <f ca="1">AVERAGE(OFFSET($DS$3,0,0,'Données projet'!$E$14+1,1))-AVERAGE(OFFSET($H$3,0,0,'Données projet'!$E$14+1,1))</f>
        <v>303.73499739059076</v>
      </c>
      <c r="DU82" s="60">
        <f t="shared" si="98"/>
        <v>172.32171001882188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9.782</v>
      </c>
      <c r="EJ82" s="13">
        <f>IF('Données projet'!$A$192&gt;35,EJ81+EI82-ER81,IF(A82&lt;'Données projet'!$A$192,$EG$205^A82,IF(A82='Données projet'!$A$192,'Données projet'!$B$192,EJ81+EI82-ER81)))</f>
        <v>510.21800000000007</v>
      </c>
      <c r="EK82" s="18">
        <f>EJ82*VLOOKUP('Données projet'!$B$15,Paramètres!$A$1:$I$89,3,0)*VLOOKUP('Données projet'!$B$15,Paramètres!$A$1:$I$89,5,0)</f>
        <v>305.11036400000006</v>
      </c>
      <c r="EL82" s="14">
        <f t="shared" si="99"/>
        <v>72.246736607705188</v>
      </c>
      <c r="EM82" s="22">
        <f t="shared" si="73"/>
        <v>657.23028355841996</v>
      </c>
      <c r="EN82" s="60">
        <f t="shared" si="74"/>
        <v>950.56361689175333</v>
      </c>
      <c r="EO82" s="60">
        <f ca="1">AVERAGE(OFFSET($EN$3,0,0,'Données projet'!$E$15+1,1))-AVERAGE(OFFSET($H$3,0,0,'Données projet'!$E$15+1,1))</f>
        <v>269.94948820700841</v>
      </c>
      <c r="EP82" s="60">
        <f t="shared" si="100"/>
        <v>183.45158355135192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3.5096482745390851</v>
      </c>
      <c r="EX82" s="23">
        <f>EXP(-LN(2)/2)*EX81+(1-EXP(-LN(2)/2))/(LN(2)/2)*ER82*EU82*VLOOKUP('Données projet'!$B$15,Paramètres!$A$1:$I$89,3,0)*0.475*44/12</f>
        <v>2.3762526734757036E-7</v>
      </c>
      <c r="EY82" s="24">
        <f t="shared" si="75"/>
        <v>3.5096485121643526</v>
      </c>
      <c r="EZ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6.25</v>
      </c>
      <c r="FE82" s="13">
        <f>IF('Données projet'!$A$218&gt;35,FE81+FD82-FM81,IF(A82&lt;'Données projet'!$A$218,$FB$205^A82,IF(A82='Données projet'!$A$218,'Données projet'!$B$218,FE81+FD82-FM81)))</f>
        <v>218.50000000000003</v>
      </c>
      <c r="FF82" s="18">
        <f>FE82*VLOOKUP('Données projet'!$B$16,Paramètres!$A$1:$I$89,3,0)*VLOOKUP('Données projet'!$B$16,Paramètres!$A$1:$I$89,5,0)</f>
        <v>130.66300000000004</v>
      </c>
      <c r="FG82" s="14">
        <f t="shared" si="101"/>
        <v>34.149513779485744</v>
      </c>
      <c r="FH82" s="22">
        <f t="shared" si="76"/>
        <v>287.04846149927107</v>
      </c>
      <c r="FI82" s="60">
        <f t="shared" si="77"/>
        <v>580.38179483260433</v>
      </c>
      <c r="FJ82" s="60">
        <f ca="1">AVERAGE(OFFSET($FI$3,0,0,'Données projet'!$E$16+1,1))-AVERAGE(OFFSET($H$3,0,0,'Données projet'!$E$16+1,1))</f>
        <v>111.24788725253484</v>
      </c>
      <c r="FK82" s="60">
        <f t="shared" si="102"/>
        <v>82.434879813357327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projet'!$B$16,Paramètres!$A$1:$I$89,3,0)*0.475*44/12</f>
        <v>0</v>
      </c>
      <c r="FR82" s="23">
        <f>EXP(-LN(2)/25)*FR81+(1-EXP(-LN(2)/25))/(LN(2)/25)*Calculateur!FM82*Calculateur!FO82*VLOOKUP('Données projet'!$B$16,Paramètres!$A$1:$I$89,3,0)*0.475*44/12</f>
        <v>0</v>
      </c>
      <c r="FS82" s="23">
        <f>EXP(-LN(2)/2)*FS81+(1-EXP(-LN(2)/2))/(LN(2)/2)*FM82*FP82*VLOOKUP('Données projet'!$B$16,Paramètres!$A$1:$I$89,3,0)*0.475*44/12</f>
        <v>0</v>
      </c>
      <c r="FT82" s="24">
        <f t="shared" si="78"/>
        <v>0</v>
      </c>
      <c r="FU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1.0231815394945443E-12</v>
      </c>
      <c r="GA82" s="18">
        <f>FZ82*VLOOKUP('Données projet'!$B$17,Paramètres!$A$1:$I$89,3,0)*VLOOKUP('Données projet'!$B$17,Paramètres!$A$1:$I$89,5,0)</f>
        <v>4.5224624045658859E-13</v>
      </c>
      <c r="GB82" s="14">
        <f t="shared" si="103"/>
        <v>5.6995607121061449E-12</v>
      </c>
      <c r="GC82" s="22">
        <f t="shared" si="79"/>
        <v>1.0714397109046761E-11</v>
      </c>
      <c r="GD82" s="60">
        <f t="shared" si="80"/>
        <v>293.333333333344</v>
      </c>
      <c r="GE82" s="60">
        <f ca="1">AVERAGE(OFFSET($GD$3,0,0,'Données projet'!$E$17+1,1))-AVERAGE(OFFSET($H$3,0,0,'Données projet'!$E$17+1,1))</f>
        <v>323.56667371063662</v>
      </c>
      <c r="GF82" s="60">
        <f t="shared" si="104"/>
        <v>275.70373467723385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>
        <f>EXP(-LN(2)/35)*GL81+(1-EXP(-LN(2)/35))/(LN(2)/35)*GH82*GI82*VLOOKUP('Données projet'!$B$17,Paramètres!$A$1:$I$89,3,0)*0.475*44/12</f>
        <v>0</v>
      </c>
      <c r="GM82" s="23">
        <f>EXP(-LN(2)/25)*GM81+(1-EXP(-LN(2)/25))/(LN(2)/25)*Calculateur!GH82*Calculateur!GJ82*VLOOKUP('Données projet'!$B$17,Paramètres!$A$1:$I$89,3,0)*0.475*44/12</f>
        <v>0</v>
      </c>
      <c r="GN82" s="23">
        <f>EXP(-LN(2)/2)*GN81+(1-EXP(-LN(2)/2))/(LN(2)/2)*GH82*GK82*VLOOKUP('Données projet'!$B$17,Paramètres!$A$1:$I$89,3,0)*0.475*44/12</f>
        <v>0</v>
      </c>
      <c r="GO82" s="23">
        <f t="shared" si="81"/>
        <v>0</v>
      </c>
      <c r="GP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0" t="e">
        <f t="shared" si="83"/>
        <v>#N/A</v>
      </c>
      <c r="GZ82" s="60" t="e">
        <f ca="1">AVERAGE(OFFSET($GY$3,0,0,'Données projet'!$E$18+1,1))-AVERAGE(OFFSET($H$3,0,0,'Données projet'!$E$18+1,1))</f>
        <v>#N/A</v>
      </c>
      <c r="HA82" s="60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4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2">
        <f t="shared" si="86"/>
        <v>12.968979282088567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-1.1368683772161603E-13</v>
      </c>
      <c r="O83" s="14">
        <f>N83*VLOOKUP('Données projet'!$B$9,Paramètres!$A$1:$I$89,3,0)*VLOOKUP('Données projet'!$B$9,Paramètres!$A$1:$I$89,5,0)</f>
        <v>-6.7984728957526396E-14</v>
      </c>
      <c r="P83" s="14" t="e">
        <f t="shared" si="87"/>
        <v>#NUM!</v>
      </c>
      <c r="Q83" s="22" t="e">
        <f t="shared" si="54"/>
        <v>#NUM!</v>
      </c>
      <c r="R83" s="60" t="e">
        <f t="shared" si="55"/>
        <v>#NUM!</v>
      </c>
      <c r="S83" s="60">
        <f ca="1">AVERAGE(OFFSET($R$3,0,0,'Données projet'!$E$9+1,1))-AVERAGE(OFFSET($H$3,0,0,'Données projet'!$E$9+1,1))</f>
        <v>235.63766249714581</v>
      </c>
      <c r="T83" s="60">
        <f t="shared" si="88"/>
        <v>231.3297293785277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4.2624597134174973</v>
      </c>
      <c r="AA83" s="23">
        <f>EXP(-LN(2)/25)*AA82+(1-EXP(-LN(2)/25))/(LN(2)/25)*Calculateur!V83*Calculateur!X83*VLOOKUP('Données projet'!$B$9,Paramètres!$A$1:$I$89,3,0)*0.475*44/12</f>
        <v>4.3222380855403824</v>
      </c>
      <c r="AB83" s="23">
        <f>EXP(-LN(2)/2)*AB82+(1-EXP(-LN(2)/2))/(LN(2)/2)*V83*Y83*VLOOKUP('Données projet'!$B$9,Paramètres!$A$1:$I$89,3,0)*0.475*44/12</f>
        <v>2.119669950872281E-7</v>
      </c>
      <c r="AC83" s="24">
        <f t="shared" si="57"/>
        <v>8.5846980109248747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282</v>
      </c>
      <c r="AG83" s="13">
        <f>VLOOKUP(A83,'Données projet'!$A$61:$I$81,9,0)</f>
        <v>6</v>
      </c>
      <c r="AH83" s="13">
        <f t="array" ref="AH83">INDEX(AG:AG,MIN(IF(ISNUMBER(AG83:AG279),ROW(AG83:AG279),"")))</f>
        <v>6</v>
      </c>
      <c r="AI83" s="14">
        <f>IF('Données projet'!$A$62&gt;35,AI82+AH83-AQ82,IF(A83&lt;'Données projet'!$A$62,$AF$205^A83,IF(A83='Données projet'!$A$62,'Données projet'!$B$62,AI82+AH83-AQ82)))</f>
        <v>281.99999999999989</v>
      </c>
      <c r="AJ83" s="14">
        <f>AI83*VLOOKUP('Données projet'!$B$10,Paramètres!$A$1:$I$89,3,0)*VLOOKUP('Données projet'!$B$10,Paramètres!$A$1:$I$89,5,0)</f>
        <v>285.94799999999992</v>
      </c>
      <c r="AK83" s="14">
        <f t="shared" si="89"/>
        <v>68.222450362989363</v>
      </c>
      <c r="AL83" s="22">
        <f t="shared" si="58"/>
        <v>616.84686771553959</v>
      </c>
      <c r="AM83" s="60">
        <f t="shared" si="59"/>
        <v>910.18020104887296</v>
      </c>
      <c r="AN83" s="60">
        <f ca="1">AVERAGE(OFFSET($AM$3,0,0,'Données projet'!$E$10+1,1))-AVERAGE(OFFSET($H$3,0,0,'Données projet'!$E$10+1,1))</f>
        <v>350.3652766444938</v>
      </c>
      <c r="AO83" s="60">
        <f t="shared" si="90"/>
        <v>197.04549436738586</v>
      </c>
      <c r="AP83" s="16">
        <f>IF(ISNA(VLOOKUP(A83,'Données projet'!$A$61:$I$81,3,0)),0,VLOOKUP(A83,'Données projet'!$A$61:$I$81,3,0))</f>
        <v>6</v>
      </c>
      <c r="AQ83" s="16">
        <f>IF(ISNA(VLOOKUP(A83,'Données projet'!$A$61:$I$81,4,0)),0,VLOOKUP(A83,'Données projet'!$A$61:$I$81,4,0))</f>
        <v>42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6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282</v>
      </c>
      <c r="BB83" s="13">
        <f>VLOOKUP(A83,'Données projet'!$A$87:$I$107,9,0)</f>
        <v>6</v>
      </c>
      <c r="BC83" s="13">
        <f t="array" ref="BC83">INDEX(BB:BB,MIN(IF(ISNUMBER(BB83:BB279),ROW(BB83:BB279),"")))</f>
        <v>6</v>
      </c>
      <c r="BD83" s="13">
        <f>IF('Données projet'!$A$88&gt;35,BD82+BC83-BL82,IF(A83&lt;'Données projet'!$A$88,$BA$205^A83,IF(A83='Données projet'!$A$88,'Données projet'!$B$88,BD82+BC83-BL82)))</f>
        <v>281.99999999999989</v>
      </c>
      <c r="BE83" s="14">
        <f>BD83*VLOOKUP('Données projet'!$B$11,Paramètres!$A$1:$I$89,3,0)*VLOOKUP('Données projet'!$B$11,Paramètres!$A$1:$I$89,5,0)</f>
        <v>272.7503999999999</v>
      </c>
      <c r="BF83" s="14">
        <f t="shared" si="91"/>
        <v>65.432628830820633</v>
      </c>
      <c r="BG83" s="22">
        <f t="shared" si="61"/>
        <v>589.00210854701243</v>
      </c>
      <c r="BH83" s="60">
        <f t="shared" si="62"/>
        <v>882.3354418803458</v>
      </c>
      <c r="BI83" s="60">
        <f ca="1">AVERAGE(OFFSET($BH$3,0,0,'Données projet'!$E$11+1,1))-AVERAGE(OFFSET($H$3,0,0,'Données projet'!$E$11+1,1))</f>
        <v>330.39429528665841</v>
      </c>
      <c r="BJ83" s="60">
        <f t="shared" si="92"/>
        <v>186.45728006007261</v>
      </c>
      <c r="BK83" s="16">
        <f>IF(ISNA(VLOOKUP(A83,'Données projet'!$A$87:$I$107,3,0)),0,VLOOKUP(A83,'Données projet'!$A$87:$I$107,3,0))</f>
        <v>6</v>
      </c>
      <c r="BL83" s="23">
        <f>IF(ISNA(VLOOKUP(A83,'Données projet'!$A$87:$I$107,4,0)),0,VLOOKUP(A83,'Données projet'!$A$87:$I$107,4,0))</f>
        <v>42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282.05128205128204</v>
      </c>
      <c r="BW83" s="13">
        <f>VLOOKUP(A83,'Données projet'!$A$113:$I$133,9,0)</f>
        <v>4.2307692307692264</v>
      </c>
      <c r="BX83" s="13">
        <f t="array" ref="BX83">INDEX(BW:BW,MIN(IF(ISNUMBER(BW83:BW279),ROW(BW83:BW279),"")))</f>
        <v>4.2307692307692264</v>
      </c>
      <c r="BY83" s="13">
        <f>IF('Données projet'!$A$114&gt;35,BY82+BX83-CG82,IF(A83&lt;'Données projet'!$A$114,$BV$205^A83,IF(A83='Données projet'!$A$114,'Données projet'!$B$114,BY82+BX83-CG82)))</f>
        <v>282.0512820512821</v>
      </c>
      <c r="BZ83" s="14">
        <f>BY83*VLOOKUP('Données projet'!$B$12,Paramètres!$A$1:$I$89,3,0)*VLOOKUP('Données projet'!$B$12,Paramètres!$A$1:$I$89,5,0)</f>
        <v>189.20000000000005</v>
      </c>
      <c r="CA83" s="14">
        <f t="shared" si="93"/>
        <v>47.363040799609742</v>
      </c>
      <c r="CB83" s="22">
        <f t="shared" si="64"/>
        <v>412.01396272598703</v>
      </c>
      <c r="CC83" s="60">
        <f t="shared" si="65"/>
        <v>705.34729605932034</v>
      </c>
      <c r="CD83" s="60">
        <f ca="1">AVERAGE(OFFSET($CC$3,0,0,'Données projet'!$E$12+1,1))-AVERAGE(OFFSET($H$3,0,0,'Données projet'!$E$12+1,1))</f>
        <v>212.33913923444732</v>
      </c>
      <c r="CE83" s="60">
        <f t="shared" si="94"/>
        <v>183.51194426094372</v>
      </c>
      <c r="CF83" s="16">
        <f>IF(ISNA(VLOOKUP(A83,'Données projet'!$A$113:$I$133,3,0)),0,VLOOKUP(A83,'Données projet'!$A$113:$I$133,3,0))</f>
        <v>7</v>
      </c>
      <c r="CG83" s="16">
        <f>IF(ISNA(VLOOKUP(A83,'Données projet'!$A$113:$I$133,4,0)),0,VLOOKUP(A83,'Données projet'!$A$113:$I$133,4,0))</f>
        <v>26.282051282051281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211</v>
      </c>
      <c r="CR83" s="13">
        <f>VLOOKUP(A83,'Données projet'!$A$139:$I$159,9,0)</f>
        <v>3</v>
      </c>
      <c r="CS83" s="13">
        <f t="array" ref="CS83">INDEX(CR:CR,MIN(IF(ISNUMBER(CR83:CR279),ROW(CR83:CR279),"")))</f>
        <v>3</v>
      </c>
      <c r="CT83" s="13">
        <f>IF('Données projet'!$A$140&gt;35,CT82+CS83-DB82,IF(A83&lt;'Données projet'!$A$140,$CQ$205^A83,IF(A83='Données projet'!$A$140,'Données projet'!$B$140,CT82+CS83-DB82)))</f>
        <v>210.99999999999963</v>
      </c>
      <c r="CU83" s="18">
        <f>CT83*VLOOKUP('Données projet'!$B$13,Paramètres!$A$1:$I$89,3,0)*VLOOKUP('Données projet'!$B$13,Paramètres!$A$1:$I$89,5,0)</f>
        <v>184.32959999999969</v>
      </c>
      <c r="CV83" s="14">
        <f t="shared" si="95"/>
        <v>46.284105851002977</v>
      </c>
      <c r="CW83" s="22">
        <f t="shared" si="67"/>
        <v>401.65220435716293</v>
      </c>
      <c r="CX83" s="60">
        <f t="shared" si="68"/>
        <v>694.98553769049624</v>
      </c>
      <c r="CY83" s="60">
        <f ca="1">AVERAGE(OFFSET($CX$3,0,0,'Données projet'!$E$13+1,1))-AVERAGE(OFFSET($H$3,0,0,'Données projet'!$E$13+1,1))</f>
        <v>228.0393346366489</v>
      </c>
      <c r="CZ83" s="60">
        <f t="shared" si="96"/>
        <v>238.591781509447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282</v>
      </c>
      <c r="DM83" s="13">
        <f>VLOOKUP(A83,'Données projet'!$A$165:$I$185,9,0)</f>
        <v>6</v>
      </c>
      <c r="DN83" s="13">
        <f t="array" ref="DN83">INDEX(DM:DM,MIN(IF(ISNUMBER(DM83:DM279),ROW(DM83:DM279),"")))</f>
        <v>6</v>
      </c>
      <c r="DO83" s="13">
        <f>IF('Données projet'!$A$166&gt;35,DO82+DN83-DW82,IF(A83&lt;'Données projet'!$A$166,$DL$205^A83,IF(A83='Données projet'!$A$166,'Données projet'!$B$166,DO82+DN83-DW82)))</f>
        <v>281.99999999999989</v>
      </c>
      <c r="DP83" s="18">
        <f>DO83*VLOOKUP('Données projet'!$B$14,Paramètres!$A$1:$I$89,3,0)*VLOOKUP('Données projet'!$B$14,Paramètres!$A$1:$I$89,5,0)</f>
        <v>255.15359999999987</v>
      </c>
      <c r="DQ83" s="14">
        <f t="shared" si="97"/>
        <v>61.688192762754376</v>
      </c>
      <c r="DR83" s="22">
        <f t="shared" si="70"/>
        <v>551.83278906179692</v>
      </c>
      <c r="DS83" s="60">
        <f t="shared" si="71"/>
        <v>845.16612239513029</v>
      </c>
      <c r="DT83" s="60">
        <f ca="1">AVERAGE(OFFSET($DS$3,0,0,'Données projet'!$E$14+1,1))-AVERAGE(OFFSET($H$3,0,0,'Données projet'!$E$14+1,1))</f>
        <v>303.73499739059076</v>
      </c>
      <c r="DU83" s="60">
        <f t="shared" si="98"/>
        <v>172.32171001882188</v>
      </c>
      <c r="DV83" s="16">
        <f>IF(ISNA(VLOOKUP(A83,'Données projet'!$A$165:$I$185,3,0)),0,VLOOKUP(A83,'Données projet'!$A$165:$I$185,3,0))</f>
        <v>6</v>
      </c>
      <c r="DW83" s="16">
        <f>IF(ISNA(VLOOKUP(A83,'Données projet'!$A$165:$I$185,4,0)),0,VLOOKUP(A83,'Données projet'!$A$165:$I$185,4,0))</f>
        <v>42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>
        <f>VLOOKUP(A83,'Données projet'!$A$191:$I$211,2,0)</f>
        <v>520</v>
      </c>
      <c r="EH83" s="13">
        <f>VLOOKUP(A83,'Données projet'!$A$191:$I$211,9,0)</f>
        <v>9.782</v>
      </c>
      <c r="EI83" s="13">
        <f t="array" ref="EI83">INDEX(EH:EH,MIN(IF(ISNUMBER(EH83:EH279),ROW(EH83:EH279),"")))</f>
        <v>9.782</v>
      </c>
      <c r="EJ83" s="13">
        <f>IF('Données projet'!$A$192&gt;35,EJ82+EI83-ER82,IF(A83&lt;'Données projet'!$A$192,$EG$205^A83,IF(A83='Données projet'!$A$192,'Données projet'!$B$192,EJ82+EI83-ER82)))</f>
        <v>520.00000000000011</v>
      </c>
      <c r="EK83" s="18">
        <f>EJ83*VLOOKUP('Données projet'!$B$15,Paramètres!$A$1:$I$89,3,0)*VLOOKUP('Données projet'!$B$15,Paramètres!$A$1:$I$89,5,0)</f>
        <v>310.96000000000009</v>
      </c>
      <c r="EL83" s="14">
        <f t="shared" si="99"/>
        <v>73.4692802883242</v>
      </c>
      <c r="EM83" s="22">
        <f t="shared" si="73"/>
        <v>669.54766316883149</v>
      </c>
      <c r="EN83" s="60">
        <f t="shared" si="74"/>
        <v>962.88099650216486</v>
      </c>
      <c r="EO83" s="60">
        <f ca="1">AVERAGE(OFFSET($EN$3,0,0,'Données projet'!$E$15+1,1))-AVERAGE(OFFSET($H$3,0,0,'Données projet'!$E$15+1,1))</f>
        <v>269.94948820700841</v>
      </c>
      <c r="EP83" s="60">
        <f t="shared" si="100"/>
        <v>183.45158355135192</v>
      </c>
      <c r="EQ83" s="16">
        <f>IF(ISNA(VLOOKUP(A83,'Données projet'!$A$191:$I$211,3,0)),0,VLOOKUP(A83,'Données projet'!$A$191:$I$211,3,0))</f>
        <v>8</v>
      </c>
      <c r="ER83" s="16">
        <f>IF(ISNA(VLOOKUP(A83,'Données projet'!$A$191:$I$211,4,0)),0,VLOOKUP(A83,'Données projet'!$A$191:$I$211,4,0))</f>
        <v>520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3.4136767579074325</v>
      </c>
      <c r="EX83" s="23">
        <f>EXP(-LN(2)/2)*EX82+(1-EXP(-LN(2)/2))/(LN(2)/2)*ER83*EU83*VLOOKUP('Données projet'!$B$15,Paramètres!$A$1:$I$89,3,0)*0.475*44/12</f>
        <v>1.6802643792273331E-7</v>
      </c>
      <c r="EY83" s="24">
        <f t="shared" si="75"/>
        <v>3.4136769259338706</v>
      </c>
      <c r="EZ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6.25</v>
      </c>
      <c r="FE83" s="13">
        <f>IF('Données projet'!$A$218&gt;35,FE82+FD83-FM82,IF(A83&lt;'Données projet'!$A$218,$FB$205^A83,IF(A83='Données projet'!$A$218,'Données projet'!$B$218,FE82+FD83-FM82)))</f>
        <v>224.75000000000003</v>
      </c>
      <c r="FF83" s="18">
        <f>FE83*VLOOKUP('Données projet'!$B$16,Paramètres!$A$1:$I$89,3,0)*VLOOKUP('Données projet'!$B$16,Paramètres!$A$1:$I$89,5,0)</f>
        <v>134.40050000000002</v>
      </c>
      <c r="FG83" s="14">
        <f t="shared" si="101"/>
        <v>35.011207252760464</v>
      </c>
      <c r="FH83" s="22">
        <f t="shared" si="76"/>
        <v>295.05872346522455</v>
      </c>
      <c r="FI83" s="60">
        <f t="shared" si="77"/>
        <v>588.39205679855786</v>
      </c>
      <c r="FJ83" s="60">
        <f ca="1">AVERAGE(OFFSET($FI$3,0,0,'Données projet'!$E$16+1,1))-AVERAGE(OFFSET($H$3,0,0,'Données projet'!$E$16+1,1))</f>
        <v>111.24788725253484</v>
      </c>
      <c r="FK83" s="60">
        <f t="shared" si="102"/>
        <v>82.434879813357327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projet'!$B$16,Paramètres!$A$1:$I$89,3,0)*0.475*44/12</f>
        <v>0</v>
      </c>
      <c r="FR83" s="23">
        <f>EXP(-LN(2)/25)*FR82+(1-EXP(-LN(2)/25))/(LN(2)/25)*Calculateur!FM83*Calculateur!FO83*VLOOKUP('Données projet'!$B$16,Paramètres!$A$1:$I$89,3,0)*0.475*44/12</f>
        <v>0</v>
      </c>
      <c r="FS83" s="23">
        <f>EXP(-LN(2)/2)*FS82+(1-EXP(-LN(2)/2))/(LN(2)/2)*FM83*FP83*VLOOKUP('Données projet'!$B$16,Paramètres!$A$1:$I$89,3,0)*0.475*44/12</f>
        <v>0</v>
      </c>
      <c r="FT83" s="24">
        <f t="shared" si="78"/>
        <v>0</v>
      </c>
      <c r="FU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1.0231815394945443E-12</v>
      </c>
      <c r="GA83" s="18">
        <f>FZ83*VLOOKUP('Données projet'!$B$17,Paramètres!$A$1:$I$89,3,0)*VLOOKUP('Données projet'!$B$17,Paramètres!$A$1:$I$89,5,0)</f>
        <v>4.5224624045658859E-13</v>
      </c>
      <c r="GB83" s="14">
        <f t="shared" si="103"/>
        <v>5.6995607121061449E-12</v>
      </c>
      <c r="GC83" s="22">
        <f t="shared" si="79"/>
        <v>1.0714397109046761E-11</v>
      </c>
      <c r="GD83" s="60">
        <f t="shared" si="80"/>
        <v>293.333333333344</v>
      </c>
      <c r="GE83" s="60">
        <f ca="1">AVERAGE(OFFSET($GD$3,0,0,'Données projet'!$E$17+1,1))-AVERAGE(OFFSET($H$3,0,0,'Données projet'!$E$17+1,1))</f>
        <v>323.56667371063662</v>
      </c>
      <c r="GF83" s="60">
        <f t="shared" si="104"/>
        <v>275.70373467723385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>
        <f>EXP(-LN(2)/35)*GL82+(1-EXP(-LN(2)/35))/(LN(2)/35)*GH83*GI83*VLOOKUP('Données projet'!$B$17,Paramètres!$A$1:$I$89,3,0)*0.475*44/12</f>
        <v>0</v>
      </c>
      <c r="GM83" s="23">
        <f>EXP(-LN(2)/25)*GM82+(1-EXP(-LN(2)/25))/(LN(2)/25)*Calculateur!GH83*Calculateur!GJ83*VLOOKUP('Données projet'!$B$17,Paramètres!$A$1:$I$89,3,0)*0.475*44/12</f>
        <v>0</v>
      </c>
      <c r="GN83" s="23">
        <f>EXP(-LN(2)/2)*GN82+(1-EXP(-LN(2)/2))/(LN(2)/2)*GH83*GK83*VLOOKUP('Données projet'!$B$17,Paramètres!$A$1:$I$89,3,0)*0.475*44/12</f>
        <v>0</v>
      </c>
      <c r="GO83" s="23">
        <f t="shared" si="81"/>
        <v>0</v>
      </c>
      <c r="GP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0" t="e">
        <f t="shared" si="83"/>
        <v>#N/A</v>
      </c>
      <c r="GZ83" s="60" t="e">
        <f ca="1">AVERAGE(OFFSET($GY$3,0,0,'Données projet'!$E$18+1,1))-AVERAGE(OFFSET($H$3,0,0,'Données projet'!$E$18+1,1))</f>
        <v>#N/A</v>
      </c>
      <c r="HA83" s="60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4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2">
        <f t="shared" si="86"/>
        <v>13.112117930994097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-1.1368683772161603E-13</v>
      </c>
      <c r="O84" s="14">
        <f>N84*VLOOKUP('Données projet'!$B$9,Paramètres!$A$1:$I$89,3,0)*VLOOKUP('Données projet'!$B$9,Paramètres!$A$1:$I$89,5,0)</f>
        <v>-6.7984728957526396E-14</v>
      </c>
      <c r="P84" s="14" t="e">
        <f t="shared" si="87"/>
        <v>#NUM!</v>
      </c>
      <c r="Q84" s="22" t="e">
        <f t="shared" si="54"/>
        <v>#NUM!</v>
      </c>
      <c r="R84" s="60" t="e">
        <f t="shared" si="55"/>
        <v>#NUM!</v>
      </c>
      <c r="S84" s="60">
        <f ca="1">AVERAGE(OFFSET($R$3,0,0,'Données projet'!$E$9+1,1))-AVERAGE(OFFSET($H$3,0,0,'Données projet'!$E$9+1,1))</f>
        <v>235.63766249714581</v>
      </c>
      <c r="T84" s="60">
        <f t="shared" si="88"/>
        <v>231.3297293785277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4.1788754782810917</v>
      </c>
      <c r="AA84" s="23">
        <f>EXP(-LN(2)/25)*AA83+(1-EXP(-LN(2)/25))/(LN(2)/25)*Calculateur!V84*Calculateur!X84*VLOOKUP('Données projet'!$B$9,Paramètres!$A$1:$I$89,3,0)*0.475*44/12</f>
        <v>4.2040462577946585</v>
      </c>
      <c r="AB84" s="23">
        <f>EXP(-LN(2)/2)*AB83+(1-EXP(-LN(2)/2))/(LN(2)/2)*V84*Y84*VLOOKUP('Données projet'!$B$9,Paramètres!$A$1:$I$89,3,0)*0.475*44/12</f>
        <v>1.498832996139146E-7</v>
      </c>
      <c r="AC84" s="24">
        <f t="shared" si="57"/>
        <v>8.3829218859590515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5.6</v>
      </c>
      <c r="AI84" s="14">
        <f>IF('Données projet'!$A$62&gt;35,AI83+AH84-AQ83,IF(A84&lt;'Données projet'!$A$62,$AF$205^A84,IF(A84='Données projet'!$A$62,'Données projet'!$B$62,AI83+AH84-AQ83)))</f>
        <v>245.59999999999991</v>
      </c>
      <c r="AJ84" s="14">
        <f>AI84*VLOOKUP('Données projet'!$B$10,Paramètres!$A$1:$I$89,3,0)*VLOOKUP('Données projet'!$B$10,Paramètres!$A$1:$I$89,5,0)</f>
        <v>249.03839999999994</v>
      </c>
      <c r="AK84" s="14">
        <f t="shared" si="89"/>
        <v>60.379982523339947</v>
      </c>
      <c r="AL84" s="22">
        <f t="shared" si="58"/>
        <v>538.90368289481694</v>
      </c>
      <c r="AM84" s="60">
        <f t="shared" si="59"/>
        <v>832.2370162281502</v>
      </c>
      <c r="AN84" s="60">
        <f ca="1">AVERAGE(OFFSET($AM$3,0,0,'Données projet'!$E$10+1,1))-AVERAGE(OFFSET($H$3,0,0,'Données projet'!$E$10+1,1))</f>
        <v>350.3652766444938</v>
      </c>
      <c r="AO84" s="60">
        <f t="shared" si="90"/>
        <v>197.04549436738586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6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5.6</v>
      </c>
      <c r="BD84" s="13">
        <f>IF('Données projet'!$A$88&gt;35,BD83+BC84-BL83,IF(A84&lt;'Données projet'!$A$88,$BA$205^A84,IF(A84='Données projet'!$A$88,'Données projet'!$B$88,BD83+BC84-BL83)))</f>
        <v>245.59999999999991</v>
      </c>
      <c r="BE84" s="14">
        <f>BD84*VLOOKUP('Données projet'!$B$11,Paramètres!$A$1:$I$89,3,0)*VLOOKUP('Données projet'!$B$11,Paramètres!$A$1:$I$89,5,0)</f>
        <v>237.54431999999991</v>
      </c>
      <c r="BF84" s="14">
        <f t="shared" si="91"/>
        <v>57.910863128487989</v>
      </c>
      <c r="BG84" s="22">
        <f t="shared" si="61"/>
        <v>514.58444394878302</v>
      </c>
      <c r="BH84" s="60">
        <f t="shared" si="62"/>
        <v>807.91777728211628</v>
      </c>
      <c r="BI84" s="60">
        <f ca="1">AVERAGE(OFFSET($BH$3,0,0,'Données projet'!$E$11+1,1))-AVERAGE(OFFSET($H$3,0,0,'Données projet'!$E$11+1,1))</f>
        <v>330.39429528665841</v>
      </c>
      <c r="BJ84" s="60">
        <f t="shared" si="92"/>
        <v>186.45728006007261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4.1025641025640995</v>
      </c>
      <c r="BY84" s="13">
        <f>IF('Données projet'!$A$114&gt;35,BY83+BX84-CG83,IF(A84&lt;'Données projet'!$A$114,$BV$205^A84,IF(A84='Données projet'!$A$114,'Données projet'!$B$114,BY83+BX84-CG83)))</f>
        <v>259.87179487179492</v>
      </c>
      <c r="BZ84" s="14">
        <f>BY84*VLOOKUP('Données projet'!$B$12,Paramètres!$A$1:$I$89,3,0)*VLOOKUP('Données projet'!$B$12,Paramètres!$A$1:$I$89,5,0)</f>
        <v>174.32200000000003</v>
      </c>
      <c r="CA84" s="14">
        <f t="shared" si="93"/>
        <v>44.056588905148665</v>
      </c>
      <c r="CB84" s="22">
        <f t="shared" si="64"/>
        <v>380.34270900980056</v>
      </c>
      <c r="CC84" s="60">
        <f t="shared" si="65"/>
        <v>673.67604234313387</v>
      </c>
      <c r="CD84" s="60">
        <f ca="1">AVERAGE(OFFSET($CC$3,0,0,'Données projet'!$E$12+1,1))-AVERAGE(OFFSET($H$3,0,0,'Données projet'!$E$12+1,1))</f>
        <v>212.33913923444732</v>
      </c>
      <c r="CE84" s="60">
        <f t="shared" si="94"/>
        <v>183.51194426094372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2.6</v>
      </c>
      <c r="CT84" s="13">
        <f>IF('Données projet'!$A$140&gt;35,CT83+CS84-DB83,IF(A84&lt;'Données projet'!$A$140,$CQ$205^A84,IF(A84='Données projet'!$A$140,'Données projet'!$B$140,CT83+CS84-DB83)))</f>
        <v>213.59999999999962</v>
      </c>
      <c r="CU84" s="18">
        <f>CT84*VLOOKUP('Données projet'!$B$13,Paramètres!$A$1:$I$89,3,0)*VLOOKUP('Données projet'!$B$13,Paramètres!$A$1:$I$89,5,0)</f>
        <v>186.6009599999997</v>
      </c>
      <c r="CV84" s="14">
        <f t="shared" si="95"/>
        <v>46.787685683664066</v>
      </c>
      <c r="CW84" s="22">
        <f t="shared" si="67"/>
        <v>406.48522456571436</v>
      </c>
      <c r="CX84" s="60">
        <f t="shared" si="68"/>
        <v>699.81855789904762</v>
      </c>
      <c r="CY84" s="60">
        <f ca="1">AVERAGE(OFFSET($CX$3,0,0,'Données projet'!$E$13+1,1))-AVERAGE(OFFSET($H$3,0,0,'Données projet'!$E$13+1,1))</f>
        <v>228.0393346366489</v>
      </c>
      <c r="CZ84" s="60">
        <f t="shared" si="96"/>
        <v>238.591781509447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5.6</v>
      </c>
      <c r="DO84" s="13">
        <f>IF('Données projet'!$A$166&gt;35,DO83+DN84-DW83,IF(A84&lt;'Données projet'!$A$166,$DL$205^A84,IF(A84='Données projet'!$A$166,'Données projet'!$B$166,DO83+DN84-DW83)))</f>
        <v>245.59999999999991</v>
      </c>
      <c r="DP84" s="18">
        <f>DO84*VLOOKUP('Données projet'!$B$14,Paramètres!$A$1:$I$89,3,0)*VLOOKUP('Données projet'!$B$14,Paramètres!$A$1:$I$89,5,0)</f>
        <v>222.21887999999993</v>
      </c>
      <c r="DQ84" s="14">
        <f t="shared" si="97"/>
        <v>54.596866296848852</v>
      </c>
      <c r="DR84" s="22">
        <f t="shared" si="70"/>
        <v>482.12075813367829</v>
      </c>
      <c r="DS84" s="60">
        <f t="shared" si="71"/>
        <v>775.45409146701161</v>
      </c>
      <c r="DT84" s="60">
        <f ca="1">AVERAGE(OFFSET($DS$3,0,0,'Données projet'!$E$14+1,1))-AVERAGE(OFFSET($H$3,0,0,'Données projet'!$E$14+1,1))</f>
        <v>303.73499739059076</v>
      </c>
      <c r="DU84" s="60">
        <f t="shared" si="98"/>
        <v>172.32171001882188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1.1368683772161603E-13</v>
      </c>
      <c r="EK84" s="18">
        <f>EJ84*VLOOKUP('Données projet'!$B$15,Paramètres!$A$1:$I$89,3,0)*VLOOKUP('Données projet'!$B$15,Paramètres!$A$1:$I$89,5,0)</f>
        <v>6.7984728957526396E-14</v>
      </c>
      <c r="EL84" s="14">
        <f t="shared" si="99"/>
        <v>1.0682447123141398E-12</v>
      </c>
      <c r="EM84" s="22">
        <f t="shared" si="73"/>
        <v>1.978932943548152E-12</v>
      </c>
      <c r="EN84" s="60">
        <f t="shared" si="74"/>
        <v>293.3333333333353</v>
      </c>
      <c r="EO84" s="60">
        <f ca="1">AVERAGE(OFFSET($EN$3,0,0,'Données projet'!$E$15+1,1))-AVERAGE(OFFSET($H$3,0,0,'Données projet'!$E$15+1,1))</f>
        <v>269.94948820700841</v>
      </c>
      <c r="EP84" s="60">
        <f t="shared" si="100"/>
        <v>183.45158355135192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3.320329587444995</v>
      </c>
      <c r="EX84" s="23">
        <f>EXP(-LN(2)/2)*EX83+(1-EXP(-LN(2)/2))/(LN(2)/2)*ER84*EU84*VLOOKUP('Données projet'!$B$15,Paramètres!$A$1:$I$89,3,0)*0.475*44/12</f>
        <v>1.1881263367378521E-7</v>
      </c>
      <c r="EY84" s="24">
        <f t="shared" si="75"/>
        <v>3.3203297062576285</v>
      </c>
      <c r="EZ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6.25</v>
      </c>
      <c r="FE84" s="13">
        <f>IF('Données projet'!$A$218&gt;35,FE83+FD84-FM83,IF(A84&lt;'Données projet'!$A$218,$FB$205^A84,IF(A84='Données projet'!$A$218,'Données projet'!$B$218,FE83+FD84-FM83)))</f>
        <v>231.00000000000003</v>
      </c>
      <c r="FF84" s="18">
        <f>FE84*VLOOKUP('Données projet'!$B$16,Paramètres!$A$1:$I$89,3,0)*VLOOKUP('Données projet'!$B$16,Paramètres!$A$1:$I$89,5,0)</f>
        <v>138.13800000000003</v>
      </c>
      <c r="FG84" s="14">
        <f t="shared" si="101"/>
        <v>35.870115614757175</v>
      </c>
      <c r="FH84" s="22">
        <f t="shared" si="76"/>
        <v>303.06413469570208</v>
      </c>
      <c r="FI84" s="60">
        <f t="shared" si="77"/>
        <v>596.39746802903539</v>
      </c>
      <c r="FJ84" s="60">
        <f ca="1">AVERAGE(OFFSET($FI$3,0,0,'Données projet'!$E$16+1,1))-AVERAGE(OFFSET($H$3,0,0,'Données projet'!$E$16+1,1))</f>
        <v>111.24788725253484</v>
      </c>
      <c r="FK84" s="60">
        <f t="shared" si="102"/>
        <v>82.434879813357327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projet'!$B$16,Paramètres!$A$1:$I$89,3,0)*0.475*44/12</f>
        <v>0</v>
      </c>
      <c r="FR84" s="23">
        <f>EXP(-LN(2)/25)*FR83+(1-EXP(-LN(2)/25))/(LN(2)/25)*Calculateur!FM84*Calculateur!FO84*VLOOKUP('Données projet'!$B$16,Paramètres!$A$1:$I$89,3,0)*0.475*44/12</f>
        <v>0</v>
      </c>
      <c r="FS84" s="23">
        <f>EXP(-LN(2)/2)*FS83+(1-EXP(-LN(2)/2))/(LN(2)/2)*FM84*FP84*VLOOKUP('Données projet'!$B$16,Paramètres!$A$1:$I$89,3,0)*0.475*44/12</f>
        <v>0</v>
      </c>
      <c r="FT84" s="24">
        <f t="shared" si="78"/>
        <v>0</v>
      </c>
      <c r="FU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1.0231815394945443E-12</v>
      </c>
      <c r="GA84" s="18">
        <f>FZ84*VLOOKUP('Données projet'!$B$17,Paramètres!$A$1:$I$89,3,0)*VLOOKUP('Données projet'!$B$17,Paramètres!$A$1:$I$89,5,0)</f>
        <v>4.5224624045658859E-13</v>
      </c>
      <c r="GB84" s="14">
        <f t="shared" si="103"/>
        <v>5.6995607121061449E-12</v>
      </c>
      <c r="GC84" s="22">
        <f t="shared" si="79"/>
        <v>1.0714397109046761E-11</v>
      </c>
      <c r="GD84" s="60">
        <f t="shared" si="80"/>
        <v>293.333333333344</v>
      </c>
      <c r="GE84" s="60">
        <f ca="1">AVERAGE(OFFSET($GD$3,0,0,'Données projet'!$E$17+1,1))-AVERAGE(OFFSET($H$3,0,0,'Données projet'!$E$17+1,1))</f>
        <v>323.56667371063662</v>
      </c>
      <c r="GF84" s="60">
        <f t="shared" si="104"/>
        <v>275.70373467723385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>
        <f>EXP(-LN(2)/35)*GL83+(1-EXP(-LN(2)/35))/(LN(2)/35)*GH84*GI84*VLOOKUP('Données projet'!$B$17,Paramètres!$A$1:$I$89,3,0)*0.475*44/12</f>
        <v>0</v>
      </c>
      <c r="GM84" s="23">
        <f>EXP(-LN(2)/25)*GM83+(1-EXP(-LN(2)/25))/(LN(2)/25)*Calculateur!GH84*Calculateur!GJ84*VLOOKUP('Données projet'!$B$17,Paramètres!$A$1:$I$89,3,0)*0.475*44/12</f>
        <v>0</v>
      </c>
      <c r="GN84" s="23">
        <f>EXP(-LN(2)/2)*GN83+(1-EXP(-LN(2)/2))/(LN(2)/2)*GH84*GK84*VLOOKUP('Données projet'!$B$17,Paramètres!$A$1:$I$89,3,0)*0.475*44/12</f>
        <v>0</v>
      </c>
      <c r="GO84" s="23">
        <f t="shared" si="81"/>
        <v>0</v>
      </c>
      <c r="GP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0" t="e">
        <f t="shared" si="83"/>
        <v>#N/A</v>
      </c>
      <c r="GZ84" s="60" t="e">
        <f ca="1">AVERAGE(OFFSET($GY$3,0,0,'Données projet'!$E$18+1,1))-AVERAGE(OFFSET($H$3,0,0,'Données projet'!$E$18+1,1))</f>
        <v>#N/A</v>
      </c>
      <c r="HA84" s="60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4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2">
        <f t="shared" si="86"/>
        <v>13.255051026563269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-1.1368683772161603E-13</v>
      </c>
      <c r="O85" s="14">
        <f>N85*VLOOKUP('Données projet'!$B$9,Paramètres!$A$1:$I$89,3,0)*VLOOKUP('Données projet'!$B$9,Paramètres!$A$1:$I$89,5,0)</f>
        <v>-6.7984728957526396E-14</v>
      </c>
      <c r="P85" s="14" t="e">
        <f t="shared" si="87"/>
        <v>#NUM!</v>
      </c>
      <c r="Q85" s="22" t="e">
        <f t="shared" si="54"/>
        <v>#NUM!</v>
      </c>
      <c r="R85" s="60" t="e">
        <f t="shared" si="55"/>
        <v>#NUM!</v>
      </c>
      <c r="S85" s="60">
        <f ca="1">AVERAGE(OFFSET($R$3,0,0,'Données projet'!$E$9+1,1))-AVERAGE(OFFSET($H$3,0,0,'Données projet'!$E$9+1,1))</f>
        <v>235.63766249714581</v>
      </c>
      <c r="T85" s="60">
        <f t="shared" si="88"/>
        <v>231.3297293785277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4.0969302790143622</v>
      </c>
      <c r="AA85" s="23">
        <f>EXP(-LN(2)/25)*AA84+(1-EXP(-LN(2)/25))/(LN(2)/25)*Calculateur!V85*Calculateur!X85*VLOOKUP('Données projet'!$B$9,Paramètres!$A$1:$I$89,3,0)*0.475*44/12</f>
        <v>4.089086391794079</v>
      </c>
      <c r="AB85" s="23">
        <f>EXP(-LN(2)/2)*AB84+(1-EXP(-LN(2)/2))/(LN(2)/2)*V85*Y85*VLOOKUP('Données projet'!$B$9,Paramètres!$A$1:$I$89,3,0)*0.475*44/12</f>
        <v>1.0598349754361405E-7</v>
      </c>
      <c r="AC85" s="24">
        <f t="shared" si="57"/>
        <v>8.1860167767919396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5.6</v>
      </c>
      <c r="AI85" s="14">
        <f>IF('Données projet'!$A$62&gt;35,AI84+AH85-AQ84,IF(A85&lt;'Données projet'!$A$62,$AF$205^A85,IF(A85='Données projet'!$A$62,'Données projet'!$B$62,AI84+AH85-AQ84)))</f>
        <v>251.1999999999999</v>
      </c>
      <c r="AJ85" s="14">
        <f>AI85*VLOOKUP('Données projet'!$B$10,Paramètres!$A$1:$I$89,3,0)*VLOOKUP('Données projet'!$B$10,Paramètres!$A$1:$I$89,5,0)</f>
        <v>254.71679999999992</v>
      </c>
      <c r="AK85" s="14">
        <f t="shared" si="89"/>
        <v>61.594871205031538</v>
      </c>
      <c r="AL85" s="22">
        <f t="shared" si="58"/>
        <v>550.9094940154298</v>
      </c>
      <c r="AM85" s="60">
        <f t="shared" si="59"/>
        <v>844.24282734876306</v>
      </c>
      <c r="AN85" s="60">
        <f ca="1">AVERAGE(OFFSET($AM$3,0,0,'Données projet'!$E$10+1,1))-AVERAGE(OFFSET($H$3,0,0,'Données projet'!$E$10+1,1))</f>
        <v>350.3652766444938</v>
      </c>
      <c r="AO85" s="60">
        <f t="shared" si="90"/>
        <v>197.04549436738586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6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5.6</v>
      </c>
      <c r="BD85" s="13">
        <f>IF('Données projet'!$A$88&gt;35,BD84+BC85-BL84,IF(A85&lt;'Données projet'!$A$88,$BA$205^A85,IF(A85='Données projet'!$A$88,'Données projet'!$B$88,BD84+BC85-BL84)))</f>
        <v>251.1999999999999</v>
      </c>
      <c r="BE85" s="14">
        <f>BD85*VLOOKUP('Données projet'!$B$11,Paramètres!$A$1:$I$89,3,0)*VLOOKUP('Données projet'!$B$11,Paramètres!$A$1:$I$89,5,0)</f>
        <v>242.96063999999993</v>
      </c>
      <c r="BF85" s="14">
        <f t="shared" si="91"/>
        <v>59.076071351835715</v>
      </c>
      <c r="BG85" s="22">
        <f t="shared" si="61"/>
        <v>526.04727227111368</v>
      </c>
      <c r="BH85" s="60">
        <f t="shared" si="62"/>
        <v>819.38060560444706</v>
      </c>
      <c r="BI85" s="60">
        <f ca="1">AVERAGE(OFFSET($BH$3,0,0,'Données projet'!$E$11+1,1))-AVERAGE(OFFSET($H$3,0,0,'Données projet'!$E$11+1,1))</f>
        <v>330.39429528665841</v>
      </c>
      <c r="BJ85" s="60">
        <f t="shared" si="92"/>
        <v>186.45728006007261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4.1025641025640995</v>
      </c>
      <c r="BY85" s="13">
        <f>IF('Données projet'!$A$114&gt;35,BY84+BX85-CG84,IF(A85&lt;'Données projet'!$A$114,$BV$205^A85,IF(A85='Données projet'!$A$114,'Données projet'!$B$114,BY84+BX85-CG84)))</f>
        <v>263.97435897435901</v>
      </c>
      <c r="BZ85" s="14">
        <f>BY85*VLOOKUP('Données projet'!$B$12,Paramètres!$A$1:$I$89,3,0)*VLOOKUP('Données projet'!$B$12,Paramètres!$A$1:$I$89,5,0)</f>
        <v>177.07400000000001</v>
      </c>
      <c r="CA85" s="14">
        <f t="shared" si="93"/>
        <v>44.670585441115527</v>
      </c>
      <c r="CB85" s="22">
        <f t="shared" si="64"/>
        <v>386.2051529766095</v>
      </c>
      <c r="CC85" s="60">
        <f t="shared" si="65"/>
        <v>679.53848630994275</v>
      </c>
      <c r="CD85" s="60">
        <f ca="1">AVERAGE(OFFSET($CC$3,0,0,'Données projet'!$E$12+1,1))-AVERAGE(OFFSET($H$3,0,0,'Données projet'!$E$12+1,1))</f>
        <v>212.33913923444732</v>
      </c>
      <c r="CE85" s="60">
        <f t="shared" si="94"/>
        <v>183.51194426094372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2.6</v>
      </c>
      <c r="CT85" s="13">
        <f>IF('Données projet'!$A$140&gt;35,CT84+CS85-DB84,IF(A85&lt;'Données projet'!$A$140,$CQ$205^A85,IF(A85='Données projet'!$A$140,'Données projet'!$B$140,CT84+CS85-DB84)))</f>
        <v>216.19999999999962</v>
      </c>
      <c r="CU85" s="18">
        <f>CT85*VLOOKUP('Données projet'!$B$13,Paramètres!$A$1:$I$89,3,0)*VLOOKUP('Données projet'!$B$13,Paramètres!$A$1:$I$89,5,0)</f>
        <v>188.87231999999969</v>
      </c>
      <c r="CV85" s="14">
        <f t="shared" si="95"/>
        <v>47.290552503862806</v>
      </c>
      <c r="CW85" s="22">
        <f t="shared" si="67"/>
        <v>411.31700294422717</v>
      </c>
      <c r="CX85" s="60">
        <f t="shared" si="68"/>
        <v>704.65033627756043</v>
      </c>
      <c r="CY85" s="60">
        <f ca="1">AVERAGE(OFFSET($CX$3,0,0,'Données projet'!$E$13+1,1))-AVERAGE(OFFSET($H$3,0,0,'Données projet'!$E$13+1,1))</f>
        <v>228.0393346366489</v>
      </c>
      <c r="CZ85" s="60">
        <f t="shared" si="96"/>
        <v>238.591781509447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5.6</v>
      </c>
      <c r="DO85" s="13">
        <f>IF('Données projet'!$A$166&gt;35,DO84+DN85-DW84,IF(A85&lt;'Données projet'!$A$166,$DL$205^A85,IF(A85='Données projet'!$A$166,'Données projet'!$B$166,DO84+DN85-DW84)))</f>
        <v>251.1999999999999</v>
      </c>
      <c r="DP85" s="18">
        <f>DO85*VLOOKUP('Données projet'!$B$14,Paramètres!$A$1:$I$89,3,0)*VLOOKUP('Données projet'!$B$14,Paramètres!$A$1:$I$89,5,0)</f>
        <v>227.28575999999993</v>
      </c>
      <c r="DQ85" s="14">
        <f t="shared" si="97"/>
        <v>55.695394520076327</v>
      </c>
      <c r="DR85" s="22">
        <f t="shared" si="70"/>
        <v>492.85884412246605</v>
      </c>
      <c r="DS85" s="60">
        <f t="shared" si="71"/>
        <v>786.19217745579931</v>
      </c>
      <c r="DT85" s="60">
        <f ca="1">AVERAGE(OFFSET($DS$3,0,0,'Données projet'!$E$14+1,1))-AVERAGE(OFFSET($H$3,0,0,'Données projet'!$E$14+1,1))</f>
        <v>303.73499739059076</v>
      </c>
      <c r="DU85" s="60">
        <f t="shared" si="98"/>
        <v>172.32171001882188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1.1368683772161603E-13</v>
      </c>
      <c r="EK85" s="18">
        <f>EJ85*VLOOKUP('Données projet'!$B$15,Paramètres!$A$1:$I$89,3,0)*VLOOKUP('Données projet'!$B$15,Paramètres!$A$1:$I$89,5,0)</f>
        <v>6.7984728957526396E-14</v>
      </c>
      <c r="EL85" s="14">
        <f t="shared" si="99"/>
        <v>1.0682447123141398E-12</v>
      </c>
      <c r="EM85" s="22">
        <f t="shared" si="73"/>
        <v>1.978932943548152E-12</v>
      </c>
      <c r="EN85" s="60">
        <f t="shared" si="74"/>
        <v>293.3333333333353</v>
      </c>
      <c r="EO85" s="60">
        <f ca="1">AVERAGE(OFFSET($EN$3,0,0,'Données projet'!$E$15+1,1))-AVERAGE(OFFSET($H$3,0,0,'Données projet'!$E$15+1,1))</f>
        <v>269.94948820700841</v>
      </c>
      <c r="EP85" s="60">
        <f t="shared" si="100"/>
        <v>183.45158355135192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3.2295350002677674</v>
      </c>
      <c r="EX85" s="23">
        <f>EXP(-LN(2)/2)*EX84+(1-EXP(-LN(2)/2))/(LN(2)/2)*ER85*EU85*VLOOKUP('Données projet'!$B$15,Paramètres!$A$1:$I$89,3,0)*0.475*44/12</f>
        <v>8.4013218961366668E-8</v>
      </c>
      <c r="EY85" s="24">
        <f t="shared" si="75"/>
        <v>3.2295350842809865</v>
      </c>
      <c r="EZ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6.25</v>
      </c>
      <c r="FE85" s="13">
        <f>IF('Données projet'!$A$218&gt;35,FE84+FD85-FM84,IF(A85&lt;'Données projet'!$A$218,$FB$205^A85,IF(A85='Données projet'!$A$218,'Données projet'!$B$218,FE84+FD85-FM84)))</f>
        <v>237.25000000000003</v>
      </c>
      <c r="FF85" s="18">
        <f>FE85*VLOOKUP('Données projet'!$B$16,Paramètres!$A$1:$I$89,3,0)*VLOOKUP('Données projet'!$B$16,Paramètres!$A$1:$I$89,5,0)</f>
        <v>141.87550000000002</v>
      </c>
      <c r="FG85" s="14">
        <f t="shared" si="101"/>
        <v>36.726322879934969</v>
      </c>
      <c r="FH85" s="22">
        <f t="shared" si="76"/>
        <v>311.06484151588677</v>
      </c>
      <c r="FI85" s="60">
        <f t="shared" si="77"/>
        <v>604.39817484922014</v>
      </c>
      <c r="FJ85" s="60">
        <f ca="1">AVERAGE(OFFSET($FI$3,0,0,'Données projet'!$E$16+1,1))-AVERAGE(OFFSET($H$3,0,0,'Données projet'!$E$16+1,1))</f>
        <v>111.24788725253484</v>
      </c>
      <c r="FK85" s="60">
        <f t="shared" si="102"/>
        <v>82.434879813357327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projet'!$B$16,Paramètres!$A$1:$I$89,3,0)*0.475*44/12</f>
        <v>0</v>
      </c>
      <c r="FR85" s="23">
        <f>EXP(-LN(2)/25)*FR84+(1-EXP(-LN(2)/25))/(LN(2)/25)*Calculateur!FM85*Calculateur!FO85*VLOOKUP('Données projet'!$B$16,Paramètres!$A$1:$I$89,3,0)*0.475*44/12</f>
        <v>0</v>
      </c>
      <c r="FS85" s="23">
        <f>EXP(-LN(2)/2)*FS84+(1-EXP(-LN(2)/2))/(LN(2)/2)*FM85*FP85*VLOOKUP('Données projet'!$B$16,Paramètres!$A$1:$I$89,3,0)*0.475*44/12</f>
        <v>0</v>
      </c>
      <c r="FT85" s="24">
        <f t="shared" si="78"/>
        <v>0</v>
      </c>
      <c r="FU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1.0231815394945443E-12</v>
      </c>
      <c r="GA85" s="18">
        <f>FZ85*VLOOKUP('Données projet'!$B$17,Paramètres!$A$1:$I$89,3,0)*VLOOKUP('Données projet'!$B$17,Paramètres!$A$1:$I$89,5,0)</f>
        <v>4.5224624045658859E-13</v>
      </c>
      <c r="GB85" s="14">
        <f t="shared" si="103"/>
        <v>5.6995607121061449E-12</v>
      </c>
      <c r="GC85" s="22">
        <f t="shared" si="79"/>
        <v>1.0714397109046761E-11</v>
      </c>
      <c r="GD85" s="60">
        <f t="shared" si="80"/>
        <v>293.333333333344</v>
      </c>
      <c r="GE85" s="60">
        <f ca="1">AVERAGE(OFFSET($GD$3,0,0,'Données projet'!$E$17+1,1))-AVERAGE(OFFSET($H$3,0,0,'Données projet'!$E$17+1,1))</f>
        <v>323.56667371063662</v>
      </c>
      <c r="GF85" s="60">
        <f t="shared" si="104"/>
        <v>275.70373467723385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>
        <f>EXP(-LN(2)/35)*GL84+(1-EXP(-LN(2)/35))/(LN(2)/35)*GH85*GI85*VLOOKUP('Données projet'!$B$17,Paramètres!$A$1:$I$89,3,0)*0.475*44/12</f>
        <v>0</v>
      </c>
      <c r="GM85" s="23">
        <f>EXP(-LN(2)/25)*GM84+(1-EXP(-LN(2)/25))/(LN(2)/25)*Calculateur!GH85*Calculateur!GJ85*VLOOKUP('Données projet'!$B$17,Paramètres!$A$1:$I$89,3,0)*0.475*44/12</f>
        <v>0</v>
      </c>
      <c r="GN85" s="23">
        <f>EXP(-LN(2)/2)*GN84+(1-EXP(-LN(2)/2))/(LN(2)/2)*GH85*GK85*VLOOKUP('Données projet'!$B$17,Paramètres!$A$1:$I$89,3,0)*0.475*44/12</f>
        <v>0</v>
      </c>
      <c r="GO85" s="23">
        <f t="shared" si="81"/>
        <v>0</v>
      </c>
      <c r="GP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0" t="e">
        <f t="shared" si="83"/>
        <v>#N/A</v>
      </c>
      <c r="GZ85" s="60" t="e">
        <f ca="1">AVERAGE(OFFSET($GY$3,0,0,'Données projet'!$E$18+1,1))-AVERAGE(OFFSET($H$3,0,0,'Données projet'!$E$18+1,1))</f>
        <v>#N/A</v>
      </c>
      <c r="HA85" s="60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4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2">
        <f t="shared" si="86"/>
        <v>13.397781365483624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-1.1368683772161603E-13</v>
      </c>
      <c r="O86" s="14">
        <f>N86*VLOOKUP('Données projet'!$B$9,Paramètres!$A$1:$I$89,3,0)*VLOOKUP('Données projet'!$B$9,Paramètres!$A$1:$I$89,5,0)</f>
        <v>-6.7984728957526396E-14</v>
      </c>
      <c r="P86" s="14" t="e">
        <f t="shared" si="87"/>
        <v>#NUM!</v>
      </c>
      <c r="Q86" s="22" t="e">
        <f t="shared" si="54"/>
        <v>#NUM!</v>
      </c>
      <c r="R86" s="60" t="e">
        <f t="shared" si="55"/>
        <v>#NUM!</v>
      </c>
      <c r="S86" s="60">
        <f ca="1">AVERAGE(OFFSET($R$3,0,0,'Données projet'!$E$9+1,1))-AVERAGE(OFFSET($H$3,0,0,'Données projet'!$E$9+1,1))</f>
        <v>235.63766249714581</v>
      </c>
      <c r="T86" s="60">
        <f t="shared" si="88"/>
        <v>231.3297293785277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4.0165919751236165</v>
      </c>
      <c r="AA86" s="23">
        <f>EXP(-LN(2)/25)*AA85+(1-EXP(-LN(2)/25))/(LN(2)/25)*Calculateur!V86*Calculateur!X86*VLOOKUP('Données projet'!$B$9,Paramètres!$A$1:$I$89,3,0)*0.475*44/12</f>
        <v>3.9772701093747624</v>
      </c>
      <c r="AB86" s="23">
        <f>EXP(-LN(2)/2)*AB85+(1-EXP(-LN(2)/2))/(LN(2)/2)*V86*Y86*VLOOKUP('Données projet'!$B$9,Paramètres!$A$1:$I$89,3,0)*0.475*44/12</f>
        <v>7.4941649806957298E-8</v>
      </c>
      <c r="AC86" s="24">
        <f t="shared" si="57"/>
        <v>7.9938621594400292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5.6</v>
      </c>
      <c r="AI86" s="14">
        <f>IF('Données projet'!$A$62&gt;35,AI85+AH86-AQ85,IF(A86&lt;'Données projet'!$A$62,$AF$205^A86,IF(A86='Données projet'!$A$62,'Données projet'!$B$62,AI85+AH86-AQ85)))</f>
        <v>256.7999999999999</v>
      </c>
      <c r="AJ86" s="14">
        <f>AI86*VLOOKUP('Données projet'!$B$10,Paramètres!$A$1:$I$89,3,0)*VLOOKUP('Données projet'!$B$10,Paramètres!$A$1:$I$89,5,0)</f>
        <v>260.39519999999987</v>
      </c>
      <c r="AK86" s="14">
        <f t="shared" si="89"/>
        <v>62.806611177714331</v>
      </c>
      <c r="AL86" s="22">
        <f t="shared" si="58"/>
        <v>562.90982113451889</v>
      </c>
      <c r="AM86" s="60">
        <f t="shared" si="59"/>
        <v>856.24315446785226</v>
      </c>
      <c r="AN86" s="60">
        <f ca="1">AVERAGE(OFFSET($AM$3,0,0,'Données projet'!$E$10+1,1))-AVERAGE(OFFSET($H$3,0,0,'Données projet'!$E$10+1,1))</f>
        <v>350.3652766444938</v>
      </c>
      <c r="AO86" s="60">
        <f t="shared" si="90"/>
        <v>197.04549436738586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6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5.6</v>
      </c>
      <c r="BD86" s="13">
        <f>IF('Données projet'!$A$88&gt;35,BD85+BC86-BL85,IF(A86&lt;'Données projet'!$A$88,$BA$205^A86,IF(A86='Données projet'!$A$88,'Données projet'!$B$88,BD85+BC86-BL85)))</f>
        <v>256.7999999999999</v>
      </c>
      <c r="BE86" s="14">
        <f>BD86*VLOOKUP('Données projet'!$B$11,Paramètres!$A$1:$I$89,3,0)*VLOOKUP('Données projet'!$B$11,Paramètres!$A$1:$I$89,5,0)</f>
        <v>248.37695999999988</v>
      </c>
      <c r="BF86" s="14">
        <f t="shared" si="91"/>
        <v>60.238259626372319</v>
      </c>
      <c r="BG86" s="22">
        <f t="shared" si="61"/>
        <v>537.50484084926495</v>
      </c>
      <c r="BH86" s="60">
        <f t="shared" si="62"/>
        <v>830.83817418259832</v>
      </c>
      <c r="BI86" s="60">
        <f ca="1">AVERAGE(OFFSET($BH$3,0,0,'Données projet'!$E$11+1,1))-AVERAGE(OFFSET($H$3,0,0,'Données projet'!$E$11+1,1))</f>
        <v>330.39429528665841</v>
      </c>
      <c r="BJ86" s="60">
        <f t="shared" si="92"/>
        <v>186.45728006007261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4.1025641025640995</v>
      </c>
      <c r="BY86" s="13">
        <f>IF('Données projet'!$A$114&gt;35,BY85+BX86-CG85,IF(A86&lt;'Données projet'!$A$114,$BV$205^A86,IF(A86='Données projet'!$A$114,'Données projet'!$B$114,BY85+BX86-CG85)))</f>
        <v>268.07692307692309</v>
      </c>
      <c r="BZ86" s="14">
        <f>BY86*VLOOKUP('Données projet'!$B$12,Paramètres!$A$1:$I$89,3,0)*VLOOKUP('Données projet'!$B$12,Paramètres!$A$1:$I$89,5,0)</f>
        <v>179.82600000000002</v>
      </c>
      <c r="CA86" s="14">
        <f t="shared" si="93"/>
        <v>45.283472193614408</v>
      </c>
      <c r="CB86" s="22">
        <f t="shared" si="64"/>
        <v>392.06566407054515</v>
      </c>
      <c r="CC86" s="60">
        <f t="shared" si="65"/>
        <v>685.39899740387841</v>
      </c>
      <c r="CD86" s="60">
        <f ca="1">AVERAGE(OFFSET($CC$3,0,0,'Données projet'!$E$12+1,1))-AVERAGE(OFFSET($H$3,0,0,'Données projet'!$E$12+1,1))</f>
        <v>212.33913923444732</v>
      </c>
      <c r="CE86" s="60">
        <f t="shared" si="94"/>
        <v>183.51194426094372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2.6</v>
      </c>
      <c r="CT86" s="13">
        <f>IF('Données projet'!$A$140&gt;35,CT85+CS86-DB85,IF(A86&lt;'Données projet'!$A$140,$CQ$205^A86,IF(A86='Données projet'!$A$140,'Données projet'!$B$140,CT85+CS86-DB85)))</f>
        <v>218.79999999999961</v>
      </c>
      <c r="CU86" s="18">
        <f>CT86*VLOOKUP('Données projet'!$B$13,Paramètres!$A$1:$I$89,3,0)*VLOOKUP('Données projet'!$B$13,Paramètres!$A$1:$I$89,5,0)</f>
        <v>191.14367999999968</v>
      </c>
      <c r="CV86" s="14">
        <f t="shared" si="95"/>
        <v>47.792715878069501</v>
      </c>
      <c r="CW86" s="22">
        <f t="shared" si="67"/>
        <v>416.1475561543038</v>
      </c>
      <c r="CX86" s="60">
        <f t="shared" si="68"/>
        <v>709.48088948763711</v>
      </c>
      <c r="CY86" s="60">
        <f ca="1">AVERAGE(OFFSET($CX$3,0,0,'Données projet'!$E$13+1,1))-AVERAGE(OFFSET($H$3,0,0,'Données projet'!$E$13+1,1))</f>
        <v>228.0393346366489</v>
      </c>
      <c r="CZ86" s="60">
        <f t="shared" si="96"/>
        <v>238.591781509447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5.6</v>
      </c>
      <c r="DO86" s="13">
        <f>IF('Données projet'!$A$166&gt;35,DO85+DN86-DW85,IF(A86&lt;'Données projet'!$A$166,$DL$205^A86,IF(A86='Données projet'!$A$166,'Données projet'!$B$166,DO85+DN86-DW85)))</f>
        <v>256.7999999999999</v>
      </c>
      <c r="DP86" s="18">
        <f>DO86*VLOOKUP('Données projet'!$B$14,Paramètres!$A$1:$I$89,3,0)*VLOOKUP('Données projet'!$B$14,Paramètres!$A$1:$I$89,5,0)</f>
        <v>232.35263999999989</v>
      </c>
      <c r="DQ86" s="14">
        <f t="shared" si="97"/>
        <v>56.791075613550255</v>
      </c>
      <c r="DR86" s="22">
        <f t="shared" si="70"/>
        <v>503.59197136026643</v>
      </c>
      <c r="DS86" s="60">
        <f t="shared" si="71"/>
        <v>796.92530469359974</v>
      </c>
      <c r="DT86" s="60">
        <f ca="1">AVERAGE(OFFSET($DS$3,0,0,'Données projet'!$E$14+1,1))-AVERAGE(OFFSET($H$3,0,0,'Données projet'!$E$14+1,1))</f>
        <v>303.73499739059076</v>
      </c>
      <c r="DU86" s="60">
        <f t="shared" si="98"/>
        <v>172.32171001882188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1.1368683772161603E-13</v>
      </c>
      <c r="EK86" s="18">
        <f>EJ86*VLOOKUP('Données projet'!$B$15,Paramètres!$A$1:$I$89,3,0)*VLOOKUP('Données projet'!$B$15,Paramètres!$A$1:$I$89,5,0)</f>
        <v>6.7984728957526396E-14</v>
      </c>
      <c r="EL86" s="14">
        <f t="shared" si="99"/>
        <v>1.0682447123141398E-12</v>
      </c>
      <c r="EM86" s="22">
        <f t="shared" si="73"/>
        <v>1.978932943548152E-12</v>
      </c>
      <c r="EN86" s="60">
        <f t="shared" si="74"/>
        <v>293.3333333333353</v>
      </c>
      <c r="EO86" s="60">
        <f ca="1">AVERAGE(OFFSET($EN$3,0,0,'Données projet'!$E$15+1,1))-AVERAGE(OFFSET($H$3,0,0,'Données projet'!$E$15+1,1))</f>
        <v>269.94948820700841</v>
      </c>
      <c r="EP86" s="60">
        <f t="shared" si="100"/>
        <v>183.45158355135192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3.1412231958515808</v>
      </c>
      <c r="EX86" s="23">
        <f>EXP(-LN(2)/2)*EX85+(1-EXP(-LN(2)/2))/(LN(2)/2)*ER86*EU86*VLOOKUP('Données projet'!$B$15,Paramètres!$A$1:$I$89,3,0)*0.475*44/12</f>
        <v>5.940631683689261E-8</v>
      </c>
      <c r="EY86" s="24">
        <f t="shared" si="75"/>
        <v>3.1412232552578976</v>
      </c>
      <c r="EZ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6.25</v>
      </c>
      <c r="FE86" s="13">
        <f>IF('Données projet'!$A$218&gt;35,FE85+FD86-FM85,IF(A86&lt;'Données projet'!$A$218,$FB$205^A86,IF(A86='Données projet'!$A$218,'Données projet'!$B$218,FE85+FD86-FM85)))</f>
        <v>243.50000000000003</v>
      </c>
      <c r="FF86" s="18">
        <f>FE86*VLOOKUP('Données projet'!$B$16,Paramètres!$A$1:$I$89,3,0)*VLOOKUP('Données projet'!$B$16,Paramètres!$A$1:$I$89,5,0)</f>
        <v>145.61300000000003</v>
      </c>
      <c r="FG86" s="14">
        <f t="shared" si="101"/>
        <v>37.579908384199904</v>
      </c>
      <c r="FH86" s="22">
        <f t="shared" si="76"/>
        <v>319.06098210248155</v>
      </c>
      <c r="FI86" s="60">
        <f t="shared" si="77"/>
        <v>612.39431543581486</v>
      </c>
      <c r="FJ86" s="60">
        <f ca="1">AVERAGE(OFFSET($FI$3,0,0,'Données projet'!$E$16+1,1))-AVERAGE(OFFSET($H$3,0,0,'Données projet'!$E$16+1,1))</f>
        <v>111.24788725253484</v>
      </c>
      <c r="FK86" s="60">
        <f t="shared" si="102"/>
        <v>82.434879813357327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projet'!$B$16,Paramètres!$A$1:$I$89,3,0)*0.475*44/12</f>
        <v>0</v>
      </c>
      <c r="FR86" s="23">
        <f>EXP(-LN(2)/25)*FR85+(1-EXP(-LN(2)/25))/(LN(2)/25)*Calculateur!FM86*Calculateur!FO86*VLOOKUP('Données projet'!$B$16,Paramètres!$A$1:$I$89,3,0)*0.475*44/12</f>
        <v>0</v>
      </c>
      <c r="FS86" s="23">
        <f>EXP(-LN(2)/2)*FS85+(1-EXP(-LN(2)/2))/(LN(2)/2)*FM86*FP86*VLOOKUP('Données projet'!$B$16,Paramètres!$A$1:$I$89,3,0)*0.475*44/12</f>
        <v>0</v>
      </c>
      <c r="FT86" s="24">
        <f t="shared" si="78"/>
        <v>0</v>
      </c>
      <c r="FU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1.0231815394945443E-12</v>
      </c>
      <c r="GA86" s="18">
        <f>FZ86*VLOOKUP('Données projet'!$B$17,Paramètres!$A$1:$I$89,3,0)*VLOOKUP('Données projet'!$B$17,Paramètres!$A$1:$I$89,5,0)</f>
        <v>4.5224624045658859E-13</v>
      </c>
      <c r="GB86" s="14">
        <f t="shared" si="103"/>
        <v>5.6995607121061449E-12</v>
      </c>
      <c r="GC86" s="22">
        <f t="shared" si="79"/>
        <v>1.0714397109046761E-11</v>
      </c>
      <c r="GD86" s="60">
        <f t="shared" si="80"/>
        <v>293.333333333344</v>
      </c>
      <c r="GE86" s="60">
        <f ca="1">AVERAGE(OFFSET($GD$3,0,0,'Données projet'!$E$17+1,1))-AVERAGE(OFFSET($H$3,0,0,'Données projet'!$E$17+1,1))</f>
        <v>323.56667371063662</v>
      </c>
      <c r="GF86" s="60">
        <f t="shared" si="104"/>
        <v>275.70373467723385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>
        <f>EXP(-LN(2)/35)*GL85+(1-EXP(-LN(2)/35))/(LN(2)/35)*GH86*GI86*VLOOKUP('Données projet'!$B$17,Paramètres!$A$1:$I$89,3,0)*0.475*44/12</f>
        <v>0</v>
      </c>
      <c r="GM86" s="23">
        <f>EXP(-LN(2)/25)*GM85+(1-EXP(-LN(2)/25))/(LN(2)/25)*Calculateur!GH86*Calculateur!GJ86*VLOOKUP('Données projet'!$B$17,Paramètres!$A$1:$I$89,3,0)*0.475*44/12</f>
        <v>0</v>
      </c>
      <c r="GN86" s="23">
        <f>EXP(-LN(2)/2)*GN85+(1-EXP(-LN(2)/2))/(LN(2)/2)*GH86*GK86*VLOOKUP('Données projet'!$B$17,Paramètres!$A$1:$I$89,3,0)*0.475*44/12</f>
        <v>0</v>
      </c>
      <c r="GO86" s="23">
        <f t="shared" si="81"/>
        <v>0</v>
      </c>
      <c r="GP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0" t="e">
        <f t="shared" si="83"/>
        <v>#N/A</v>
      </c>
      <c r="GZ86" s="60" t="e">
        <f ca="1">AVERAGE(OFFSET($GY$3,0,0,'Données projet'!$E$18+1,1))-AVERAGE(OFFSET($H$3,0,0,'Données projet'!$E$18+1,1))</f>
        <v>#N/A</v>
      </c>
      <c r="HA86" s="60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4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2">
        <f t="shared" si="86"/>
        <v>13.540311673175388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-1.1368683772161603E-13</v>
      </c>
      <c r="O87" s="14">
        <f>N87*VLOOKUP('Données projet'!$B$9,Paramètres!$A$1:$I$89,3,0)*VLOOKUP('Données projet'!$B$9,Paramètres!$A$1:$I$89,5,0)</f>
        <v>-6.7984728957526396E-14</v>
      </c>
      <c r="P87" s="14" t="e">
        <f t="shared" si="87"/>
        <v>#NUM!</v>
      </c>
      <c r="Q87" s="22" t="e">
        <f t="shared" si="54"/>
        <v>#NUM!</v>
      </c>
      <c r="R87" s="60" t="e">
        <f t="shared" si="55"/>
        <v>#NUM!</v>
      </c>
      <c r="S87" s="60">
        <f ca="1">AVERAGE(OFFSET($R$3,0,0,'Données projet'!$E$9+1,1))-AVERAGE(OFFSET($H$3,0,0,'Données projet'!$E$9+1,1))</f>
        <v>235.63766249714581</v>
      </c>
      <c r="T87" s="60">
        <f t="shared" si="88"/>
        <v>231.3297293785277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3.9378290563706417</v>
      </c>
      <c r="AA87" s="23">
        <f>EXP(-LN(2)/25)*AA86+(1-EXP(-LN(2)/25))/(LN(2)/25)*Calculateur!V87*Calculateur!X87*VLOOKUP('Données projet'!$B$9,Paramètres!$A$1:$I$89,3,0)*0.475*44/12</f>
        <v>3.8685114490783645</v>
      </c>
      <c r="AB87" s="23">
        <f>EXP(-LN(2)/2)*AB86+(1-EXP(-LN(2)/2))/(LN(2)/2)*V87*Y87*VLOOKUP('Données projet'!$B$9,Paramètres!$A$1:$I$89,3,0)*0.475*44/12</f>
        <v>5.2991748771807026E-8</v>
      </c>
      <c r="AC87" s="24">
        <f t="shared" si="57"/>
        <v>7.8063405584407546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5.6</v>
      </c>
      <c r="AI87" s="14">
        <f>IF('Données projet'!$A$62&gt;35,AI86+AH87-AQ86,IF(A87&lt;'Données projet'!$A$62,$AF$205^A87,IF(A87='Données projet'!$A$62,'Données projet'!$B$62,AI86+AH87-AQ86)))</f>
        <v>262.39999999999992</v>
      </c>
      <c r="AJ87" s="14">
        <f>AI87*VLOOKUP('Données projet'!$B$10,Paramètres!$A$1:$I$89,3,0)*VLOOKUP('Données projet'!$B$10,Paramètres!$A$1:$I$89,5,0)</f>
        <v>266.07359999999994</v>
      </c>
      <c r="AK87" s="14">
        <f t="shared" si="89"/>
        <v>64.015279012301136</v>
      </c>
      <c r="AL87" s="22">
        <f t="shared" si="58"/>
        <v>574.90479761309098</v>
      </c>
      <c r="AM87" s="60">
        <f t="shared" si="59"/>
        <v>868.23813094642423</v>
      </c>
      <c r="AN87" s="60">
        <f ca="1">AVERAGE(OFFSET($AM$3,0,0,'Données projet'!$E$10+1,1))-AVERAGE(OFFSET($H$3,0,0,'Données projet'!$E$10+1,1))</f>
        <v>350.3652766444938</v>
      </c>
      <c r="AO87" s="60">
        <f t="shared" si="90"/>
        <v>197.04549436738586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6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5.6</v>
      </c>
      <c r="BD87" s="13">
        <f>IF('Données projet'!$A$88&gt;35,BD86+BC87-BL86,IF(A87&lt;'Données projet'!$A$88,$BA$205^A87,IF(A87='Données projet'!$A$88,'Données projet'!$B$88,BD86+BC87-BL86)))</f>
        <v>262.39999999999992</v>
      </c>
      <c r="BE87" s="14">
        <f>BD87*VLOOKUP('Données projet'!$B$11,Paramètres!$A$1:$I$89,3,0)*VLOOKUP('Données projet'!$B$11,Paramètres!$A$1:$I$89,5,0)</f>
        <v>253.79327999999995</v>
      </c>
      <c r="BF87" s="14">
        <f t="shared" si="91"/>
        <v>61.39750139179521</v>
      </c>
      <c r="BG87" s="22">
        <f t="shared" si="61"/>
        <v>548.95727759070985</v>
      </c>
      <c r="BH87" s="60">
        <f t="shared" si="62"/>
        <v>842.29061092404322</v>
      </c>
      <c r="BI87" s="60">
        <f ca="1">AVERAGE(OFFSET($BH$3,0,0,'Données projet'!$E$11+1,1))-AVERAGE(OFFSET($H$3,0,0,'Données projet'!$E$11+1,1))</f>
        <v>330.39429528665841</v>
      </c>
      <c r="BJ87" s="60">
        <f t="shared" si="92"/>
        <v>186.45728006007261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4.1025641025640995</v>
      </c>
      <c r="BY87" s="13">
        <f>IF('Données projet'!$A$114&gt;35,BY86+BX87-CG86,IF(A87&lt;'Données projet'!$A$114,$BV$205^A87,IF(A87='Données projet'!$A$114,'Données projet'!$B$114,BY86+BX87-CG86)))</f>
        <v>272.17948717948718</v>
      </c>
      <c r="BZ87" s="14">
        <f>BY87*VLOOKUP('Données projet'!$B$12,Paramètres!$A$1:$I$89,3,0)*VLOOKUP('Données projet'!$B$12,Paramètres!$A$1:$I$89,5,0)</f>
        <v>182.578</v>
      </c>
      <c r="CA87" s="14">
        <f t="shared" si="93"/>
        <v>45.895268107941853</v>
      </c>
      <c r="CB87" s="22">
        <f t="shared" si="64"/>
        <v>397.9242752879988</v>
      </c>
      <c r="CC87" s="60">
        <f t="shared" si="65"/>
        <v>691.25760862133211</v>
      </c>
      <c r="CD87" s="60">
        <f ca="1">AVERAGE(OFFSET($CC$3,0,0,'Données projet'!$E$12+1,1))-AVERAGE(OFFSET($H$3,0,0,'Données projet'!$E$12+1,1))</f>
        <v>212.33913923444732</v>
      </c>
      <c r="CE87" s="60">
        <f t="shared" si="94"/>
        <v>183.51194426094372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2.6</v>
      </c>
      <c r="CT87" s="13">
        <f>IF('Données projet'!$A$140&gt;35,CT86+CS87-DB86,IF(A87&lt;'Données projet'!$A$140,$CQ$205^A87,IF(A87='Données projet'!$A$140,'Données projet'!$B$140,CT86+CS87-DB86)))</f>
        <v>221.39999999999961</v>
      </c>
      <c r="CU87" s="18">
        <f>CT87*VLOOKUP('Données projet'!$B$13,Paramètres!$A$1:$I$89,3,0)*VLOOKUP('Données projet'!$B$13,Paramètres!$A$1:$I$89,5,0)</f>
        <v>193.41503999999969</v>
      </c>
      <c r="CV87" s="14">
        <f t="shared" si="95"/>
        <v>48.294185132315029</v>
      </c>
      <c r="CW87" s="22">
        <f t="shared" si="67"/>
        <v>420.97690043878146</v>
      </c>
      <c r="CX87" s="60">
        <f t="shared" si="68"/>
        <v>714.31023377211477</v>
      </c>
      <c r="CY87" s="60">
        <f ca="1">AVERAGE(OFFSET($CX$3,0,0,'Données projet'!$E$13+1,1))-AVERAGE(OFFSET($H$3,0,0,'Données projet'!$E$13+1,1))</f>
        <v>228.0393346366489</v>
      </c>
      <c r="CZ87" s="60">
        <f t="shared" si="96"/>
        <v>238.591781509447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5.6</v>
      </c>
      <c r="DO87" s="13">
        <f>IF('Données projet'!$A$166&gt;35,DO86+DN87-DW86,IF(A87&lt;'Données projet'!$A$166,$DL$205^A87,IF(A87='Données projet'!$A$166,'Données projet'!$B$166,DO86+DN87-DW86)))</f>
        <v>262.39999999999992</v>
      </c>
      <c r="DP87" s="18">
        <f>DO87*VLOOKUP('Données projet'!$B$14,Paramètres!$A$1:$I$89,3,0)*VLOOKUP('Données projet'!$B$14,Paramètres!$A$1:$I$89,5,0)</f>
        <v>237.41951999999992</v>
      </c>
      <c r="DQ87" s="14">
        <f t="shared" si="97"/>
        <v>57.883978814320919</v>
      </c>
      <c r="DR87" s="22">
        <f t="shared" si="70"/>
        <v>514.32026043494204</v>
      </c>
      <c r="DS87" s="60">
        <f t="shared" si="71"/>
        <v>807.65359376827541</v>
      </c>
      <c r="DT87" s="60">
        <f ca="1">AVERAGE(OFFSET($DS$3,0,0,'Données projet'!$E$14+1,1))-AVERAGE(OFFSET($H$3,0,0,'Données projet'!$E$14+1,1))</f>
        <v>303.73499739059076</v>
      </c>
      <c r="DU87" s="60">
        <f t="shared" si="98"/>
        <v>172.32171001882188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1.1368683772161603E-13</v>
      </c>
      <c r="EK87" s="18">
        <f>EJ87*VLOOKUP('Données projet'!$B$15,Paramètres!$A$1:$I$89,3,0)*VLOOKUP('Données projet'!$B$15,Paramètres!$A$1:$I$89,5,0)</f>
        <v>6.7984728957526396E-14</v>
      </c>
      <c r="EL87" s="14">
        <f t="shared" si="99"/>
        <v>1.0682447123141398E-12</v>
      </c>
      <c r="EM87" s="22">
        <f t="shared" si="73"/>
        <v>1.978932943548152E-12</v>
      </c>
      <c r="EN87" s="60">
        <f t="shared" si="74"/>
        <v>293.3333333333353</v>
      </c>
      <c r="EO87" s="60">
        <f ca="1">AVERAGE(OFFSET($EN$3,0,0,'Données projet'!$E$15+1,1))-AVERAGE(OFFSET($H$3,0,0,'Données projet'!$E$15+1,1))</f>
        <v>269.94948820700841</v>
      </c>
      <c r="EP87" s="60">
        <f t="shared" si="100"/>
        <v>183.45158355135192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3.0553262823712708</v>
      </c>
      <c r="EX87" s="23">
        <f>EXP(-LN(2)/2)*EX86+(1-EXP(-LN(2)/2))/(LN(2)/2)*ER87*EU87*VLOOKUP('Données projet'!$B$15,Paramètres!$A$1:$I$89,3,0)*0.475*44/12</f>
        <v>4.2006609480683341E-8</v>
      </c>
      <c r="EY87" s="24">
        <f t="shared" si="75"/>
        <v>3.0553263243778801</v>
      </c>
      <c r="EZ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6.25</v>
      </c>
      <c r="FE87" s="13">
        <f>IF('Données projet'!$A$218&gt;35,FE86+FD87-FM86,IF(A87&lt;'Données projet'!$A$218,$FB$205^A87,IF(A87='Données projet'!$A$218,'Données projet'!$B$218,FE86+FD87-FM86)))</f>
        <v>249.75000000000003</v>
      </c>
      <c r="FF87" s="18">
        <f>FE87*VLOOKUP('Données projet'!$B$16,Paramètres!$A$1:$I$89,3,0)*VLOOKUP('Données projet'!$B$16,Paramètres!$A$1:$I$89,5,0)</f>
        <v>149.35050000000004</v>
      </c>
      <c r="FG87" s="14">
        <f t="shared" si="101"/>
        <v>38.430947158748282</v>
      </c>
      <c r="FH87" s="22">
        <f t="shared" si="76"/>
        <v>327.05268713481996</v>
      </c>
      <c r="FI87" s="60">
        <f t="shared" si="77"/>
        <v>620.38602046815322</v>
      </c>
      <c r="FJ87" s="60">
        <f ca="1">AVERAGE(OFFSET($FI$3,0,0,'Données projet'!$E$16+1,1))-AVERAGE(OFFSET($H$3,0,0,'Données projet'!$E$16+1,1))</f>
        <v>111.24788725253484</v>
      </c>
      <c r="FK87" s="60">
        <f t="shared" si="102"/>
        <v>82.434879813357327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projet'!$B$16,Paramètres!$A$1:$I$89,3,0)*0.475*44/12</f>
        <v>0</v>
      </c>
      <c r="FR87" s="23">
        <f>EXP(-LN(2)/25)*FR86+(1-EXP(-LN(2)/25))/(LN(2)/25)*Calculateur!FM87*Calculateur!FO87*VLOOKUP('Données projet'!$B$16,Paramètres!$A$1:$I$89,3,0)*0.475*44/12</f>
        <v>0</v>
      </c>
      <c r="FS87" s="23">
        <f>EXP(-LN(2)/2)*FS86+(1-EXP(-LN(2)/2))/(LN(2)/2)*FM87*FP87*VLOOKUP('Données projet'!$B$16,Paramètres!$A$1:$I$89,3,0)*0.475*44/12</f>
        <v>0</v>
      </c>
      <c r="FT87" s="24">
        <f t="shared" si="78"/>
        <v>0</v>
      </c>
      <c r="FU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1.0231815394945443E-12</v>
      </c>
      <c r="GA87" s="18">
        <f>FZ87*VLOOKUP('Données projet'!$B$17,Paramètres!$A$1:$I$89,3,0)*VLOOKUP('Données projet'!$B$17,Paramètres!$A$1:$I$89,5,0)</f>
        <v>4.5224624045658859E-13</v>
      </c>
      <c r="GB87" s="14">
        <f t="shared" si="103"/>
        <v>5.6995607121061449E-12</v>
      </c>
      <c r="GC87" s="22">
        <f t="shared" si="79"/>
        <v>1.0714397109046761E-11</v>
      </c>
      <c r="GD87" s="60">
        <f t="shared" si="80"/>
        <v>293.333333333344</v>
      </c>
      <c r="GE87" s="60">
        <f ca="1">AVERAGE(OFFSET($GD$3,0,0,'Données projet'!$E$17+1,1))-AVERAGE(OFFSET($H$3,0,0,'Données projet'!$E$17+1,1))</f>
        <v>323.56667371063662</v>
      </c>
      <c r="GF87" s="60">
        <f t="shared" si="104"/>
        <v>275.70373467723385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>
        <f>EXP(-LN(2)/35)*GL86+(1-EXP(-LN(2)/35))/(LN(2)/35)*GH87*GI87*VLOOKUP('Données projet'!$B$17,Paramètres!$A$1:$I$89,3,0)*0.475*44/12</f>
        <v>0</v>
      </c>
      <c r="GM87" s="23">
        <f>EXP(-LN(2)/25)*GM86+(1-EXP(-LN(2)/25))/(LN(2)/25)*Calculateur!GH87*Calculateur!GJ87*VLOOKUP('Données projet'!$B$17,Paramètres!$A$1:$I$89,3,0)*0.475*44/12</f>
        <v>0</v>
      </c>
      <c r="GN87" s="23">
        <f>EXP(-LN(2)/2)*GN86+(1-EXP(-LN(2)/2))/(LN(2)/2)*GH87*GK87*VLOOKUP('Données projet'!$B$17,Paramètres!$A$1:$I$89,3,0)*0.475*44/12</f>
        <v>0</v>
      </c>
      <c r="GO87" s="23">
        <f t="shared" si="81"/>
        <v>0</v>
      </c>
      <c r="GP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0" t="e">
        <f t="shared" si="83"/>
        <v>#N/A</v>
      </c>
      <c r="GZ87" s="60" t="e">
        <f ca="1">AVERAGE(OFFSET($GY$3,0,0,'Données projet'!$E$18+1,1))-AVERAGE(OFFSET($H$3,0,0,'Données projet'!$E$18+1,1))</f>
        <v>#N/A</v>
      </c>
      <c r="HA87" s="60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4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2">
        <f t="shared" si="86"/>
        <v>13.68264460643392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-1.1368683772161603E-13</v>
      </c>
      <c r="O88" s="14">
        <f>N88*VLOOKUP('Données projet'!$B$9,Paramètres!$A$1:$I$89,3,0)*VLOOKUP('Données projet'!$B$9,Paramètres!$A$1:$I$89,5,0)</f>
        <v>-6.7984728957526396E-14</v>
      </c>
      <c r="P88" s="14" t="e">
        <f t="shared" si="87"/>
        <v>#NUM!</v>
      </c>
      <c r="Q88" s="22" t="e">
        <f t="shared" si="54"/>
        <v>#NUM!</v>
      </c>
      <c r="R88" s="60" t="e">
        <f t="shared" si="55"/>
        <v>#NUM!</v>
      </c>
      <c r="S88" s="60">
        <f ca="1">AVERAGE(OFFSET($R$3,0,0,'Données projet'!$E$9+1,1))-AVERAGE(OFFSET($H$3,0,0,'Données projet'!$E$9+1,1))</f>
        <v>235.63766249714581</v>
      </c>
      <c r="T88" s="60">
        <f t="shared" si="88"/>
        <v>231.3297293785277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3.8606106304137762</v>
      </c>
      <c r="AA88" s="23">
        <f>EXP(-LN(2)/25)*AA87+(1-EXP(-LN(2)/25))/(LN(2)/25)*Calculateur!V88*Calculateur!X88*VLOOKUP('Données projet'!$B$9,Paramètres!$A$1:$I$89,3,0)*0.475*44/12</f>
        <v>3.7627268000671412</v>
      </c>
      <c r="AB88" s="23">
        <f>EXP(-LN(2)/2)*AB87+(1-EXP(-LN(2)/2))/(LN(2)/2)*V88*Y88*VLOOKUP('Données projet'!$B$9,Paramètres!$A$1:$I$89,3,0)*0.475*44/12</f>
        <v>3.7470824903478649E-8</v>
      </c>
      <c r="AC88" s="24">
        <f t="shared" si="57"/>
        <v>7.6233374679517425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5.6</v>
      </c>
      <c r="AI88" s="14">
        <f>IF('Données projet'!$A$62&gt;35,AI87+AH88-AQ87,IF(A88&lt;'Données projet'!$A$62,$AF$205^A88,IF(A88='Données projet'!$A$62,'Données projet'!$B$62,AI87+AH88-AQ87)))</f>
        <v>267.99999999999994</v>
      </c>
      <c r="AJ88" s="14">
        <f>AI88*VLOOKUP('Données projet'!$B$10,Paramètres!$A$1:$I$89,3,0)*VLOOKUP('Données projet'!$B$10,Paramètres!$A$1:$I$89,5,0)</f>
        <v>271.75199999999995</v>
      </c>
      <c r="AK88" s="14">
        <f t="shared" si="89"/>
        <v>65.220947824724931</v>
      </c>
      <c r="AL88" s="22">
        <f t="shared" si="58"/>
        <v>586.89455079472907</v>
      </c>
      <c r="AM88" s="60">
        <f t="shared" si="59"/>
        <v>880.22788412806244</v>
      </c>
      <c r="AN88" s="60">
        <f ca="1">AVERAGE(OFFSET($AM$3,0,0,'Données projet'!$E$10+1,1))-AVERAGE(OFFSET($H$3,0,0,'Données projet'!$E$10+1,1))</f>
        <v>350.3652766444938</v>
      </c>
      <c r="AO88" s="60">
        <f t="shared" si="90"/>
        <v>197.04549436738586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6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5.6</v>
      </c>
      <c r="BD88" s="13">
        <f>IF('Données projet'!$A$88&gt;35,BD87+BC88-BL87,IF(A88&lt;'Données projet'!$A$88,$BA$205^A88,IF(A88='Données projet'!$A$88,'Données projet'!$B$88,BD87+BC88-BL87)))</f>
        <v>267.99999999999994</v>
      </c>
      <c r="BE88" s="14">
        <f>BD88*VLOOKUP('Données projet'!$B$11,Paramètres!$A$1:$I$89,3,0)*VLOOKUP('Données projet'!$B$11,Paramètres!$A$1:$I$89,5,0)</f>
        <v>259.20959999999997</v>
      </c>
      <c r="BF88" s="14">
        <f t="shared" si="91"/>
        <v>62.553866774106702</v>
      </c>
      <c r="BG88" s="22">
        <f t="shared" si="61"/>
        <v>560.40470463156907</v>
      </c>
      <c r="BH88" s="60">
        <f t="shared" si="62"/>
        <v>853.73803796490233</v>
      </c>
      <c r="BI88" s="60">
        <f ca="1">AVERAGE(OFFSET($BH$3,0,0,'Données projet'!$E$11+1,1))-AVERAGE(OFFSET($H$3,0,0,'Données projet'!$E$11+1,1))</f>
        <v>330.39429528665841</v>
      </c>
      <c r="BJ88" s="60">
        <f t="shared" si="92"/>
        <v>186.45728006007261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276.28205128205127</v>
      </c>
      <c r="BW88" s="13">
        <f>VLOOKUP(A88,'Données projet'!$A$113:$I$133,9,0)</f>
        <v>4.1025641025640995</v>
      </c>
      <c r="BX88" s="13">
        <f t="array" ref="BX88">INDEX(BW:BW,MIN(IF(ISNUMBER(BW88:BW284),ROW(BW88:BW284),"")))</f>
        <v>4.1025641025640995</v>
      </c>
      <c r="BY88" s="13">
        <f>IF('Données projet'!$A$114&gt;35,BY87+BX88-CG87,IF(A88&lt;'Données projet'!$A$114,$BV$205^A88,IF(A88='Données projet'!$A$114,'Données projet'!$B$114,BY87+BX88-CG87)))</f>
        <v>276.28205128205127</v>
      </c>
      <c r="BZ88" s="14">
        <f>BY88*VLOOKUP('Données projet'!$B$12,Paramètres!$A$1:$I$89,3,0)*VLOOKUP('Données projet'!$B$12,Paramètres!$A$1:$I$89,5,0)</f>
        <v>185.32999999999998</v>
      </c>
      <c r="CA88" s="14">
        <f t="shared" si="93"/>
        <v>46.505991525491268</v>
      </c>
      <c r="CB88" s="22">
        <f t="shared" si="64"/>
        <v>403.78101857356387</v>
      </c>
      <c r="CC88" s="60">
        <f t="shared" si="65"/>
        <v>697.11435190689713</v>
      </c>
      <c r="CD88" s="60">
        <f ca="1">AVERAGE(OFFSET($CC$3,0,0,'Données projet'!$E$12+1,1))-AVERAGE(OFFSET($H$3,0,0,'Données projet'!$E$12+1,1))</f>
        <v>212.33913923444732</v>
      </c>
      <c r="CE88" s="60">
        <f t="shared" si="94"/>
        <v>183.51194426094372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>
        <f>VLOOKUP(A88,'Données projet'!$A$139:$I$159,2,0)</f>
        <v>224</v>
      </c>
      <c r="CR88" s="13">
        <f>VLOOKUP(A88,'Données projet'!$A$139:$I$159,9,0)</f>
        <v>2.6</v>
      </c>
      <c r="CS88" s="13">
        <f t="array" ref="CS88">INDEX(CR:CR,MIN(IF(ISNUMBER(CR88:CR284),ROW(CR88:CR284),"")))</f>
        <v>2.6</v>
      </c>
      <c r="CT88" s="13">
        <f>IF('Données projet'!$A$140&gt;35,CT87+CS88-DB87,IF(A88&lt;'Données projet'!$A$140,$CQ$205^A88,IF(A88='Données projet'!$A$140,'Données projet'!$B$140,CT87+CS88-DB87)))</f>
        <v>223.9999999999996</v>
      </c>
      <c r="CU88" s="18">
        <f>CT88*VLOOKUP('Données projet'!$B$13,Paramètres!$A$1:$I$89,3,0)*VLOOKUP('Données projet'!$B$13,Paramètres!$A$1:$I$89,5,0)</f>
        <v>195.68639999999968</v>
      </c>
      <c r="CV88" s="14">
        <f t="shared" si="95"/>
        <v>48.794969360985071</v>
      </c>
      <c r="CW88" s="22">
        <f t="shared" si="67"/>
        <v>425.80505163704839</v>
      </c>
      <c r="CX88" s="60">
        <f t="shared" si="68"/>
        <v>719.13838497038171</v>
      </c>
      <c r="CY88" s="60">
        <f ca="1">AVERAGE(OFFSET($CX$3,0,0,'Données projet'!$E$13+1,1))-AVERAGE(OFFSET($H$3,0,0,'Données projet'!$E$13+1,1))</f>
        <v>228.0393346366489</v>
      </c>
      <c r="CZ88" s="60">
        <f t="shared" si="96"/>
        <v>238.591781509447</v>
      </c>
      <c r="DA88" s="16">
        <f>IF(ISNA(VLOOKUP(A88,'Données projet'!$A$139:$I$159,3,0)),0,VLOOKUP(A88,'Données projet'!$A$139:$I$159,3,0))</f>
        <v>7</v>
      </c>
      <c r="DB88" s="16">
        <f>IF(ISNA(VLOOKUP(A88,'Données projet'!$A$139:$I$159,4,0)),0,VLOOKUP(A88,'Données projet'!$A$139:$I$159,4,0))</f>
        <v>24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5.6</v>
      </c>
      <c r="DO88" s="13">
        <f>IF('Données projet'!$A$166&gt;35,DO87+DN88-DW87,IF(A88&lt;'Données projet'!$A$166,$DL$205^A88,IF(A88='Données projet'!$A$166,'Données projet'!$B$166,DO87+DN88-DW87)))</f>
        <v>267.99999999999994</v>
      </c>
      <c r="DP88" s="18">
        <f>DO88*VLOOKUP('Données projet'!$B$14,Paramètres!$A$1:$I$89,3,0)*VLOOKUP('Données projet'!$B$14,Paramètres!$A$1:$I$89,5,0)</f>
        <v>242.48639999999995</v>
      </c>
      <c r="DQ88" s="14">
        <f t="shared" si="97"/>
        <v>58.974170235372419</v>
      </c>
      <c r="DR88" s="22">
        <f t="shared" si="70"/>
        <v>525.04382649327351</v>
      </c>
      <c r="DS88" s="60">
        <f t="shared" si="71"/>
        <v>818.37715982660688</v>
      </c>
      <c r="DT88" s="60">
        <f ca="1">AVERAGE(OFFSET($DS$3,0,0,'Données projet'!$E$14+1,1))-AVERAGE(OFFSET($H$3,0,0,'Données projet'!$E$14+1,1))</f>
        <v>303.73499739059076</v>
      </c>
      <c r="DU88" s="60">
        <f t="shared" si="98"/>
        <v>172.32171001882188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1.1368683772161603E-13</v>
      </c>
      <c r="EK88" s="18">
        <f>EJ88*VLOOKUP('Données projet'!$B$15,Paramètres!$A$1:$I$89,3,0)*VLOOKUP('Données projet'!$B$15,Paramètres!$A$1:$I$89,5,0)</f>
        <v>6.7984728957526396E-14</v>
      </c>
      <c r="EL88" s="14">
        <f t="shared" si="99"/>
        <v>1.0682447123141398E-12</v>
      </c>
      <c r="EM88" s="22">
        <f t="shared" si="73"/>
        <v>1.978932943548152E-12</v>
      </c>
      <c r="EN88" s="60">
        <f t="shared" si="74"/>
        <v>293.3333333333353</v>
      </c>
      <c r="EO88" s="60">
        <f ca="1">AVERAGE(OFFSET($EN$3,0,0,'Données projet'!$E$15+1,1))-AVERAGE(OFFSET($H$3,0,0,'Données projet'!$E$15+1,1))</f>
        <v>269.94948820700841</v>
      </c>
      <c r="EP88" s="60">
        <f t="shared" si="100"/>
        <v>183.45158355135192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2.9717782245072022</v>
      </c>
      <c r="EX88" s="23">
        <f>EXP(-LN(2)/2)*EX87+(1-EXP(-LN(2)/2))/(LN(2)/2)*ER88*EU88*VLOOKUP('Données projet'!$B$15,Paramètres!$A$1:$I$89,3,0)*0.475*44/12</f>
        <v>2.9703158418446309E-8</v>
      </c>
      <c r="EY88" s="24">
        <f t="shared" si="75"/>
        <v>2.9717782542103608</v>
      </c>
      <c r="EZ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6.25</v>
      </c>
      <c r="FE88" s="13">
        <f>IF('Données projet'!$A$218&gt;35,FE87+FD88-FM87,IF(A88&lt;'Données projet'!$A$218,$FB$205^A88,IF(A88='Données projet'!$A$218,'Données projet'!$B$218,FE87+FD88-FM87)))</f>
        <v>256</v>
      </c>
      <c r="FF88" s="18">
        <f>FE88*VLOOKUP('Données projet'!$B$16,Paramètres!$A$1:$I$89,3,0)*VLOOKUP('Données projet'!$B$16,Paramètres!$A$1:$I$89,5,0)</f>
        <v>153.08800000000002</v>
      </c>
      <c r="FG88" s="14">
        <f t="shared" si="101"/>
        <v>39.27951026543515</v>
      </c>
      <c r="FH88" s="22">
        <f t="shared" si="76"/>
        <v>335.04008037896625</v>
      </c>
      <c r="FI88" s="60">
        <f t="shared" si="77"/>
        <v>628.37341371229957</v>
      </c>
      <c r="FJ88" s="60">
        <f ca="1">AVERAGE(OFFSET($FI$3,0,0,'Données projet'!$E$16+1,1))-AVERAGE(OFFSET($H$3,0,0,'Données projet'!$E$16+1,1))</f>
        <v>111.24788725253484</v>
      </c>
      <c r="FK88" s="60">
        <f t="shared" si="102"/>
        <v>82.434879813357327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projet'!$B$16,Paramètres!$A$1:$I$89,3,0)*0.475*44/12</f>
        <v>0</v>
      </c>
      <c r="FR88" s="23">
        <f>EXP(-LN(2)/25)*FR87+(1-EXP(-LN(2)/25))/(LN(2)/25)*Calculateur!FM88*Calculateur!FO88*VLOOKUP('Données projet'!$B$16,Paramètres!$A$1:$I$89,3,0)*0.475*44/12</f>
        <v>0</v>
      </c>
      <c r="FS88" s="23">
        <f>EXP(-LN(2)/2)*FS87+(1-EXP(-LN(2)/2))/(LN(2)/2)*FM88*FP88*VLOOKUP('Données projet'!$B$16,Paramètres!$A$1:$I$89,3,0)*0.475*44/12</f>
        <v>0</v>
      </c>
      <c r="FT88" s="24">
        <f t="shared" si="78"/>
        <v>0</v>
      </c>
      <c r="FU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1.0231815394945443E-12</v>
      </c>
      <c r="GA88" s="18">
        <f>FZ88*VLOOKUP('Données projet'!$B$17,Paramètres!$A$1:$I$89,3,0)*VLOOKUP('Données projet'!$B$17,Paramètres!$A$1:$I$89,5,0)</f>
        <v>4.5224624045658859E-13</v>
      </c>
      <c r="GB88" s="14">
        <f t="shared" si="103"/>
        <v>5.6995607121061449E-12</v>
      </c>
      <c r="GC88" s="22">
        <f t="shared" si="79"/>
        <v>1.0714397109046761E-11</v>
      </c>
      <c r="GD88" s="60">
        <f t="shared" si="80"/>
        <v>293.333333333344</v>
      </c>
      <c r="GE88" s="60">
        <f ca="1">AVERAGE(OFFSET($GD$3,0,0,'Données projet'!$E$17+1,1))-AVERAGE(OFFSET($H$3,0,0,'Données projet'!$E$17+1,1))</f>
        <v>323.56667371063662</v>
      </c>
      <c r="GF88" s="60">
        <f t="shared" si="104"/>
        <v>275.70373467723385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>
        <f>EXP(-LN(2)/35)*GL87+(1-EXP(-LN(2)/35))/(LN(2)/35)*GH88*GI88*VLOOKUP('Données projet'!$B$17,Paramètres!$A$1:$I$89,3,0)*0.475*44/12</f>
        <v>0</v>
      </c>
      <c r="GM88" s="23">
        <f>EXP(-LN(2)/25)*GM87+(1-EXP(-LN(2)/25))/(LN(2)/25)*Calculateur!GH88*Calculateur!GJ88*VLOOKUP('Données projet'!$B$17,Paramètres!$A$1:$I$89,3,0)*0.475*44/12</f>
        <v>0</v>
      </c>
      <c r="GN88" s="23">
        <f>EXP(-LN(2)/2)*GN87+(1-EXP(-LN(2)/2))/(LN(2)/2)*GH88*GK88*VLOOKUP('Données projet'!$B$17,Paramètres!$A$1:$I$89,3,0)*0.475*44/12</f>
        <v>0</v>
      </c>
      <c r="GO88" s="23">
        <f t="shared" si="81"/>
        <v>0</v>
      </c>
      <c r="GP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0" t="e">
        <f t="shared" si="83"/>
        <v>#N/A</v>
      </c>
      <c r="GZ88" s="60" t="e">
        <f ca="1">AVERAGE(OFFSET($GY$3,0,0,'Données projet'!$E$18+1,1))-AVERAGE(OFFSET($H$3,0,0,'Données projet'!$E$18+1,1))</f>
        <v>#N/A</v>
      </c>
      <c r="HA88" s="60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4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2">
        <f t="shared" si="86"/>
        <v>13.824782755944199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-1.1368683772161603E-13</v>
      </c>
      <c r="O89" s="14">
        <f>N89*VLOOKUP('Données projet'!$B$9,Paramètres!$A$1:$I$89,3,0)*VLOOKUP('Données projet'!$B$9,Paramètres!$A$1:$I$89,5,0)</f>
        <v>-6.7984728957526396E-14</v>
      </c>
      <c r="P89" s="14" t="e">
        <f t="shared" si="87"/>
        <v>#NUM!</v>
      </c>
      <c r="Q89" s="22" t="e">
        <f t="shared" si="54"/>
        <v>#NUM!</v>
      </c>
      <c r="R89" s="60" t="e">
        <f t="shared" si="55"/>
        <v>#NUM!</v>
      </c>
      <c r="S89" s="60">
        <f ca="1">AVERAGE(OFFSET($R$3,0,0,'Données projet'!$E$9+1,1))-AVERAGE(OFFSET($H$3,0,0,'Données projet'!$E$9+1,1))</f>
        <v>235.63766249714581</v>
      </c>
      <c r="T89" s="60">
        <f t="shared" si="88"/>
        <v>231.3297293785277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3.7849064106913355</v>
      </c>
      <c r="AA89" s="23">
        <f>EXP(-LN(2)/25)*AA88+(1-EXP(-LN(2)/25))/(LN(2)/25)*Calculateur!V89*Calculateur!X89*VLOOKUP('Données projet'!$B$9,Paramètres!$A$1:$I$89,3,0)*0.475*44/12</f>
        <v>3.6598348378461028</v>
      </c>
      <c r="AB89" s="23">
        <f>EXP(-LN(2)/2)*AB88+(1-EXP(-LN(2)/2))/(LN(2)/2)*V89*Y89*VLOOKUP('Données projet'!$B$9,Paramètres!$A$1:$I$89,3,0)*0.475*44/12</f>
        <v>2.6495874385903513E-8</v>
      </c>
      <c r="AC89" s="24">
        <f t="shared" si="57"/>
        <v>7.4447412750333131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5.6</v>
      </c>
      <c r="AI89" s="14">
        <f>IF('Données projet'!$A$62&gt;35,AI88+AH89-AQ88,IF(A89&lt;'Données projet'!$A$62,$AF$205^A89,IF(A89='Données projet'!$A$62,'Données projet'!$B$62,AI88+AH89-AQ88)))</f>
        <v>273.59999999999997</v>
      </c>
      <c r="AJ89" s="14">
        <f>AI89*VLOOKUP('Données projet'!$B$10,Paramètres!$A$1:$I$89,3,0)*VLOOKUP('Données projet'!$B$10,Paramètres!$A$1:$I$89,5,0)</f>
        <v>277.43039999999996</v>
      </c>
      <c r="AK89" s="14">
        <f t="shared" si="89"/>
        <v>66.423687500715673</v>
      </c>
      <c r="AL89" s="22">
        <f t="shared" si="58"/>
        <v>598.87920239707967</v>
      </c>
      <c r="AM89" s="60">
        <f t="shared" si="59"/>
        <v>892.21253573041304</v>
      </c>
      <c r="AN89" s="60">
        <f ca="1">AVERAGE(OFFSET($AM$3,0,0,'Données projet'!$E$10+1,1))-AVERAGE(OFFSET($H$3,0,0,'Données projet'!$E$10+1,1))</f>
        <v>350.3652766444938</v>
      </c>
      <c r="AO89" s="60">
        <f t="shared" si="90"/>
        <v>197.04549436738586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6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5.6</v>
      </c>
      <c r="BD89" s="13">
        <f>IF('Données projet'!$A$88&gt;35,BD88+BC89-BL88,IF(A89&lt;'Données projet'!$A$88,$BA$205^A89,IF(A89='Données projet'!$A$88,'Données projet'!$B$88,BD88+BC89-BL88)))</f>
        <v>273.59999999999997</v>
      </c>
      <c r="BE89" s="14">
        <f>BD89*VLOOKUP('Données projet'!$B$11,Paramètres!$A$1:$I$89,3,0)*VLOOKUP('Données projet'!$B$11,Paramètres!$A$1:$I$89,5,0)</f>
        <v>264.62591999999995</v>
      </c>
      <c r="BF89" s="14">
        <f t="shared" si="91"/>
        <v>63.707422801198604</v>
      </c>
      <c r="BG89" s="22">
        <f t="shared" si="61"/>
        <v>571.84723871208746</v>
      </c>
      <c r="BH89" s="60">
        <f t="shared" si="62"/>
        <v>865.18057204542083</v>
      </c>
      <c r="BI89" s="60">
        <f ca="1">AVERAGE(OFFSET($BH$3,0,0,'Données projet'!$E$11+1,1))-AVERAGE(OFFSET($H$3,0,0,'Données projet'!$E$11+1,1))</f>
        <v>330.39429528665841</v>
      </c>
      <c r="BJ89" s="60">
        <f t="shared" si="92"/>
        <v>186.45728006007261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3.8461538461538454</v>
      </c>
      <c r="BY89" s="13">
        <f>IF('Données projet'!$A$114&gt;35,BY88+BX89-CG88,IF(A89&lt;'Données projet'!$A$114,$BV$205^A89,IF(A89='Données projet'!$A$114,'Données projet'!$B$114,BY88+BX89-CG88)))</f>
        <v>280.12820512820514</v>
      </c>
      <c r="BZ89" s="14">
        <f>BY89*VLOOKUP('Données projet'!$B$12,Paramètres!$A$1:$I$89,3,0)*VLOOKUP('Données projet'!$B$12,Paramètres!$A$1:$I$89,5,0)</f>
        <v>187.91</v>
      </c>
      <c r="CA89" s="14">
        <f t="shared" si="93"/>
        <v>47.077586490700433</v>
      </c>
      <c r="CB89" s="22">
        <f t="shared" si="64"/>
        <v>409.27004647130326</v>
      </c>
      <c r="CC89" s="60">
        <f t="shared" si="65"/>
        <v>702.60337980463657</v>
      </c>
      <c r="CD89" s="60">
        <f ca="1">AVERAGE(OFFSET($CC$3,0,0,'Données projet'!$E$12+1,1))-AVERAGE(OFFSET($H$3,0,0,'Données projet'!$E$12+1,1))</f>
        <v>212.33913923444732</v>
      </c>
      <c r="CE89" s="60">
        <f t="shared" si="94"/>
        <v>183.51194426094372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3</v>
      </c>
      <c r="CT89" s="13">
        <f>IF('Données projet'!$A$140&gt;35,CT88+CS89-DB88,IF(A89&lt;'Données projet'!$A$140,$CQ$205^A89,IF(A89='Données projet'!$A$140,'Données projet'!$B$140,CT88+CS89-DB88)))</f>
        <v>202.9999999999996</v>
      </c>
      <c r="CU89" s="18">
        <f>CT89*VLOOKUP('Données projet'!$B$13,Paramètres!$A$1:$I$89,3,0)*VLOOKUP('Données projet'!$B$13,Paramètres!$A$1:$I$89,5,0)</f>
        <v>177.34079999999969</v>
      </c>
      <c r="CV89" s="14">
        <f t="shared" si="95"/>
        <v>44.730051658603024</v>
      </c>
      <c r="CW89" s="22">
        <f t="shared" si="67"/>
        <v>386.77339997206644</v>
      </c>
      <c r="CX89" s="60">
        <f t="shared" si="68"/>
        <v>680.10673330539976</v>
      </c>
      <c r="CY89" s="60">
        <f ca="1">AVERAGE(OFFSET($CX$3,0,0,'Données projet'!$E$13+1,1))-AVERAGE(OFFSET($H$3,0,0,'Données projet'!$E$13+1,1))</f>
        <v>228.0393346366489</v>
      </c>
      <c r="CZ89" s="60">
        <f t="shared" si="96"/>
        <v>238.591781509447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5.6</v>
      </c>
      <c r="DO89" s="13">
        <f>IF('Données projet'!$A$166&gt;35,DO88+DN89-DW88,IF(A89&lt;'Données projet'!$A$166,$DL$205^A89,IF(A89='Données projet'!$A$166,'Données projet'!$B$166,DO88+DN89-DW88)))</f>
        <v>273.59999999999997</v>
      </c>
      <c r="DP89" s="18">
        <f>DO89*VLOOKUP('Données projet'!$B$14,Paramètres!$A$1:$I$89,3,0)*VLOOKUP('Données projet'!$B$14,Paramètres!$A$1:$I$89,5,0)</f>
        <v>247.55327999999994</v>
      </c>
      <c r="DQ89" s="14">
        <f t="shared" si="97"/>
        <v>60.061713068870255</v>
      </c>
      <c r="DR89" s="22">
        <f t="shared" si="70"/>
        <v>535.76277959494894</v>
      </c>
      <c r="DS89" s="60">
        <f t="shared" si="71"/>
        <v>829.09611292828231</v>
      </c>
      <c r="DT89" s="60">
        <f ca="1">AVERAGE(OFFSET($DS$3,0,0,'Données projet'!$E$14+1,1))-AVERAGE(OFFSET($H$3,0,0,'Données projet'!$E$14+1,1))</f>
        <v>303.73499739059076</v>
      </c>
      <c r="DU89" s="60">
        <f t="shared" si="98"/>
        <v>172.32171001882188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1.1368683772161603E-13</v>
      </c>
      <c r="EK89" s="18">
        <f>EJ89*VLOOKUP('Données projet'!$B$15,Paramètres!$A$1:$I$89,3,0)*VLOOKUP('Données projet'!$B$15,Paramètres!$A$1:$I$89,5,0)</f>
        <v>6.7984728957526396E-14</v>
      </c>
      <c r="EL89" s="14">
        <f t="shared" si="99"/>
        <v>1.0682447123141398E-12</v>
      </c>
      <c r="EM89" s="22">
        <f t="shared" si="73"/>
        <v>1.978932943548152E-12</v>
      </c>
      <c r="EN89" s="60">
        <f t="shared" si="74"/>
        <v>293.3333333333353</v>
      </c>
      <c r="EO89" s="60">
        <f ca="1">AVERAGE(OFFSET($EN$3,0,0,'Données projet'!$E$15+1,1))-AVERAGE(OFFSET($H$3,0,0,'Données projet'!$E$15+1,1))</f>
        <v>269.94948820700841</v>
      </c>
      <c r="EP89" s="60">
        <f t="shared" si="100"/>
        <v>183.45158355135192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2.8905147926790282</v>
      </c>
      <c r="EX89" s="23">
        <f>EXP(-LN(2)/2)*EX88+(1-EXP(-LN(2)/2))/(LN(2)/2)*ER89*EU89*VLOOKUP('Données projet'!$B$15,Paramètres!$A$1:$I$89,3,0)*0.475*44/12</f>
        <v>2.1003304740341674E-8</v>
      </c>
      <c r="EY89" s="24">
        <f t="shared" si="75"/>
        <v>2.8905148136823331</v>
      </c>
      <c r="EZ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6.25</v>
      </c>
      <c r="FE89" s="13">
        <f>IF('Données projet'!$A$218&gt;35,FE88+FD89-FM88,IF(A89&lt;'Données projet'!$A$218,$FB$205^A89,IF(A89='Données projet'!$A$218,'Données projet'!$B$218,FE88+FD89-FM88)))</f>
        <v>262.25</v>
      </c>
      <c r="FF89" s="18">
        <f>FE89*VLOOKUP('Données projet'!$B$16,Paramètres!$A$1:$I$89,3,0)*VLOOKUP('Données projet'!$B$16,Paramètres!$A$1:$I$89,5,0)</f>
        <v>156.82550000000001</v>
      </c>
      <c r="FG89" s="14">
        <f t="shared" si="101"/>
        <v>40.12566509846944</v>
      </c>
      <c r="FH89" s="22">
        <f t="shared" si="76"/>
        <v>343.0232792131676</v>
      </c>
      <c r="FI89" s="60">
        <f t="shared" si="77"/>
        <v>636.35661254650086</v>
      </c>
      <c r="FJ89" s="60">
        <f ca="1">AVERAGE(OFFSET($FI$3,0,0,'Données projet'!$E$16+1,1))-AVERAGE(OFFSET($H$3,0,0,'Données projet'!$E$16+1,1))</f>
        <v>111.24788725253484</v>
      </c>
      <c r="FK89" s="60">
        <f t="shared" si="102"/>
        <v>82.434879813357327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projet'!$B$16,Paramètres!$A$1:$I$89,3,0)*0.475*44/12</f>
        <v>0</v>
      </c>
      <c r="FR89" s="23">
        <f>EXP(-LN(2)/25)*FR88+(1-EXP(-LN(2)/25))/(LN(2)/25)*Calculateur!FM89*Calculateur!FO89*VLOOKUP('Données projet'!$B$16,Paramètres!$A$1:$I$89,3,0)*0.475*44/12</f>
        <v>0</v>
      </c>
      <c r="FS89" s="23">
        <f>EXP(-LN(2)/2)*FS88+(1-EXP(-LN(2)/2))/(LN(2)/2)*FM89*FP89*VLOOKUP('Données projet'!$B$16,Paramètres!$A$1:$I$89,3,0)*0.475*44/12</f>
        <v>0</v>
      </c>
      <c r="FT89" s="24">
        <f t="shared" si="78"/>
        <v>0</v>
      </c>
      <c r="FU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1.0231815394945443E-12</v>
      </c>
      <c r="GA89" s="18">
        <f>FZ89*VLOOKUP('Données projet'!$B$17,Paramètres!$A$1:$I$89,3,0)*VLOOKUP('Données projet'!$B$17,Paramètres!$A$1:$I$89,5,0)</f>
        <v>4.5224624045658859E-13</v>
      </c>
      <c r="GB89" s="14">
        <f t="shared" si="103"/>
        <v>5.6995607121061449E-12</v>
      </c>
      <c r="GC89" s="22">
        <f t="shared" si="79"/>
        <v>1.0714397109046761E-11</v>
      </c>
      <c r="GD89" s="60">
        <f t="shared" si="80"/>
        <v>293.333333333344</v>
      </c>
      <c r="GE89" s="60">
        <f ca="1">AVERAGE(OFFSET($GD$3,0,0,'Données projet'!$E$17+1,1))-AVERAGE(OFFSET($H$3,0,0,'Données projet'!$E$17+1,1))</f>
        <v>323.56667371063662</v>
      </c>
      <c r="GF89" s="60">
        <f t="shared" si="104"/>
        <v>275.70373467723385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>
        <f>EXP(-LN(2)/35)*GL88+(1-EXP(-LN(2)/35))/(LN(2)/35)*GH89*GI89*VLOOKUP('Données projet'!$B$17,Paramètres!$A$1:$I$89,3,0)*0.475*44/12</f>
        <v>0</v>
      </c>
      <c r="GM89" s="23">
        <f>EXP(-LN(2)/25)*GM88+(1-EXP(-LN(2)/25))/(LN(2)/25)*Calculateur!GH89*Calculateur!GJ89*VLOOKUP('Données projet'!$B$17,Paramètres!$A$1:$I$89,3,0)*0.475*44/12</f>
        <v>0</v>
      </c>
      <c r="GN89" s="23">
        <f>EXP(-LN(2)/2)*GN88+(1-EXP(-LN(2)/2))/(LN(2)/2)*GH89*GK89*VLOOKUP('Données projet'!$B$17,Paramètres!$A$1:$I$89,3,0)*0.475*44/12</f>
        <v>0</v>
      </c>
      <c r="GO89" s="23">
        <f t="shared" si="81"/>
        <v>0</v>
      </c>
      <c r="GP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0" t="e">
        <f t="shared" si="83"/>
        <v>#N/A</v>
      </c>
      <c r="GZ89" s="60" t="e">
        <f ca="1">AVERAGE(OFFSET($GY$3,0,0,'Données projet'!$E$18+1,1))-AVERAGE(OFFSET($H$3,0,0,'Données projet'!$E$18+1,1))</f>
        <v>#N/A</v>
      </c>
      <c r="HA89" s="60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4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2">
        <f t="shared" si="86"/>
        <v>13.966728648675151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-1.1368683772161603E-13</v>
      </c>
      <c r="O90" s="14">
        <f>N90*VLOOKUP('Données projet'!$B$9,Paramètres!$A$1:$I$89,3,0)*VLOOKUP('Données projet'!$B$9,Paramètres!$A$1:$I$89,5,0)</f>
        <v>-6.7984728957526396E-14</v>
      </c>
      <c r="P90" s="14" t="e">
        <f t="shared" si="87"/>
        <v>#NUM!</v>
      </c>
      <c r="Q90" s="22" t="e">
        <f t="shared" si="54"/>
        <v>#NUM!</v>
      </c>
      <c r="R90" s="60" t="e">
        <f t="shared" si="55"/>
        <v>#NUM!</v>
      </c>
      <c r="S90" s="60">
        <f ca="1">AVERAGE(OFFSET($R$3,0,0,'Données projet'!$E$9+1,1))-AVERAGE(OFFSET($H$3,0,0,'Données projet'!$E$9+1,1))</f>
        <v>235.63766249714581</v>
      </c>
      <c r="T90" s="60">
        <f t="shared" si="88"/>
        <v>231.3297293785277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3.710686704542637</v>
      </c>
      <c r="AA90" s="23">
        <f>EXP(-LN(2)/25)*AA89+(1-EXP(-LN(2)/25))/(LN(2)/25)*Calculateur!V90*Calculateur!X90*VLOOKUP('Données projet'!$B$9,Paramètres!$A$1:$I$89,3,0)*0.475*44/12</f>
        <v>3.5597564617428517</v>
      </c>
      <c r="AB90" s="23">
        <f>EXP(-LN(2)/2)*AB89+(1-EXP(-LN(2)/2))/(LN(2)/2)*V90*Y90*VLOOKUP('Données projet'!$B$9,Paramètres!$A$1:$I$89,3,0)*0.475*44/12</f>
        <v>1.8735412451739325E-8</v>
      </c>
      <c r="AC90" s="24">
        <f t="shared" si="57"/>
        <v>7.270443185020901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5.6</v>
      </c>
      <c r="AI90" s="14">
        <f>IF('Données projet'!$A$62&gt;35,AI89+AH90-AQ89,IF(A90&lt;'Données projet'!$A$62,$AF$205^A90,IF(A90='Données projet'!$A$62,'Données projet'!$B$62,AI89+AH90-AQ89)))</f>
        <v>279.2</v>
      </c>
      <c r="AJ90" s="14">
        <f>AI90*VLOOKUP('Données projet'!$B$10,Paramètres!$A$1:$I$89,3,0)*VLOOKUP('Données projet'!$B$10,Paramètres!$A$1:$I$89,5,0)</f>
        <v>283.10879999999997</v>
      </c>
      <c r="AK90" s="14">
        <f t="shared" si="89"/>
        <v>67.623564901653808</v>
      </c>
      <c r="AL90" s="22">
        <f t="shared" si="58"/>
        <v>610.85886887038032</v>
      </c>
      <c r="AM90" s="60">
        <f t="shared" si="59"/>
        <v>904.19220220371358</v>
      </c>
      <c r="AN90" s="60">
        <f ca="1">AVERAGE(OFFSET($AM$3,0,0,'Données projet'!$E$10+1,1))-AVERAGE(OFFSET($H$3,0,0,'Données projet'!$E$10+1,1))</f>
        <v>350.3652766444938</v>
      </c>
      <c r="AO90" s="60">
        <f t="shared" si="90"/>
        <v>197.04549436738586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6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5.6</v>
      </c>
      <c r="BD90" s="13">
        <f>IF('Données projet'!$A$88&gt;35,BD89+BC90-BL89,IF(A90&lt;'Données projet'!$A$88,$BA$205^A90,IF(A90='Données projet'!$A$88,'Données projet'!$B$88,BD89+BC90-BL89)))</f>
        <v>279.2</v>
      </c>
      <c r="BE90" s="14">
        <f>BD90*VLOOKUP('Données projet'!$B$11,Paramètres!$A$1:$I$89,3,0)*VLOOKUP('Données projet'!$B$11,Paramètres!$A$1:$I$89,5,0)</f>
        <v>270.04223999999999</v>
      </c>
      <c r="BF90" s="14">
        <f t="shared" si="91"/>
        <v>64.858233600288145</v>
      </c>
      <c r="BG90" s="22">
        <f t="shared" si="61"/>
        <v>583.28499152050188</v>
      </c>
      <c r="BH90" s="60">
        <f t="shared" si="62"/>
        <v>876.61832485383525</v>
      </c>
      <c r="BI90" s="60">
        <f ca="1">AVERAGE(OFFSET($BH$3,0,0,'Données projet'!$E$11+1,1))-AVERAGE(OFFSET($H$3,0,0,'Données projet'!$E$11+1,1))</f>
        <v>330.39429528665841</v>
      </c>
      <c r="BJ90" s="60">
        <f t="shared" si="92"/>
        <v>186.45728006007261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3.8461538461538454</v>
      </c>
      <c r="BY90" s="13">
        <f>IF('Données projet'!$A$114&gt;35,BY89+BX90-CG89,IF(A90&lt;'Données projet'!$A$114,$BV$205^A90,IF(A90='Données projet'!$A$114,'Données projet'!$B$114,BY89+BX90-CG89)))</f>
        <v>283.97435897435901</v>
      </c>
      <c r="BZ90" s="14">
        <f>BY90*VLOOKUP('Données projet'!$B$12,Paramètres!$A$1:$I$89,3,0)*VLOOKUP('Données projet'!$B$12,Paramètres!$A$1:$I$89,5,0)</f>
        <v>190.49</v>
      </c>
      <c r="CA90" s="14">
        <f t="shared" si="93"/>
        <v>47.648268649617435</v>
      </c>
      <c r="CB90" s="22">
        <f t="shared" si="64"/>
        <v>414.75748456475031</v>
      </c>
      <c r="CC90" s="60">
        <f t="shared" si="65"/>
        <v>708.09081789808363</v>
      </c>
      <c r="CD90" s="60">
        <f ca="1">AVERAGE(OFFSET($CC$3,0,0,'Données projet'!$E$12+1,1))-AVERAGE(OFFSET($H$3,0,0,'Données projet'!$E$12+1,1))</f>
        <v>212.33913923444732</v>
      </c>
      <c r="CE90" s="60">
        <f t="shared" si="94"/>
        <v>183.51194426094372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3</v>
      </c>
      <c r="CT90" s="13">
        <f>IF('Données projet'!$A$140&gt;35,CT89+CS90-DB89,IF(A90&lt;'Données projet'!$A$140,$CQ$205^A90,IF(A90='Données projet'!$A$140,'Données projet'!$B$140,CT89+CS90-DB89)))</f>
        <v>205.9999999999996</v>
      </c>
      <c r="CU90" s="18">
        <f>CT90*VLOOKUP('Données projet'!$B$13,Paramètres!$A$1:$I$89,3,0)*VLOOKUP('Données projet'!$B$13,Paramètres!$A$1:$I$89,5,0)</f>
        <v>179.96159999999966</v>
      </c>
      <c r="CV90" s="14">
        <f t="shared" si="95"/>
        <v>45.313642767960026</v>
      </c>
      <c r="CW90" s="22">
        <f t="shared" si="67"/>
        <v>392.35438115419646</v>
      </c>
      <c r="CX90" s="60">
        <f t="shared" si="68"/>
        <v>685.68771448752977</v>
      </c>
      <c r="CY90" s="60">
        <f ca="1">AVERAGE(OFFSET($CX$3,0,0,'Données projet'!$E$13+1,1))-AVERAGE(OFFSET($H$3,0,0,'Données projet'!$E$13+1,1))</f>
        <v>228.0393346366489</v>
      </c>
      <c r="CZ90" s="60">
        <f t="shared" si="96"/>
        <v>238.591781509447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5.6</v>
      </c>
      <c r="DO90" s="13">
        <f>IF('Données projet'!$A$166&gt;35,DO89+DN90-DW89,IF(A90&lt;'Données projet'!$A$166,$DL$205^A90,IF(A90='Données projet'!$A$166,'Données projet'!$B$166,DO89+DN90-DW89)))</f>
        <v>279.2</v>
      </c>
      <c r="DP90" s="18">
        <f>DO90*VLOOKUP('Données projet'!$B$14,Paramètres!$A$1:$I$89,3,0)*VLOOKUP('Données projet'!$B$14,Paramètres!$A$1:$I$89,5,0)</f>
        <v>252.62015999999997</v>
      </c>
      <c r="DQ90" s="14">
        <f t="shared" si="97"/>
        <v>61.14666777229877</v>
      </c>
      <c r="DR90" s="22">
        <f t="shared" si="70"/>
        <v>546.47722503675357</v>
      </c>
      <c r="DS90" s="60">
        <f t="shared" si="71"/>
        <v>839.81055837008694</v>
      </c>
      <c r="DT90" s="60">
        <f ca="1">AVERAGE(OFFSET($DS$3,0,0,'Données projet'!$E$14+1,1))-AVERAGE(OFFSET($H$3,0,0,'Données projet'!$E$14+1,1))</f>
        <v>303.73499739059076</v>
      </c>
      <c r="DU90" s="60">
        <f t="shared" si="98"/>
        <v>172.32171001882188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1.1368683772161603E-13</v>
      </c>
      <c r="EK90" s="18">
        <f>EJ90*VLOOKUP('Données projet'!$B$15,Paramètres!$A$1:$I$89,3,0)*VLOOKUP('Données projet'!$B$15,Paramètres!$A$1:$I$89,5,0)</f>
        <v>6.7984728957526396E-14</v>
      </c>
      <c r="EL90" s="14">
        <f t="shared" si="99"/>
        <v>1.0682447123141398E-12</v>
      </c>
      <c r="EM90" s="22">
        <f t="shared" si="73"/>
        <v>1.978932943548152E-12</v>
      </c>
      <c r="EN90" s="60">
        <f t="shared" si="74"/>
        <v>293.3333333333353</v>
      </c>
      <c r="EO90" s="60">
        <f ca="1">AVERAGE(OFFSET($EN$3,0,0,'Données projet'!$E$15+1,1))-AVERAGE(OFFSET($H$3,0,0,'Données projet'!$E$15+1,1))</f>
        <v>269.94948820700841</v>
      </c>
      <c r="EP90" s="60">
        <f t="shared" si="100"/>
        <v>183.45158355135192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2.8114735136676536</v>
      </c>
      <c r="EX90" s="23">
        <f>EXP(-LN(2)/2)*EX89+(1-EXP(-LN(2)/2))/(LN(2)/2)*ER90*EU90*VLOOKUP('Données projet'!$B$15,Paramètres!$A$1:$I$89,3,0)*0.475*44/12</f>
        <v>1.4851579209223158E-8</v>
      </c>
      <c r="EY90" s="24">
        <f t="shared" si="75"/>
        <v>2.8114735285192327</v>
      </c>
      <c r="EZ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6.25</v>
      </c>
      <c r="FE90" s="13">
        <f>IF('Données projet'!$A$218&gt;35,FE89+FD90-FM89,IF(A90&lt;'Données projet'!$A$218,$FB$205^A90,IF(A90='Données projet'!$A$218,'Données projet'!$B$218,FE89+FD90-FM89)))</f>
        <v>268.5</v>
      </c>
      <c r="FF90" s="18">
        <f>FE90*VLOOKUP('Données projet'!$B$16,Paramètres!$A$1:$I$89,3,0)*VLOOKUP('Données projet'!$B$16,Paramètres!$A$1:$I$89,5,0)</f>
        <v>160.56300000000002</v>
      </c>
      <c r="FG90" s="14">
        <f t="shared" si="101"/>
        <v>40.969475656539245</v>
      </c>
      <c r="FH90" s="22">
        <f t="shared" si="76"/>
        <v>351.00239510180586</v>
      </c>
      <c r="FI90" s="60">
        <f t="shared" si="77"/>
        <v>644.33572843513912</v>
      </c>
      <c r="FJ90" s="60">
        <f ca="1">AVERAGE(OFFSET($FI$3,0,0,'Données projet'!$E$16+1,1))-AVERAGE(OFFSET($H$3,0,0,'Données projet'!$E$16+1,1))</f>
        <v>111.24788725253484</v>
      </c>
      <c r="FK90" s="60">
        <f t="shared" si="102"/>
        <v>82.434879813357327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projet'!$B$16,Paramètres!$A$1:$I$89,3,0)*0.475*44/12</f>
        <v>0</v>
      </c>
      <c r="FR90" s="23">
        <f>EXP(-LN(2)/25)*FR89+(1-EXP(-LN(2)/25))/(LN(2)/25)*Calculateur!FM90*Calculateur!FO90*VLOOKUP('Données projet'!$B$16,Paramètres!$A$1:$I$89,3,0)*0.475*44/12</f>
        <v>0</v>
      </c>
      <c r="FS90" s="23">
        <f>EXP(-LN(2)/2)*FS89+(1-EXP(-LN(2)/2))/(LN(2)/2)*FM90*FP90*VLOOKUP('Données projet'!$B$16,Paramètres!$A$1:$I$89,3,0)*0.475*44/12</f>
        <v>0</v>
      </c>
      <c r="FT90" s="24">
        <f t="shared" si="78"/>
        <v>0</v>
      </c>
      <c r="FU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1.0231815394945443E-12</v>
      </c>
      <c r="GA90" s="18">
        <f>FZ90*VLOOKUP('Données projet'!$B$17,Paramètres!$A$1:$I$89,3,0)*VLOOKUP('Données projet'!$B$17,Paramètres!$A$1:$I$89,5,0)</f>
        <v>4.5224624045658859E-13</v>
      </c>
      <c r="GB90" s="14">
        <f t="shared" si="103"/>
        <v>5.6995607121061449E-12</v>
      </c>
      <c r="GC90" s="22">
        <f t="shared" si="79"/>
        <v>1.0714397109046761E-11</v>
      </c>
      <c r="GD90" s="60">
        <f t="shared" si="80"/>
        <v>293.333333333344</v>
      </c>
      <c r="GE90" s="60">
        <f ca="1">AVERAGE(OFFSET($GD$3,0,0,'Données projet'!$E$17+1,1))-AVERAGE(OFFSET($H$3,0,0,'Données projet'!$E$17+1,1))</f>
        <v>323.56667371063662</v>
      </c>
      <c r="GF90" s="60">
        <f t="shared" si="104"/>
        <v>275.70373467723385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>
        <f>EXP(-LN(2)/35)*GL89+(1-EXP(-LN(2)/35))/(LN(2)/35)*GH90*GI90*VLOOKUP('Données projet'!$B$17,Paramètres!$A$1:$I$89,3,0)*0.475*44/12</f>
        <v>0</v>
      </c>
      <c r="GM90" s="23">
        <f>EXP(-LN(2)/25)*GM89+(1-EXP(-LN(2)/25))/(LN(2)/25)*Calculateur!GH90*Calculateur!GJ90*VLOOKUP('Données projet'!$B$17,Paramètres!$A$1:$I$89,3,0)*0.475*44/12</f>
        <v>0</v>
      </c>
      <c r="GN90" s="23">
        <f>EXP(-LN(2)/2)*GN89+(1-EXP(-LN(2)/2))/(LN(2)/2)*GH90*GK90*VLOOKUP('Données projet'!$B$17,Paramètres!$A$1:$I$89,3,0)*0.475*44/12</f>
        <v>0</v>
      </c>
      <c r="GO90" s="23">
        <f t="shared" si="81"/>
        <v>0</v>
      </c>
      <c r="GP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0" t="e">
        <f t="shared" si="83"/>
        <v>#N/A</v>
      </c>
      <c r="GZ90" s="60" t="e">
        <f ca="1">AVERAGE(OFFSET($GY$3,0,0,'Données projet'!$E$18+1,1))-AVERAGE(OFFSET($H$3,0,0,'Données projet'!$E$18+1,1))</f>
        <v>#N/A</v>
      </c>
      <c r="HA90" s="60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4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2">
        <f t="shared" si="86"/>
        <v>14.10848475016061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-1.1368683772161603E-13</v>
      </c>
      <c r="O91" s="14">
        <f>N91*VLOOKUP('Données projet'!$B$9,Paramètres!$A$1:$I$89,3,0)*VLOOKUP('Données projet'!$B$9,Paramètres!$A$1:$I$89,5,0)</f>
        <v>-6.7984728957526396E-14</v>
      </c>
      <c r="P91" s="14" t="e">
        <f t="shared" si="87"/>
        <v>#NUM!</v>
      </c>
      <c r="Q91" s="22" t="e">
        <f t="shared" si="54"/>
        <v>#NUM!</v>
      </c>
      <c r="R91" s="60" t="e">
        <f t="shared" si="55"/>
        <v>#NUM!</v>
      </c>
      <c r="S91" s="60">
        <f ca="1">AVERAGE(OFFSET($R$3,0,0,'Données projet'!$E$9+1,1))-AVERAGE(OFFSET($H$3,0,0,'Données projet'!$E$9+1,1))</f>
        <v>235.63766249714581</v>
      </c>
      <c r="T91" s="60">
        <f t="shared" si="88"/>
        <v>231.3297293785277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3.6379224015619638</v>
      </c>
      <c r="AA91" s="23">
        <f>EXP(-LN(2)/25)*AA90+(1-EXP(-LN(2)/25))/(LN(2)/25)*Calculateur!V91*Calculateur!X91*VLOOKUP('Données projet'!$B$9,Paramètres!$A$1:$I$89,3,0)*0.475*44/12</f>
        <v>3.4624147340970368</v>
      </c>
      <c r="AB91" s="23">
        <f>EXP(-LN(2)/2)*AB90+(1-EXP(-LN(2)/2))/(LN(2)/2)*V91*Y91*VLOOKUP('Données projet'!$B$9,Paramètres!$A$1:$I$89,3,0)*0.475*44/12</f>
        <v>1.3247937192951757E-8</v>
      </c>
      <c r="AC91" s="24">
        <f t="shared" si="57"/>
        <v>7.1003371489069371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5.6</v>
      </c>
      <c r="AI91" s="14">
        <f>IF('Données projet'!$A$62&gt;35,AI90+AH91-AQ90,IF(A91&lt;'Données projet'!$A$62,$AF$205^A91,IF(A91='Données projet'!$A$62,'Données projet'!$B$62,AI90+AH91-AQ90)))</f>
        <v>284.8</v>
      </c>
      <c r="AJ91" s="14">
        <f>AI91*VLOOKUP('Données projet'!$B$10,Paramètres!$A$1:$I$89,3,0)*VLOOKUP('Données projet'!$B$10,Paramètres!$A$1:$I$89,5,0)</f>
        <v>288.78720000000004</v>
      </c>
      <c r="AK91" s="14">
        <f t="shared" si="89"/>
        <v>68.820644053442436</v>
      </c>
      <c r="AL91" s="22">
        <f t="shared" si="58"/>
        <v>622.83366172641229</v>
      </c>
      <c r="AM91" s="60">
        <f t="shared" si="59"/>
        <v>916.16699505974566</v>
      </c>
      <c r="AN91" s="60">
        <f ca="1">AVERAGE(OFFSET($AM$3,0,0,'Données projet'!$E$10+1,1))-AVERAGE(OFFSET($H$3,0,0,'Données projet'!$E$10+1,1))</f>
        <v>350.3652766444938</v>
      </c>
      <c r="AO91" s="60">
        <f t="shared" si="90"/>
        <v>197.04549436738586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6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5.6</v>
      </c>
      <c r="BD91" s="13">
        <f>IF('Données projet'!$A$88&gt;35,BD90+BC91-BL90,IF(A91&lt;'Données projet'!$A$88,$BA$205^A91,IF(A91='Données projet'!$A$88,'Données projet'!$B$88,BD90+BC91-BL90)))</f>
        <v>284.8</v>
      </c>
      <c r="BE91" s="14">
        <f>BD91*VLOOKUP('Données projet'!$B$11,Paramètres!$A$1:$I$89,3,0)*VLOOKUP('Données projet'!$B$11,Paramètres!$A$1:$I$89,5,0)</f>
        <v>275.45855999999998</v>
      </c>
      <c r="BF91" s="14">
        <f t="shared" si="91"/>
        <v>66.006360579066197</v>
      </c>
      <c r="BG91" s="22">
        <f t="shared" si="61"/>
        <v>594.71807000854017</v>
      </c>
      <c r="BH91" s="60">
        <f t="shared" si="62"/>
        <v>888.05140334187354</v>
      </c>
      <c r="BI91" s="60">
        <f ca="1">AVERAGE(OFFSET($BH$3,0,0,'Données projet'!$E$11+1,1))-AVERAGE(OFFSET($H$3,0,0,'Données projet'!$E$11+1,1))</f>
        <v>330.39429528665841</v>
      </c>
      <c r="BJ91" s="60">
        <f t="shared" si="92"/>
        <v>186.45728006007261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3.8461538461538454</v>
      </c>
      <c r="BY91" s="13">
        <f>IF('Données projet'!$A$114&gt;35,BY90+BX91-CG90,IF(A91&lt;'Données projet'!$A$114,$BV$205^A91,IF(A91='Données projet'!$A$114,'Données projet'!$B$114,BY90+BX91-CG90)))</f>
        <v>287.82051282051287</v>
      </c>
      <c r="BZ91" s="14">
        <f>BY91*VLOOKUP('Données projet'!$B$12,Paramètres!$A$1:$I$89,3,0)*VLOOKUP('Données projet'!$B$12,Paramètres!$A$1:$I$89,5,0)</f>
        <v>193.07000000000005</v>
      </c>
      <c r="CA91" s="14">
        <f t="shared" si="93"/>
        <v>48.218051794342536</v>
      </c>
      <c r="CB91" s="22">
        <f t="shared" si="64"/>
        <v>420.24335687514667</v>
      </c>
      <c r="CC91" s="60">
        <f t="shared" si="65"/>
        <v>713.57669020847993</v>
      </c>
      <c r="CD91" s="60">
        <f ca="1">AVERAGE(OFFSET($CC$3,0,0,'Données projet'!$E$12+1,1))-AVERAGE(OFFSET($H$3,0,0,'Données projet'!$E$12+1,1))</f>
        <v>212.33913923444732</v>
      </c>
      <c r="CE91" s="60">
        <f t="shared" si="94"/>
        <v>183.51194426094372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3</v>
      </c>
      <c r="CT91" s="13">
        <f>IF('Données projet'!$A$140&gt;35,CT90+CS91-DB90,IF(A91&lt;'Données projet'!$A$140,$CQ$205^A91,IF(A91='Données projet'!$A$140,'Données projet'!$B$140,CT90+CS91-DB90)))</f>
        <v>208.9999999999996</v>
      </c>
      <c r="CU91" s="18">
        <f>CT91*VLOOKUP('Données projet'!$B$13,Paramètres!$A$1:$I$89,3,0)*VLOOKUP('Données projet'!$B$13,Paramètres!$A$1:$I$89,5,0)</f>
        <v>182.58239999999969</v>
      </c>
      <c r="CV91" s="14">
        <f t="shared" si="95"/>
        <v>45.896245406460203</v>
      </c>
      <c r="CW91" s="22">
        <f t="shared" si="67"/>
        <v>397.9336407495843</v>
      </c>
      <c r="CX91" s="60">
        <f t="shared" si="68"/>
        <v>691.26697408291761</v>
      </c>
      <c r="CY91" s="60">
        <f ca="1">AVERAGE(OFFSET($CX$3,0,0,'Données projet'!$E$13+1,1))-AVERAGE(OFFSET($H$3,0,0,'Données projet'!$E$13+1,1))</f>
        <v>228.0393346366489</v>
      </c>
      <c r="CZ91" s="60">
        <f t="shared" si="96"/>
        <v>238.591781509447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5.6</v>
      </c>
      <c r="DO91" s="13">
        <f>IF('Données projet'!$A$166&gt;35,DO90+DN91-DW90,IF(A91&lt;'Données projet'!$A$166,$DL$205^A91,IF(A91='Données projet'!$A$166,'Données projet'!$B$166,DO90+DN91-DW90)))</f>
        <v>284.8</v>
      </c>
      <c r="DP91" s="18">
        <f>DO91*VLOOKUP('Données projet'!$B$14,Paramètres!$A$1:$I$89,3,0)*VLOOKUP('Données projet'!$B$14,Paramètres!$A$1:$I$89,5,0)</f>
        <v>257.68704000000002</v>
      </c>
      <c r="DQ91" s="14">
        <f t="shared" si="97"/>
        <v>62.229092239243343</v>
      </c>
      <c r="DR91" s="22">
        <f t="shared" si="70"/>
        <v>557.18726365001555</v>
      </c>
      <c r="DS91" s="60">
        <f t="shared" si="71"/>
        <v>850.52059698334892</v>
      </c>
      <c r="DT91" s="60">
        <f ca="1">AVERAGE(OFFSET($DS$3,0,0,'Données projet'!$E$14+1,1))-AVERAGE(OFFSET($H$3,0,0,'Données projet'!$E$14+1,1))</f>
        <v>303.73499739059076</v>
      </c>
      <c r="DU91" s="60">
        <f t="shared" si="98"/>
        <v>172.32171001882188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1.1368683772161603E-13</v>
      </c>
      <c r="EK91" s="18">
        <f>EJ91*VLOOKUP('Données projet'!$B$15,Paramètres!$A$1:$I$89,3,0)*VLOOKUP('Données projet'!$B$15,Paramètres!$A$1:$I$89,5,0)</f>
        <v>6.7984728957526396E-14</v>
      </c>
      <c r="EL91" s="14">
        <f t="shared" si="99"/>
        <v>1.0682447123141398E-12</v>
      </c>
      <c r="EM91" s="22">
        <f t="shared" si="73"/>
        <v>1.978932943548152E-12</v>
      </c>
      <c r="EN91" s="60">
        <f t="shared" si="74"/>
        <v>293.3333333333353</v>
      </c>
      <c r="EO91" s="60">
        <f ca="1">AVERAGE(OFFSET($EN$3,0,0,'Données projet'!$E$15+1,1))-AVERAGE(OFFSET($H$3,0,0,'Données projet'!$E$15+1,1))</f>
        <v>269.94948820700841</v>
      </c>
      <c r="EP91" s="60">
        <f t="shared" si="100"/>
        <v>183.45158355135192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2.7345936225874454</v>
      </c>
      <c r="EX91" s="23">
        <f>EXP(-LN(2)/2)*EX90+(1-EXP(-LN(2)/2))/(LN(2)/2)*ER91*EU91*VLOOKUP('Données projet'!$B$15,Paramètres!$A$1:$I$89,3,0)*0.475*44/12</f>
        <v>1.0501652370170838E-8</v>
      </c>
      <c r="EY91" s="24">
        <f t="shared" si="75"/>
        <v>2.7345936330890979</v>
      </c>
      <c r="EZ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6.25</v>
      </c>
      <c r="FE91" s="13">
        <f>IF('Données projet'!$A$218&gt;35,FE90+FD91-FM90,IF(A91&lt;'Données projet'!$A$218,$FB$205^A91,IF(A91='Données projet'!$A$218,'Données projet'!$B$218,FE90+FD91-FM90)))</f>
        <v>274.75</v>
      </c>
      <c r="FF91" s="18">
        <f>FE91*VLOOKUP('Données projet'!$B$16,Paramètres!$A$1:$I$89,3,0)*VLOOKUP('Données projet'!$B$16,Paramètres!$A$1:$I$89,5,0)</f>
        <v>164.3005</v>
      </c>
      <c r="FG91" s="14">
        <f t="shared" si="101"/>
        <v>41.811002788885126</v>
      </c>
      <c r="FH91" s="22">
        <f t="shared" si="76"/>
        <v>358.9775340239749</v>
      </c>
      <c r="FI91" s="60">
        <f t="shared" si="77"/>
        <v>652.31086735730821</v>
      </c>
      <c r="FJ91" s="60">
        <f ca="1">AVERAGE(OFFSET($FI$3,0,0,'Données projet'!$E$16+1,1))-AVERAGE(OFFSET($H$3,0,0,'Données projet'!$E$16+1,1))</f>
        <v>111.24788725253484</v>
      </c>
      <c r="FK91" s="60">
        <f t="shared" si="102"/>
        <v>82.434879813357327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projet'!$B$16,Paramètres!$A$1:$I$89,3,0)*0.475*44/12</f>
        <v>0</v>
      </c>
      <c r="FR91" s="23">
        <f>EXP(-LN(2)/25)*FR90+(1-EXP(-LN(2)/25))/(LN(2)/25)*Calculateur!FM91*Calculateur!FO91*VLOOKUP('Données projet'!$B$16,Paramètres!$A$1:$I$89,3,0)*0.475*44/12</f>
        <v>0</v>
      </c>
      <c r="FS91" s="23">
        <f>EXP(-LN(2)/2)*FS90+(1-EXP(-LN(2)/2))/(LN(2)/2)*FM91*FP91*VLOOKUP('Données projet'!$B$16,Paramètres!$A$1:$I$89,3,0)*0.475*44/12</f>
        <v>0</v>
      </c>
      <c r="FT91" s="24">
        <f t="shared" si="78"/>
        <v>0</v>
      </c>
      <c r="FU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1.0231815394945443E-12</v>
      </c>
      <c r="GA91" s="18">
        <f>FZ91*VLOOKUP('Données projet'!$B$17,Paramètres!$A$1:$I$89,3,0)*VLOOKUP('Données projet'!$B$17,Paramètres!$A$1:$I$89,5,0)</f>
        <v>4.5224624045658859E-13</v>
      </c>
      <c r="GB91" s="14">
        <f t="shared" si="103"/>
        <v>5.6995607121061449E-12</v>
      </c>
      <c r="GC91" s="22">
        <f t="shared" si="79"/>
        <v>1.0714397109046761E-11</v>
      </c>
      <c r="GD91" s="60">
        <f t="shared" si="80"/>
        <v>293.333333333344</v>
      </c>
      <c r="GE91" s="60">
        <f ca="1">AVERAGE(OFFSET($GD$3,0,0,'Données projet'!$E$17+1,1))-AVERAGE(OFFSET($H$3,0,0,'Données projet'!$E$17+1,1))</f>
        <v>323.56667371063662</v>
      </c>
      <c r="GF91" s="60">
        <f t="shared" si="104"/>
        <v>275.70373467723385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>
        <f>EXP(-LN(2)/35)*GL90+(1-EXP(-LN(2)/35))/(LN(2)/35)*GH91*GI91*VLOOKUP('Données projet'!$B$17,Paramètres!$A$1:$I$89,3,0)*0.475*44/12</f>
        <v>0</v>
      </c>
      <c r="GM91" s="23">
        <f>EXP(-LN(2)/25)*GM90+(1-EXP(-LN(2)/25))/(LN(2)/25)*Calculateur!GH91*Calculateur!GJ91*VLOOKUP('Données projet'!$B$17,Paramètres!$A$1:$I$89,3,0)*0.475*44/12</f>
        <v>0</v>
      </c>
      <c r="GN91" s="23">
        <f>EXP(-LN(2)/2)*GN90+(1-EXP(-LN(2)/2))/(LN(2)/2)*GH91*GK91*VLOOKUP('Données projet'!$B$17,Paramètres!$A$1:$I$89,3,0)*0.475*44/12</f>
        <v>0</v>
      </c>
      <c r="GO91" s="23">
        <f t="shared" si="81"/>
        <v>0</v>
      </c>
      <c r="GP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0" t="e">
        <f t="shared" si="83"/>
        <v>#N/A</v>
      </c>
      <c r="GZ91" s="60" t="e">
        <f ca="1">AVERAGE(OFFSET($GY$3,0,0,'Données projet'!$E$18+1,1))-AVERAGE(OFFSET($H$3,0,0,'Données projet'!$E$18+1,1))</f>
        <v>#N/A</v>
      </c>
      <c r="HA91" s="60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4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2">
        <f t="shared" si="86"/>
        <v>14.250053466673728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-1.1368683772161603E-13</v>
      </c>
      <c r="O92" s="14">
        <f>N92*VLOOKUP('Données projet'!$B$9,Paramètres!$A$1:$I$89,3,0)*VLOOKUP('Données projet'!$B$9,Paramètres!$A$1:$I$89,5,0)</f>
        <v>-6.7984728957526396E-14</v>
      </c>
      <c r="P92" s="14" t="e">
        <f t="shared" si="87"/>
        <v>#NUM!</v>
      </c>
      <c r="Q92" s="22" t="e">
        <f t="shared" si="54"/>
        <v>#NUM!</v>
      </c>
      <c r="R92" s="60" t="e">
        <f t="shared" si="55"/>
        <v>#NUM!</v>
      </c>
      <c r="S92" s="60">
        <f ca="1">AVERAGE(OFFSET($R$3,0,0,'Données projet'!$E$9+1,1))-AVERAGE(OFFSET($H$3,0,0,'Données projet'!$E$9+1,1))</f>
        <v>235.63766249714581</v>
      </c>
      <c r="T92" s="60">
        <f t="shared" si="88"/>
        <v>231.3297293785277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3.5665849621808992</v>
      </c>
      <c r="AA92" s="23">
        <f>EXP(-LN(2)/25)*AA91+(1-EXP(-LN(2)/25))/(LN(2)/25)*Calculateur!V92*Calculateur!X92*VLOOKUP('Données projet'!$B$9,Paramètres!$A$1:$I$89,3,0)*0.475*44/12</f>
        <v>3.3677348211126761</v>
      </c>
      <c r="AB92" s="23">
        <f>EXP(-LN(2)/2)*AB91+(1-EXP(-LN(2)/2))/(LN(2)/2)*V92*Y92*VLOOKUP('Données projet'!$B$9,Paramètres!$A$1:$I$89,3,0)*0.475*44/12</f>
        <v>9.3677062258696623E-9</v>
      </c>
      <c r="AC92" s="24">
        <f t="shared" si="57"/>
        <v>6.9343197926612818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5.6</v>
      </c>
      <c r="AI92" s="14">
        <f>IF('Données projet'!$A$62&gt;35,AI91+AH92-AQ91,IF(A92&lt;'Données projet'!$A$62,$AF$205^A92,IF(A92='Données projet'!$A$62,'Données projet'!$B$62,AI91+AH92-AQ91)))</f>
        <v>290.40000000000003</v>
      </c>
      <c r="AJ92" s="14">
        <f>AI92*VLOOKUP('Données projet'!$B$10,Paramètres!$A$1:$I$89,3,0)*VLOOKUP('Données projet'!$B$10,Paramètres!$A$1:$I$89,5,0)</f>
        <v>294.46560000000005</v>
      </c>
      <c r="AK92" s="14">
        <f t="shared" si="89"/>
        <v>70.014986320104285</v>
      </c>
      <c r="AL92" s="22">
        <f t="shared" si="58"/>
        <v>634.8036878408484</v>
      </c>
      <c r="AM92" s="60">
        <f t="shared" si="59"/>
        <v>928.13702117418165</v>
      </c>
      <c r="AN92" s="60">
        <f ca="1">AVERAGE(OFFSET($AM$3,0,0,'Données projet'!$E$10+1,1))-AVERAGE(OFFSET($H$3,0,0,'Données projet'!$E$10+1,1))</f>
        <v>350.3652766444938</v>
      </c>
      <c r="AO92" s="60">
        <f t="shared" si="90"/>
        <v>197.04549436738586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6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5.6</v>
      </c>
      <c r="BD92" s="13">
        <f>IF('Données projet'!$A$88&gt;35,BD91+BC92-BL91,IF(A92&lt;'Données projet'!$A$88,$BA$205^A92,IF(A92='Données projet'!$A$88,'Données projet'!$B$88,BD91+BC92-BL91)))</f>
        <v>290.40000000000003</v>
      </c>
      <c r="BE92" s="14">
        <f>BD92*VLOOKUP('Données projet'!$B$11,Paramètres!$A$1:$I$89,3,0)*VLOOKUP('Données projet'!$B$11,Paramètres!$A$1:$I$89,5,0)</f>
        <v>280.87488000000008</v>
      </c>
      <c r="BF92" s="14">
        <f t="shared" si="91"/>
        <v>67.151862592195855</v>
      </c>
      <c r="BG92" s="22">
        <f t="shared" si="61"/>
        <v>606.14657668140785</v>
      </c>
      <c r="BH92" s="60">
        <f t="shared" si="62"/>
        <v>899.47991001474111</v>
      </c>
      <c r="BI92" s="60">
        <f ca="1">AVERAGE(OFFSET($BH$3,0,0,'Données projet'!$E$11+1,1))-AVERAGE(OFFSET($H$3,0,0,'Données projet'!$E$11+1,1))</f>
        <v>330.39429528665841</v>
      </c>
      <c r="BJ92" s="60">
        <f t="shared" si="92"/>
        <v>186.45728006007261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3.8461538461538454</v>
      </c>
      <c r="BY92" s="13">
        <f>IF('Données projet'!$A$114&gt;35,BY91+BX92-CG91,IF(A92&lt;'Données projet'!$A$114,$BV$205^A92,IF(A92='Données projet'!$A$114,'Données projet'!$B$114,BY91+BX92-CG91)))</f>
        <v>291.66666666666674</v>
      </c>
      <c r="BZ92" s="14">
        <f>BY92*VLOOKUP('Données projet'!$B$12,Paramètres!$A$1:$I$89,3,0)*VLOOKUP('Données projet'!$B$12,Paramètres!$A$1:$I$89,5,0)</f>
        <v>195.65000000000006</v>
      </c>
      <c r="CA92" s="14">
        <f t="shared" si="93"/>
        <v>48.786949327182981</v>
      </c>
      <c r="CB92" s="22">
        <f t="shared" si="64"/>
        <v>425.72768674484382</v>
      </c>
      <c r="CC92" s="60">
        <f t="shared" si="65"/>
        <v>719.06102007817708</v>
      </c>
      <c r="CD92" s="60">
        <f ca="1">AVERAGE(OFFSET($CC$3,0,0,'Données projet'!$E$12+1,1))-AVERAGE(OFFSET($H$3,0,0,'Données projet'!$E$12+1,1))</f>
        <v>212.33913923444732</v>
      </c>
      <c r="CE92" s="60">
        <f t="shared" si="94"/>
        <v>183.51194426094372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3</v>
      </c>
      <c r="CT92" s="13">
        <f>IF('Données projet'!$A$140&gt;35,CT91+CS92-DB91,IF(A92&lt;'Données projet'!$A$140,$CQ$205^A92,IF(A92='Données projet'!$A$140,'Données projet'!$B$140,CT91+CS92-DB91)))</f>
        <v>211.9999999999996</v>
      </c>
      <c r="CU92" s="18">
        <f>CT92*VLOOKUP('Données projet'!$B$13,Paramètres!$A$1:$I$89,3,0)*VLOOKUP('Données projet'!$B$13,Paramètres!$A$1:$I$89,5,0)</f>
        <v>185.20319999999967</v>
      </c>
      <c r="CV92" s="14">
        <f t="shared" si="95"/>
        <v>46.477875402099343</v>
      </c>
      <c r="CW92" s="22">
        <f t="shared" si="67"/>
        <v>403.51120632532246</v>
      </c>
      <c r="CX92" s="60">
        <f t="shared" si="68"/>
        <v>696.84453965865578</v>
      </c>
      <c r="CY92" s="60">
        <f ca="1">AVERAGE(OFFSET($CX$3,0,0,'Données projet'!$E$13+1,1))-AVERAGE(OFFSET($H$3,0,0,'Données projet'!$E$13+1,1))</f>
        <v>228.0393346366489</v>
      </c>
      <c r="CZ92" s="60">
        <f t="shared" si="96"/>
        <v>238.591781509447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5.6</v>
      </c>
      <c r="DO92" s="13">
        <f>IF('Données projet'!$A$166&gt;35,DO91+DN92-DW91,IF(A92&lt;'Données projet'!$A$166,$DL$205^A92,IF(A92='Données projet'!$A$166,'Données projet'!$B$166,DO91+DN92-DW91)))</f>
        <v>290.40000000000003</v>
      </c>
      <c r="DP92" s="18">
        <f>DO92*VLOOKUP('Données projet'!$B$14,Paramètres!$A$1:$I$89,3,0)*VLOOKUP('Données projet'!$B$14,Paramètres!$A$1:$I$89,5,0)</f>
        <v>262.75392000000005</v>
      </c>
      <c r="DQ92" s="14">
        <f t="shared" si="97"/>
        <v>63.309041956360382</v>
      </c>
      <c r="DR92" s="22">
        <f t="shared" si="70"/>
        <v>567.89299207399438</v>
      </c>
      <c r="DS92" s="60">
        <f t="shared" si="71"/>
        <v>861.22632540732775</v>
      </c>
      <c r="DT92" s="60">
        <f ca="1">AVERAGE(OFFSET($DS$3,0,0,'Données projet'!$E$14+1,1))-AVERAGE(OFFSET($H$3,0,0,'Données projet'!$E$14+1,1))</f>
        <v>303.73499739059076</v>
      </c>
      <c r="DU92" s="60">
        <f t="shared" si="98"/>
        <v>172.32171001882188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1.1368683772161603E-13</v>
      </c>
      <c r="EK92" s="18">
        <f>EJ92*VLOOKUP('Données projet'!$B$15,Paramètres!$A$1:$I$89,3,0)*VLOOKUP('Données projet'!$B$15,Paramètres!$A$1:$I$89,5,0)</f>
        <v>6.7984728957526396E-14</v>
      </c>
      <c r="EL92" s="14">
        <f t="shared" si="99"/>
        <v>1.0682447123141398E-12</v>
      </c>
      <c r="EM92" s="22">
        <f t="shared" si="73"/>
        <v>1.978932943548152E-12</v>
      </c>
      <c r="EN92" s="60">
        <f t="shared" si="74"/>
        <v>293.3333333333353</v>
      </c>
      <c r="EO92" s="60">
        <f ca="1">AVERAGE(OFFSET($EN$3,0,0,'Données projet'!$E$15+1,1))-AVERAGE(OFFSET($H$3,0,0,'Données projet'!$E$15+1,1))</f>
        <v>269.94948820700841</v>
      </c>
      <c r="EP92" s="60">
        <f t="shared" si="100"/>
        <v>183.45158355135192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2.6598160161717632</v>
      </c>
      <c r="EX92" s="23">
        <f>EXP(-LN(2)/2)*EX91+(1-EXP(-LN(2)/2))/(LN(2)/2)*ER92*EU92*VLOOKUP('Données projet'!$B$15,Paramètres!$A$1:$I$89,3,0)*0.475*44/12</f>
        <v>7.4257896046115796E-9</v>
      </c>
      <c r="EY92" s="24">
        <f t="shared" si="75"/>
        <v>2.659816023597553</v>
      </c>
      <c r="EZ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>
        <f>VLOOKUP(A92,'Données projet'!$A$217:$I$237,2,0)</f>
        <v>281</v>
      </c>
      <c r="FC92" s="13">
        <f>VLOOKUP(A92,'Données projet'!$A$217:$I$237,9,0)</f>
        <v>6.25</v>
      </c>
      <c r="FD92" s="13">
        <f t="array" ref="FD92">INDEX(FC:FC,MIN(IF(ISNUMBER(FC92:FC288),ROW(FC92:FC288),"")))</f>
        <v>6.25</v>
      </c>
      <c r="FE92" s="13">
        <f>IF('Données projet'!$A$218&gt;35,FE91+FD92-FM91,IF(A92&lt;'Données projet'!$A$218,$FB$205^A92,IF(A92='Données projet'!$A$218,'Données projet'!$B$218,FE91+FD92-FM91)))</f>
        <v>281</v>
      </c>
      <c r="FF92" s="18">
        <f>FE92*VLOOKUP('Données projet'!$B$16,Paramètres!$A$1:$I$89,3,0)*VLOOKUP('Données projet'!$B$16,Paramètres!$A$1:$I$89,5,0)</f>
        <v>168.03800000000004</v>
      </c>
      <c r="FG92" s="14">
        <f t="shared" si="101"/>
        <v>42.650304418351887</v>
      </c>
      <c r="FH92" s="22">
        <f t="shared" si="76"/>
        <v>366.94879686196288</v>
      </c>
      <c r="FI92" s="60">
        <f t="shared" si="77"/>
        <v>660.28213019529619</v>
      </c>
      <c r="FJ92" s="60">
        <f ca="1">AVERAGE(OFFSET($FI$3,0,0,'Données projet'!$E$16+1,1))-AVERAGE(OFFSET($H$3,0,0,'Données projet'!$E$16+1,1))</f>
        <v>111.24788725253484</v>
      </c>
      <c r="FK92" s="60">
        <f t="shared" si="102"/>
        <v>82.434879813357327</v>
      </c>
      <c r="FL92" s="16">
        <f>IF(ISNA(VLOOKUP(A92,'Données projet'!$A$217:$I$237,3,0)),0,VLOOKUP(A92,'Données projet'!$A$217:$I$237,3,0))</f>
        <v>6</v>
      </c>
      <c r="FM92" s="16">
        <f>IF(ISNA(VLOOKUP(A92,'Données projet'!$A$217:$I$237,4,0)),0,VLOOKUP(A92,'Données projet'!$A$217:$I$237,4,0))</f>
        <v>281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projet'!$B$16,Paramètres!$A$1:$I$89,3,0)*0.475*44/12</f>
        <v>0</v>
      </c>
      <c r="FR92" s="23">
        <f>EXP(-LN(2)/25)*FR91+(1-EXP(-LN(2)/25))/(LN(2)/25)*Calculateur!FM92*Calculateur!FO92*VLOOKUP('Données projet'!$B$16,Paramètres!$A$1:$I$89,3,0)*0.475*44/12</f>
        <v>0</v>
      </c>
      <c r="FS92" s="23">
        <f>EXP(-LN(2)/2)*FS91+(1-EXP(-LN(2)/2))/(LN(2)/2)*FM92*FP92*VLOOKUP('Données projet'!$B$16,Paramètres!$A$1:$I$89,3,0)*0.475*44/12</f>
        <v>0</v>
      </c>
      <c r="FT92" s="24">
        <f t="shared" si="78"/>
        <v>0</v>
      </c>
      <c r="FU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1.0231815394945443E-12</v>
      </c>
      <c r="GA92" s="18">
        <f>FZ92*VLOOKUP('Données projet'!$B$17,Paramètres!$A$1:$I$89,3,0)*VLOOKUP('Données projet'!$B$17,Paramètres!$A$1:$I$89,5,0)</f>
        <v>4.5224624045658859E-13</v>
      </c>
      <c r="GB92" s="14">
        <f t="shared" si="103"/>
        <v>5.6995607121061449E-12</v>
      </c>
      <c r="GC92" s="22">
        <f t="shared" si="79"/>
        <v>1.0714397109046761E-11</v>
      </c>
      <c r="GD92" s="60">
        <f t="shared" si="80"/>
        <v>293.333333333344</v>
      </c>
      <c r="GE92" s="60">
        <f ca="1">AVERAGE(OFFSET($GD$3,0,0,'Données projet'!$E$17+1,1))-AVERAGE(OFFSET($H$3,0,0,'Données projet'!$E$17+1,1))</f>
        <v>323.56667371063662</v>
      </c>
      <c r="GF92" s="60">
        <f t="shared" si="104"/>
        <v>275.70373467723385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>
        <f>EXP(-LN(2)/35)*GL91+(1-EXP(-LN(2)/35))/(LN(2)/35)*GH92*GI92*VLOOKUP('Données projet'!$B$17,Paramètres!$A$1:$I$89,3,0)*0.475*44/12</f>
        <v>0</v>
      </c>
      <c r="GM92" s="23">
        <f>EXP(-LN(2)/25)*GM91+(1-EXP(-LN(2)/25))/(LN(2)/25)*Calculateur!GH92*Calculateur!GJ92*VLOOKUP('Données projet'!$B$17,Paramètres!$A$1:$I$89,3,0)*0.475*44/12</f>
        <v>0</v>
      </c>
      <c r="GN92" s="23">
        <f>EXP(-LN(2)/2)*GN91+(1-EXP(-LN(2)/2))/(LN(2)/2)*GH92*GK92*VLOOKUP('Données projet'!$B$17,Paramètres!$A$1:$I$89,3,0)*0.475*44/12</f>
        <v>0</v>
      </c>
      <c r="GO92" s="23">
        <f t="shared" si="81"/>
        <v>0</v>
      </c>
      <c r="GP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0" t="e">
        <f t="shared" si="83"/>
        <v>#N/A</v>
      </c>
      <c r="GZ92" s="60" t="e">
        <f ca="1">AVERAGE(OFFSET($GY$3,0,0,'Données projet'!$E$18+1,1))-AVERAGE(OFFSET($H$3,0,0,'Données projet'!$E$18+1,1))</f>
        <v>#N/A</v>
      </c>
      <c r="HA92" s="60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4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2">
        <f t="shared" si="86"/>
        <v>14.391437147300854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-1.1368683772161603E-13</v>
      </c>
      <c r="O93" s="14">
        <f>N93*VLOOKUP('Données projet'!$B$9,Paramètres!$A$1:$I$89,3,0)*VLOOKUP('Données projet'!$B$9,Paramètres!$A$1:$I$89,5,0)</f>
        <v>-6.7984728957526396E-14</v>
      </c>
      <c r="P93" s="14" t="e">
        <f t="shared" si="87"/>
        <v>#NUM!</v>
      </c>
      <c r="Q93" s="22" t="e">
        <f t="shared" si="54"/>
        <v>#NUM!</v>
      </c>
      <c r="R93" s="60" t="e">
        <f t="shared" si="55"/>
        <v>#NUM!</v>
      </c>
      <c r="S93" s="60">
        <f ca="1">AVERAGE(OFFSET($R$3,0,0,'Données projet'!$E$9+1,1))-AVERAGE(OFFSET($H$3,0,0,'Données projet'!$E$9+1,1))</f>
        <v>235.63766249714581</v>
      </c>
      <c r="T93" s="60">
        <f t="shared" si="88"/>
        <v>231.3297293785277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3.4966464064745555</v>
      </c>
      <c r="AA93" s="23">
        <f>EXP(-LN(2)/25)*AA92+(1-EXP(-LN(2)/25))/(LN(2)/25)*Calculateur!V93*Calculateur!X93*VLOOKUP('Données projet'!$B$9,Paramètres!$A$1:$I$89,3,0)*0.475*44/12</f>
        <v>3.2756439353278726</v>
      </c>
      <c r="AB93" s="23">
        <f>EXP(-LN(2)/2)*AB92+(1-EXP(-LN(2)/2))/(LN(2)/2)*V93*Y93*VLOOKUP('Données projet'!$B$9,Paramètres!$A$1:$I$89,3,0)*0.475*44/12</f>
        <v>6.6239685964758783E-9</v>
      </c>
      <c r="AC93" s="24">
        <f t="shared" si="57"/>
        <v>6.772290348426397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296</v>
      </c>
      <c r="AG93" s="13">
        <f>VLOOKUP(A93,'Données projet'!$A$61:$I$81,9,0)</f>
        <v>5.6</v>
      </c>
      <c r="AH93" s="13">
        <f t="array" ref="AH93">INDEX(AG:AG,MIN(IF(ISNUMBER(AG93:AG289),ROW(AG93:AG289),"")))</f>
        <v>5.6</v>
      </c>
      <c r="AI93" s="14">
        <f>IF('Données projet'!$A$62&gt;35,AI92+AH93-AQ92,IF(A93&lt;'Données projet'!$A$62,$AF$205^A93,IF(A93='Données projet'!$A$62,'Données projet'!$B$62,AI92+AH93-AQ92)))</f>
        <v>296.00000000000006</v>
      </c>
      <c r="AJ93" s="14">
        <f>AI93*VLOOKUP('Données projet'!$B$10,Paramètres!$A$1:$I$89,3,0)*VLOOKUP('Données projet'!$B$10,Paramètres!$A$1:$I$89,5,0)</f>
        <v>300.14400000000006</v>
      </c>
      <c r="AK93" s="14">
        <f t="shared" si="89"/>
        <v>71.206650563609855</v>
      </c>
      <c r="AL93" s="22">
        <f t="shared" si="58"/>
        <v>646.76904973162061</v>
      </c>
      <c r="AM93" s="60">
        <f t="shared" si="59"/>
        <v>940.10238306495398</v>
      </c>
      <c r="AN93" s="60">
        <f ca="1">AVERAGE(OFFSET($AM$3,0,0,'Données projet'!$E$10+1,1))-AVERAGE(OFFSET($H$3,0,0,'Données projet'!$E$10+1,1))</f>
        <v>350.3652766444938</v>
      </c>
      <c r="AO93" s="60">
        <f t="shared" si="90"/>
        <v>197.04549436738586</v>
      </c>
      <c r="AP93" s="16">
        <f>IF(ISNA(VLOOKUP(A93,'Données projet'!$A$61:$I$81,3,0)),0,VLOOKUP(A93,'Données projet'!$A$61:$I$81,3,0))</f>
        <v>7</v>
      </c>
      <c r="AQ93" s="16">
        <f>IF(ISNA(VLOOKUP(A93,'Données projet'!$A$61:$I$81,4,0)),0,VLOOKUP(A93,'Données projet'!$A$61:$I$81,4,0))</f>
        <v>42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6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296</v>
      </c>
      <c r="BB93" s="13">
        <f>VLOOKUP(A93,'Données projet'!$A$87:$I$107,9,0)</f>
        <v>5.6</v>
      </c>
      <c r="BC93" s="13">
        <f t="array" ref="BC93">INDEX(BB:BB,MIN(IF(ISNUMBER(BB93:BB289),ROW(BB93:BB289),"")))</f>
        <v>5.6</v>
      </c>
      <c r="BD93" s="13">
        <f>IF('Données projet'!$A$88&gt;35,BD92+BC93-BL92,IF(A93&lt;'Données projet'!$A$88,$BA$205^A93,IF(A93='Données projet'!$A$88,'Données projet'!$B$88,BD92+BC93-BL92)))</f>
        <v>296.00000000000006</v>
      </c>
      <c r="BE93" s="14">
        <f>BD93*VLOOKUP('Données projet'!$B$11,Paramètres!$A$1:$I$89,3,0)*VLOOKUP('Données projet'!$B$11,Paramètres!$A$1:$I$89,5,0)</f>
        <v>286.29120000000006</v>
      </c>
      <c r="BF93" s="14">
        <f t="shared" si="91"/>
        <v>68.294796094604408</v>
      </c>
      <c r="BG93" s="22">
        <f t="shared" si="61"/>
        <v>617.57060986476938</v>
      </c>
      <c r="BH93" s="60">
        <f t="shared" si="62"/>
        <v>910.90394319810275</v>
      </c>
      <c r="BI93" s="60">
        <f ca="1">AVERAGE(OFFSET($BH$3,0,0,'Données projet'!$E$11+1,1))-AVERAGE(OFFSET($H$3,0,0,'Données projet'!$E$11+1,1))</f>
        <v>330.39429528665841</v>
      </c>
      <c r="BJ93" s="60">
        <f t="shared" si="92"/>
        <v>186.45728006007261</v>
      </c>
      <c r="BK93" s="16">
        <f>IF(ISNA(VLOOKUP(A93,'Données projet'!$A$87:$I$107,3,0)),0,VLOOKUP(A93,'Données projet'!$A$87:$I$107,3,0))</f>
        <v>7</v>
      </c>
      <c r="BL93" s="16">
        <f>IF(ISNA(VLOOKUP(A93,'Données projet'!$A$87:$I$107,4,0)),0,VLOOKUP(A93,'Données projet'!$A$87:$I$107,4,0))</f>
        <v>42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295.5128205128205</v>
      </c>
      <c r="BW93" s="13">
        <f>VLOOKUP(A93,'Données projet'!$A$113:$I$133,9,0)</f>
        <v>3.8461538461538454</v>
      </c>
      <c r="BX93" s="13">
        <f t="array" ref="BX93">INDEX(BW:BW,MIN(IF(ISNUMBER(BW93:BW289),ROW(BW93:BW289),"")))</f>
        <v>3.8461538461538454</v>
      </c>
      <c r="BY93" s="13">
        <f>IF('Données projet'!$A$114&gt;35,BY92+BX93-CG92,IF(A93&lt;'Données projet'!$A$114,$BV$205^A93,IF(A93='Données projet'!$A$114,'Données projet'!$B$114,BY92+BX93-CG92)))</f>
        <v>295.51282051282061</v>
      </c>
      <c r="BZ93" s="14">
        <f>BY93*VLOOKUP('Données projet'!$B$12,Paramètres!$A$1:$I$89,3,0)*VLOOKUP('Données projet'!$B$12,Paramètres!$A$1:$I$89,5,0)</f>
        <v>198.23000000000008</v>
      </c>
      <c r="CA93" s="14">
        <f t="shared" si="93"/>
        <v>49.354974276661508</v>
      </c>
      <c r="CB93" s="22">
        <f t="shared" si="64"/>
        <v>431.21049686518558</v>
      </c>
      <c r="CC93" s="60">
        <f t="shared" si="65"/>
        <v>724.54383019851889</v>
      </c>
      <c r="CD93" s="60">
        <f ca="1">AVERAGE(OFFSET($CC$3,0,0,'Données projet'!$E$12+1,1))-AVERAGE(OFFSET($H$3,0,0,'Données projet'!$E$12+1,1))</f>
        <v>212.33913923444732</v>
      </c>
      <c r="CE93" s="60">
        <f t="shared" si="94"/>
        <v>183.51194426094372</v>
      </c>
      <c r="CF93" s="16">
        <f>IF(ISNA(VLOOKUP(A93,'Données projet'!$A$113:$I$133,3,0)),0,VLOOKUP(A93,'Données projet'!$A$113:$I$133,3,0))</f>
        <v>8</v>
      </c>
      <c r="CG93" s="16">
        <f>IF(ISNA(VLOOKUP(A93,'Données projet'!$A$113:$I$133,4,0)),0,VLOOKUP(A93,'Données projet'!$A$113:$I$133,4,0))</f>
        <v>24.358974358974358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215</v>
      </c>
      <c r="CR93" s="13">
        <f>VLOOKUP(A93,'Données projet'!$A$139:$I$159,9,0)</f>
        <v>3</v>
      </c>
      <c r="CS93" s="13">
        <f t="array" ref="CS93">INDEX(CR:CR,MIN(IF(ISNUMBER(CR93:CR289),ROW(CR93:CR289),"")))</f>
        <v>3</v>
      </c>
      <c r="CT93" s="13">
        <f>IF('Données projet'!$A$140&gt;35,CT92+CS93-DB92,IF(A93&lt;'Données projet'!$A$140,$CQ$205^A93,IF(A93='Données projet'!$A$140,'Données projet'!$B$140,CT92+CS93-DB92)))</f>
        <v>214.9999999999996</v>
      </c>
      <c r="CU93" s="18">
        <f>CT93*VLOOKUP('Données projet'!$B$13,Paramètres!$A$1:$I$89,3,0)*VLOOKUP('Données projet'!$B$13,Paramètres!$A$1:$I$89,5,0)</f>
        <v>187.82399999999967</v>
      </c>
      <c r="CV93" s="14">
        <f t="shared" si="95"/>
        <v>47.058548109182645</v>
      </c>
      <c r="CW93" s="22">
        <f t="shared" si="67"/>
        <v>409.08710462349251</v>
      </c>
      <c r="CX93" s="60">
        <f t="shared" si="68"/>
        <v>702.42043795682582</v>
      </c>
      <c r="CY93" s="60">
        <f ca="1">AVERAGE(OFFSET($CX$3,0,0,'Données projet'!$E$13+1,1))-AVERAGE(OFFSET($H$3,0,0,'Données projet'!$E$13+1,1))</f>
        <v>228.0393346366489</v>
      </c>
      <c r="CZ93" s="60">
        <f t="shared" si="96"/>
        <v>238.591781509447</v>
      </c>
      <c r="DA93" s="16">
        <f>IF(ISNA(VLOOKUP(A93,'Données projet'!$A$139:$I$159,3,0)),0,VLOOKUP(A93,'Données projet'!$A$139:$I$159,3,0))</f>
        <v>8</v>
      </c>
      <c r="DB93" s="16">
        <f>IF(ISNA(VLOOKUP(A93,'Données projet'!$A$139:$I$159,4,0)),0,VLOOKUP(A93,'Données projet'!$A$139:$I$159,4,0))</f>
        <v>215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296</v>
      </c>
      <c r="DM93" s="13">
        <f>VLOOKUP(A93,'Données projet'!$A$165:$I$185,9,0)</f>
        <v>5.6</v>
      </c>
      <c r="DN93" s="13">
        <f t="array" ref="DN93">INDEX(DM:DM,MIN(IF(ISNUMBER(DM93:DM289),ROW(DM93:DM289),"")))</f>
        <v>5.6</v>
      </c>
      <c r="DO93" s="13">
        <f>IF('Données projet'!$A$166&gt;35,DO92+DN93-DW92,IF(A93&lt;'Données projet'!$A$166,$DL$205^A93,IF(A93='Données projet'!$A$166,'Données projet'!$B$166,DO92+DN93-DW92)))</f>
        <v>296.00000000000006</v>
      </c>
      <c r="DP93" s="18">
        <f>DO93*VLOOKUP('Données projet'!$B$14,Paramètres!$A$1:$I$89,3,0)*VLOOKUP('Données projet'!$B$14,Paramètres!$A$1:$I$89,5,0)</f>
        <v>267.82080000000008</v>
      </c>
      <c r="DQ93" s="14">
        <f t="shared" si="97"/>
        <v>64.386570147897373</v>
      </c>
      <c r="DR93" s="22">
        <f t="shared" si="70"/>
        <v>578.59450300758806</v>
      </c>
      <c r="DS93" s="60">
        <f t="shared" si="71"/>
        <v>871.92783634092143</v>
      </c>
      <c r="DT93" s="60">
        <f ca="1">AVERAGE(OFFSET($DS$3,0,0,'Données projet'!$E$14+1,1))-AVERAGE(OFFSET($H$3,0,0,'Données projet'!$E$14+1,1))</f>
        <v>303.73499739059076</v>
      </c>
      <c r="DU93" s="60">
        <f t="shared" si="98"/>
        <v>172.32171001882188</v>
      </c>
      <c r="DV93" s="16">
        <f>IF(ISNA(VLOOKUP(A93,'Données projet'!$A$165:$I$185,3,0)),0,VLOOKUP(A93,'Données projet'!$A$165:$I$185,3,0))</f>
        <v>7</v>
      </c>
      <c r="DW93" s="16">
        <f>IF(ISNA(VLOOKUP(A93,'Données projet'!$A$165:$I$185,4,0)),0,VLOOKUP(A93,'Données projet'!$A$165:$I$185,4,0))</f>
        <v>42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1.1368683772161603E-13</v>
      </c>
      <c r="EK93" s="18">
        <f>EJ93*VLOOKUP('Données projet'!$B$15,Paramètres!$A$1:$I$89,3,0)*VLOOKUP('Données projet'!$B$15,Paramètres!$A$1:$I$89,5,0)</f>
        <v>6.7984728957526396E-14</v>
      </c>
      <c r="EL93" s="14">
        <f t="shared" si="99"/>
        <v>1.0682447123141398E-12</v>
      </c>
      <c r="EM93" s="22">
        <f t="shared" si="73"/>
        <v>1.978932943548152E-12</v>
      </c>
      <c r="EN93" s="60">
        <f t="shared" si="74"/>
        <v>293.3333333333353</v>
      </c>
      <c r="EO93" s="60">
        <f ca="1">AVERAGE(OFFSET($EN$3,0,0,'Données projet'!$E$15+1,1))-AVERAGE(OFFSET($H$3,0,0,'Données projet'!$E$15+1,1))</f>
        <v>269.94948820700841</v>
      </c>
      <c r="EP93" s="60">
        <f t="shared" si="100"/>
        <v>183.45158355135192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2.5870832073359011</v>
      </c>
      <c r="EX93" s="23">
        <f>EXP(-LN(2)/2)*EX92+(1-EXP(-LN(2)/2))/(LN(2)/2)*ER93*EU93*VLOOKUP('Données projet'!$B$15,Paramètres!$A$1:$I$89,3,0)*0.475*44/12</f>
        <v>5.2508261850854201E-9</v>
      </c>
      <c r="EY93" s="24">
        <f t="shared" si="75"/>
        <v>2.5870832125867271</v>
      </c>
      <c r="EZ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>
        <f>FE93*VLOOKUP('Données projet'!$B$16,Paramètres!$A$1:$I$89,3,0)*VLOOKUP('Données projet'!$B$16,Paramètres!$A$1:$I$89,5,0)</f>
        <v>0</v>
      </c>
      <c r="FG93" s="14" t="e">
        <f t="shared" si="101"/>
        <v>#NUM!</v>
      </c>
      <c r="FH93" s="22" t="e">
        <f t="shared" si="76"/>
        <v>#NUM!</v>
      </c>
      <c r="FI93" s="60" t="e">
        <f t="shared" si="77"/>
        <v>#NUM!</v>
      </c>
      <c r="FJ93" s="60">
        <f ca="1">AVERAGE(OFFSET($FI$3,0,0,'Données projet'!$E$16+1,1))-AVERAGE(OFFSET($H$3,0,0,'Données projet'!$E$16+1,1))</f>
        <v>111.24788725253484</v>
      </c>
      <c r="FK93" s="60">
        <f t="shared" si="102"/>
        <v>82.434879813357327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projet'!$B$16,Paramètres!$A$1:$I$89,3,0)*0.475*44/12</f>
        <v>0</v>
      </c>
      <c r="FR93" s="23">
        <f>EXP(-LN(2)/25)*FR92+(1-EXP(-LN(2)/25))/(LN(2)/25)*Calculateur!FM93*Calculateur!FO93*VLOOKUP('Données projet'!$B$16,Paramètres!$A$1:$I$89,3,0)*0.475*44/12</f>
        <v>0</v>
      </c>
      <c r="FS93" s="23">
        <f>EXP(-LN(2)/2)*FS92+(1-EXP(-LN(2)/2))/(LN(2)/2)*FM93*FP93*VLOOKUP('Données projet'!$B$16,Paramètres!$A$1:$I$89,3,0)*0.475*44/12</f>
        <v>0</v>
      </c>
      <c r="FT93" s="24">
        <f t="shared" si="78"/>
        <v>0</v>
      </c>
      <c r="FU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1.0231815394945443E-12</v>
      </c>
      <c r="GA93" s="18">
        <f>FZ93*VLOOKUP('Données projet'!$B$17,Paramètres!$A$1:$I$89,3,0)*VLOOKUP('Données projet'!$B$17,Paramètres!$A$1:$I$89,5,0)</f>
        <v>4.5224624045658859E-13</v>
      </c>
      <c r="GB93" s="14">
        <f t="shared" si="103"/>
        <v>5.6995607121061449E-12</v>
      </c>
      <c r="GC93" s="22">
        <f t="shared" si="79"/>
        <v>1.0714397109046761E-11</v>
      </c>
      <c r="GD93" s="60">
        <f t="shared" si="80"/>
        <v>293.333333333344</v>
      </c>
      <c r="GE93" s="60">
        <f ca="1">AVERAGE(OFFSET($GD$3,0,0,'Données projet'!$E$17+1,1))-AVERAGE(OFFSET($H$3,0,0,'Données projet'!$E$17+1,1))</f>
        <v>323.56667371063662</v>
      </c>
      <c r="GF93" s="60">
        <f t="shared" si="104"/>
        <v>275.70373467723385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>
        <f>EXP(-LN(2)/35)*GL92+(1-EXP(-LN(2)/35))/(LN(2)/35)*GH93*GI93*VLOOKUP('Données projet'!$B$17,Paramètres!$A$1:$I$89,3,0)*0.475*44/12</f>
        <v>0</v>
      </c>
      <c r="GM93" s="23">
        <f>EXP(-LN(2)/25)*GM92+(1-EXP(-LN(2)/25))/(LN(2)/25)*Calculateur!GH93*Calculateur!GJ93*VLOOKUP('Données projet'!$B$17,Paramètres!$A$1:$I$89,3,0)*0.475*44/12</f>
        <v>0</v>
      </c>
      <c r="GN93" s="23">
        <f>EXP(-LN(2)/2)*GN92+(1-EXP(-LN(2)/2))/(LN(2)/2)*GH93*GK93*VLOOKUP('Données projet'!$B$17,Paramètres!$A$1:$I$89,3,0)*0.475*44/12</f>
        <v>0</v>
      </c>
      <c r="GO93" s="23">
        <f t="shared" si="81"/>
        <v>0</v>
      </c>
      <c r="GP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0" t="e">
        <f t="shared" si="83"/>
        <v>#N/A</v>
      </c>
      <c r="GZ93" s="60" t="e">
        <f ca="1">AVERAGE(OFFSET($GY$3,0,0,'Données projet'!$E$18+1,1))-AVERAGE(OFFSET($H$3,0,0,'Données projet'!$E$18+1,1))</f>
        <v>#N/A</v>
      </c>
      <c r="HA93" s="60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4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2">
        <f t="shared" si="86"/>
        <v>14.532638085920599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-1.1368683772161603E-13</v>
      </c>
      <c r="O94" s="14">
        <f>N94*VLOOKUP('Données projet'!$B$9,Paramètres!$A$1:$I$89,3,0)*VLOOKUP('Données projet'!$B$9,Paramètres!$A$1:$I$89,5,0)</f>
        <v>-6.7984728957526396E-14</v>
      </c>
      <c r="P94" s="14" t="e">
        <f t="shared" si="87"/>
        <v>#NUM!</v>
      </c>
      <c r="Q94" s="22" t="e">
        <f t="shared" si="54"/>
        <v>#NUM!</v>
      </c>
      <c r="R94" s="60" t="e">
        <f t="shared" si="55"/>
        <v>#NUM!</v>
      </c>
      <c r="S94" s="60">
        <f ca="1">AVERAGE(OFFSET($R$3,0,0,'Données projet'!$E$9+1,1))-AVERAGE(OFFSET($H$3,0,0,'Données projet'!$E$9+1,1))</f>
        <v>235.63766249714581</v>
      </c>
      <c r="T94" s="60">
        <f t="shared" si="88"/>
        <v>231.3297293785277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3.4280793031873062</v>
      </c>
      <c r="AA94" s="23">
        <f>EXP(-LN(2)/25)*AA93+(1-EXP(-LN(2)/25))/(LN(2)/25)*Calculateur!V94*Calculateur!X94*VLOOKUP('Données projet'!$B$9,Paramètres!$A$1:$I$89,3,0)*0.475*44/12</f>
        <v>3.1860712796577038</v>
      </c>
      <c r="AB94" s="23">
        <f>EXP(-LN(2)/2)*AB93+(1-EXP(-LN(2)/2))/(LN(2)/2)*V94*Y94*VLOOKUP('Données projet'!$B$9,Paramètres!$A$1:$I$89,3,0)*0.475*44/12</f>
        <v>4.6838531129348311E-9</v>
      </c>
      <c r="AC94" s="24">
        <f t="shared" si="57"/>
        <v>6.6141505875288633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4.9000000000000004</v>
      </c>
      <c r="AI94" s="14">
        <f>IF('Données projet'!$A$62&gt;35,AI93+AH94-AQ93,IF(A94&lt;'Données projet'!$A$62,$AF$205^A94,IF(A94='Données projet'!$A$62,'Données projet'!$B$62,AI93+AH94-AQ93)))</f>
        <v>258.90000000000003</v>
      </c>
      <c r="AJ94" s="14">
        <f>AI94*VLOOKUP('Données projet'!$B$10,Paramètres!$A$1:$I$89,3,0)*VLOOKUP('Données projet'!$B$10,Paramètres!$A$1:$I$89,5,0)</f>
        <v>262.52460000000002</v>
      </c>
      <c r="AK94" s="14">
        <f t="shared" si="89"/>
        <v>63.260217631774687</v>
      </c>
      <c r="AL94" s="22">
        <f t="shared" si="58"/>
        <v>567.40855737534105</v>
      </c>
      <c r="AM94" s="60">
        <f t="shared" si="59"/>
        <v>860.74189070867442</v>
      </c>
      <c r="AN94" s="60">
        <f ca="1">AVERAGE(OFFSET($AM$3,0,0,'Données projet'!$E$10+1,1))-AVERAGE(OFFSET($H$3,0,0,'Données projet'!$E$10+1,1))</f>
        <v>350.3652766444938</v>
      </c>
      <c r="AO94" s="60">
        <f t="shared" si="90"/>
        <v>197.04549436738586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6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4.9000000000000004</v>
      </c>
      <c r="BD94" s="13">
        <f>IF('Données projet'!$A$88&gt;35,BD93+BC94-BL93,IF(A94&lt;'Données projet'!$A$88,$BA$205^A94,IF(A94='Données projet'!$A$88,'Données projet'!$B$88,BD93+BC94-BL93)))</f>
        <v>258.90000000000003</v>
      </c>
      <c r="BE94" s="14">
        <f>BD94*VLOOKUP('Données projet'!$B$11,Paramètres!$A$1:$I$89,3,0)*VLOOKUP('Données projet'!$B$11,Paramètres!$A$1:$I$89,5,0)</f>
        <v>250.40808000000004</v>
      </c>
      <c r="BF94" s="14">
        <f t="shared" si="91"/>
        <v>60.67331674592576</v>
      </c>
      <c r="BG94" s="22">
        <f t="shared" si="61"/>
        <v>541.80009933248743</v>
      </c>
      <c r="BH94" s="60">
        <f t="shared" si="62"/>
        <v>835.13343266582069</v>
      </c>
      <c r="BI94" s="60">
        <f ca="1">AVERAGE(OFFSET($BH$3,0,0,'Données projet'!$E$11+1,1))-AVERAGE(OFFSET($H$3,0,0,'Données projet'!$E$11+1,1))</f>
        <v>330.39429528665841</v>
      </c>
      <c r="BJ94" s="60">
        <f t="shared" si="92"/>
        <v>186.45728006007261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3.7179487179487181</v>
      </c>
      <c r="BY94" s="13">
        <f>IF('Données projet'!$A$114&gt;35,BY93+BX94-CG93,IF(A94&lt;'Données projet'!$A$114,$BV$205^A94,IF(A94='Données projet'!$A$114,'Données projet'!$B$114,BY93+BX94-CG93)))</f>
        <v>274.87179487179498</v>
      </c>
      <c r="BZ94" s="14">
        <f>BY94*VLOOKUP('Données projet'!$B$12,Paramètres!$A$1:$I$89,3,0)*VLOOKUP('Données projet'!$B$12,Paramètres!$A$1:$I$89,5,0)</f>
        <v>184.38400000000007</v>
      </c>
      <c r="CA94" s="14">
        <f t="shared" si="93"/>
        <v>46.296175202781576</v>
      </c>
      <c r="CB94" s="22">
        <f t="shared" si="64"/>
        <v>401.76797181151136</v>
      </c>
      <c r="CC94" s="60">
        <f t="shared" si="65"/>
        <v>695.10130514484467</v>
      </c>
      <c r="CD94" s="60">
        <f ca="1">AVERAGE(OFFSET($CC$3,0,0,'Données projet'!$E$12+1,1))-AVERAGE(OFFSET($H$3,0,0,'Données projet'!$E$12+1,1))</f>
        <v>212.33913923444732</v>
      </c>
      <c r="CE94" s="60">
        <f t="shared" si="94"/>
        <v>183.51194426094372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-3.979039320256561E-13</v>
      </c>
      <c r="CU94" s="18">
        <f>CT94*VLOOKUP('Données projet'!$B$13,Paramètres!$A$1:$I$89,3,0)*VLOOKUP('Données projet'!$B$13,Paramètres!$A$1:$I$89,5,0)</f>
        <v>-3.4760887501761321E-13</v>
      </c>
      <c r="CV94" s="14" t="e">
        <f t="shared" si="95"/>
        <v>#NUM!</v>
      </c>
      <c r="CW94" s="22" t="e">
        <f t="shared" si="67"/>
        <v>#NUM!</v>
      </c>
      <c r="CX94" s="60" t="e">
        <f t="shared" si="68"/>
        <v>#NUM!</v>
      </c>
      <c r="CY94" s="60">
        <f ca="1">AVERAGE(OFFSET($CX$3,0,0,'Données projet'!$E$13+1,1))-AVERAGE(OFFSET($H$3,0,0,'Données projet'!$E$13+1,1))</f>
        <v>228.0393346366489</v>
      </c>
      <c r="CZ94" s="60">
        <f t="shared" si="96"/>
        <v>238.591781509447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4.9000000000000004</v>
      </c>
      <c r="DO94" s="13">
        <f>IF('Données projet'!$A$166&gt;35,DO93+DN94-DW93,IF(A94&lt;'Données projet'!$A$166,$DL$205^A94,IF(A94='Données projet'!$A$166,'Données projet'!$B$166,DO93+DN94-DW93)))</f>
        <v>258.90000000000003</v>
      </c>
      <c r="DP94" s="18">
        <f>DO94*VLOOKUP('Données projet'!$B$14,Paramètres!$A$1:$I$89,3,0)*VLOOKUP('Données projet'!$B$14,Paramètres!$A$1:$I$89,5,0)</f>
        <v>234.25272000000001</v>
      </c>
      <c r="DQ94" s="14">
        <f t="shared" si="97"/>
        <v>57.201236231171301</v>
      </c>
      <c r="DR94" s="22">
        <f t="shared" si="70"/>
        <v>507.61564043595672</v>
      </c>
      <c r="DS94" s="60">
        <f t="shared" si="71"/>
        <v>800.94897376928998</v>
      </c>
      <c r="DT94" s="60">
        <f ca="1">AVERAGE(OFFSET($DS$3,0,0,'Données projet'!$E$14+1,1))-AVERAGE(OFFSET($H$3,0,0,'Données projet'!$E$14+1,1))</f>
        <v>303.73499739059076</v>
      </c>
      <c r="DU94" s="60">
        <f t="shared" si="98"/>
        <v>172.32171001882188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1.1368683772161603E-13</v>
      </c>
      <c r="EK94" s="18">
        <f>EJ94*VLOOKUP('Données projet'!$B$15,Paramètres!$A$1:$I$89,3,0)*VLOOKUP('Données projet'!$B$15,Paramètres!$A$1:$I$89,5,0)</f>
        <v>6.7984728957526396E-14</v>
      </c>
      <c r="EL94" s="14">
        <f t="shared" si="99"/>
        <v>1.0682447123141398E-12</v>
      </c>
      <c r="EM94" s="22">
        <f t="shared" si="73"/>
        <v>1.978932943548152E-12</v>
      </c>
      <c r="EN94" s="60">
        <f t="shared" si="74"/>
        <v>293.3333333333353</v>
      </c>
      <c r="EO94" s="60">
        <f ca="1">AVERAGE(OFFSET($EN$3,0,0,'Données projet'!$E$15+1,1))-AVERAGE(OFFSET($H$3,0,0,'Données projet'!$E$15+1,1))</f>
        <v>269.94948820700841</v>
      </c>
      <c r="EP94" s="60">
        <f t="shared" si="100"/>
        <v>183.45158355135192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2.5163392809825078</v>
      </c>
      <c r="EX94" s="23">
        <f>EXP(-LN(2)/2)*EX93+(1-EXP(-LN(2)/2))/(LN(2)/2)*ER94*EU94*VLOOKUP('Données projet'!$B$15,Paramètres!$A$1:$I$89,3,0)*0.475*44/12</f>
        <v>3.7128948023057906E-9</v>
      </c>
      <c r="EY94" s="24">
        <f t="shared" si="75"/>
        <v>2.5163392846954027</v>
      </c>
      <c r="EZ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>
        <f>FE94*VLOOKUP('Données projet'!$B$16,Paramètres!$A$1:$I$89,3,0)*VLOOKUP('Données projet'!$B$16,Paramètres!$A$1:$I$89,5,0)</f>
        <v>0</v>
      </c>
      <c r="FG94" s="14" t="e">
        <f t="shared" si="101"/>
        <v>#NUM!</v>
      </c>
      <c r="FH94" s="22" t="e">
        <f t="shared" si="76"/>
        <v>#NUM!</v>
      </c>
      <c r="FI94" s="60" t="e">
        <f t="shared" si="77"/>
        <v>#NUM!</v>
      </c>
      <c r="FJ94" s="60">
        <f ca="1">AVERAGE(OFFSET($FI$3,0,0,'Données projet'!$E$16+1,1))-AVERAGE(OFFSET($H$3,0,0,'Données projet'!$E$16+1,1))</f>
        <v>111.24788725253484</v>
      </c>
      <c r="FK94" s="60">
        <f t="shared" si="102"/>
        <v>82.434879813357327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projet'!$B$16,Paramètres!$A$1:$I$89,3,0)*0.475*44/12</f>
        <v>0</v>
      </c>
      <c r="FR94" s="23">
        <f>EXP(-LN(2)/25)*FR93+(1-EXP(-LN(2)/25))/(LN(2)/25)*Calculateur!FM94*Calculateur!FO94*VLOOKUP('Données projet'!$B$16,Paramètres!$A$1:$I$89,3,0)*0.475*44/12</f>
        <v>0</v>
      </c>
      <c r="FS94" s="23">
        <f>EXP(-LN(2)/2)*FS93+(1-EXP(-LN(2)/2))/(LN(2)/2)*FM94*FP94*VLOOKUP('Données projet'!$B$16,Paramètres!$A$1:$I$89,3,0)*0.475*44/12</f>
        <v>0</v>
      </c>
      <c r="FT94" s="24">
        <f t="shared" si="78"/>
        <v>0</v>
      </c>
      <c r="FU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1.0231815394945443E-12</v>
      </c>
      <c r="GA94" s="18">
        <f>FZ94*VLOOKUP('Données projet'!$B$17,Paramètres!$A$1:$I$89,3,0)*VLOOKUP('Données projet'!$B$17,Paramètres!$A$1:$I$89,5,0)</f>
        <v>4.5224624045658859E-13</v>
      </c>
      <c r="GB94" s="14">
        <f t="shared" si="103"/>
        <v>5.6995607121061449E-12</v>
      </c>
      <c r="GC94" s="22">
        <f t="shared" si="79"/>
        <v>1.0714397109046761E-11</v>
      </c>
      <c r="GD94" s="60">
        <f t="shared" si="80"/>
        <v>293.333333333344</v>
      </c>
      <c r="GE94" s="60">
        <f ca="1">AVERAGE(OFFSET($GD$3,0,0,'Données projet'!$E$17+1,1))-AVERAGE(OFFSET($H$3,0,0,'Données projet'!$E$17+1,1))</f>
        <v>323.56667371063662</v>
      </c>
      <c r="GF94" s="60">
        <f t="shared" si="104"/>
        <v>275.70373467723385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>
        <f>EXP(-LN(2)/35)*GL93+(1-EXP(-LN(2)/35))/(LN(2)/35)*GH94*GI94*VLOOKUP('Données projet'!$B$17,Paramètres!$A$1:$I$89,3,0)*0.475*44/12</f>
        <v>0</v>
      </c>
      <c r="GM94" s="23">
        <f>EXP(-LN(2)/25)*GM93+(1-EXP(-LN(2)/25))/(LN(2)/25)*Calculateur!GH94*Calculateur!GJ94*VLOOKUP('Données projet'!$B$17,Paramètres!$A$1:$I$89,3,0)*0.475*44/12</f>
        <v>0</v>
      </c>
      <c r="GN94" s="23">
        <f>EXP(-LN(2)/2)*GN93+(1-EXP(-LN(2)/2))/(LN(2)/2)*GH94*GK94*VLOOKUP('Données projet'!$B$17,Paramètres!$A$1:$I$89,3,0)*0.475*44/12</f>
        <v>0</v>
      </c>
      <c r="GO94" s="23">
        <f t="shared" si="81"/>
        <v>0</v>
      </c>
      <c r="GP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0" t="e">
        <f t="shared" si="83"/>
        <v>#N/A</v>
      </c>
      <c r="GZ94" s="60" t="e">
        <f ca="1">AVERAGE(OFFSET($GY$3,0,0,'Données projet'!$E$18+1,1))-AVERAGE(OFFSET($H$3,0,0,'Données projet'!$E$18+1,1))</f>
        <v>#N/A</v>
      </c>
      <c r="HA94" s="60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4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2">
        <f t="shared" si="86"/>
        <v>14.673658523093403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-1.1368683772161603E-13</v>
      </c>
      <c r="O95" s="14">
        <f>N95*VLOOKUP('Données projet'!$B$9,Paramètres!$A$1:$I$89,3,0)*VLOOKUP('Données projet'!$B$9,Paramètres!$A$1:$I$89,5,0)</f>
        <v>-6.7984728957526396E-14</v>
      </c>
      <c r="P95" s="14" t="e">
        <f t="shared" si="87"/>
        <v>#NUM!</v>
      </c>
      <c r="Q95" s="22" t="e">
        <f t="shared" si="54"/>
        <v>#NUM!</v>
      </c>
      <c r="R95" s="60" t="e">
        <f t="shared" si="55"/>
        <v>#NUM!</v>
      </c>
      <c r="S95" s="60">
        <f ca="1">AVERAGE(OFFSET($R$3,0,0,'Données projet'!$E$9+1,1))-AVERAGE(OFFSET($H$3,0,0,'Données projet'!$E$9+1,1))</f>
        <v>235.63766249714581</v>
      </c>
      <c r="T95" s="60">
        <f t="shared" si="88"/>
        <v>231.3297293785277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3.3608567589737168</v>
      </c>
      <c r="AA95" s="23">
        <f>EXP(-LN(2)/25)*AA94+(1-EXP(-LN(2)/25))/(LN(2)/25)*Calculateur!V95*Calculateur!X95*VLOOKUP('Données projet'!$B$9,Paramètres!$A$1:$I$89,3,0)*0.475*44/12</f>
        <v>3.0989479929672572</v>
      </c>
      <c r="AB95" s="23">
        <f>EXP(-LN(2)/2)*AB94+(1-EXP(-LN(2)/2))/(LN(2)/2)*V95*Y95*VLOOKUP('Données projet'!$B$9,Paramètres!$A$1:$I$89,3,0)*0.475*44/12</f>
        <v>3.3119842982379391E-9</v>
      </c>
      <c r="AC95" s="24">
        <f t="shared" si="57"/>
        <v>6.4598047552529581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4.9000000000000004</v>
      </c>
      <c r="AI95" s="14">
        <f>IF('Données projet'!$A$62&gt;35,AI94+AH95-AQ94,IF(A95&lt;'Données projet'!$A$62,$AF$205^A95,IF(A95='Données projet'!$A$62,'Données projet'!$B$62,AI94+AH95-AQ94)))</f>
        <v>263.8</v>
      </c>
      <c r="AJ95" s="14">
        <f>AI95*VLOOKUP('Données projet'!$B$10,Paramètres!$A$1:$I$89,3,0)*VLOOKUP('Données projet'!$B$10,Paramètres!$A$1:$I$89,5,0)</f>
        <v>267.49320000000006</v>
      </c>
      <c r="AK95" s="14">
        <f t="shared" si="89"/>
        <v>64.316974590266341</v>
      </c>
      <c r="AL95" s="22">
        <f t="shared" si="58"/>
        <v>577.90272074471397</v>
      </c>
      <c r="AM95" s="60">
        <f t="shared" si="59"/>
        <v>871.23605407804735</v>
      </c>
      <c r="AN95" s="60">
        <f ca="1">AVERAGE(OFFSET($AM$3,0,0,'Données projet'!$E$10+1,1))-AVERAGE(OFFSET($H$3,0,0,'Données projet'!$E$10+1,1))</f>
        <v>350.3652766444938</v>
      </c>
      <c r="AO95" s="60">
        <f t="shared" si="90"/>
        <v>197.04549436738586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6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4.9000000000000004</v>
      </c>
      <c r="BD95" s="13">
        <f>IF('Données projet'!$A$88&gt;35,BD94+BC95-BL94,IF(A95&lt;'Données projet'!$A$88,$BA$205^A95,IF(A95='Données projet'!$A$88,'Données projet'!$B$88,BD94+BC95-BL94)))</f>
        <v>263.8</v>
      </c>
      <c r="BE95" s="14">
        <f>BD95*VLOOKUP('Données projet'!$B$11,Paramètres!$A$1:$I$89,3,0)*VLOOKUP('Données projet'!$B$11,Paramètres!$A$1:$I$89,5,0)</f>
        <v>255.14736000000002</v>
      </c>
      <c r="BF95" s="14">
        <f t="shared" si="91"/>
        <v>61.686859728645651</v>
      </c>
      <c r="BG95" s="22">
        <f t="shared" si="61"/>
        <v>551.81959936072451</v>
      </c>
      <c r="BH95" s="60">
        <f t="shared" si="62"/>
        <v>845.15293269405788</v>
      </c>
      <c r="BI95" s="60">
        <f ca="1">AVERAGE(OFFSET($BH$3,0,0,'Données projet'!$E$11+1,1))-AVERAGE(OFFSET($H$3,0,0,'Données projet'!$E$11+1,1))</f>
        <v>330.39429528665841</v>
      </c>
      <c r="BJ95" s="60">
        <f t="shared" si="92"/>
        <v>186.45728006007261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3.7179487179487181</v>
      </c>
      <c r="BY95" s="13">
        <f>IF('Données projet'!$A$114&gt;35,BY94+BX95-CG94,IF(A95&lt;'Données projet'!$A$114,$BV$205^A95,IF(A95='Données projet'!$A$114,'Données projet'!$B$114,BY94+BX95-CG94)))</f>
        <v>278.5897435897437</v>
      </c>
      <c r="BZ95" s="14">
        <f>BY95*VLOOKUP('Données projet'!$B$12,Paramètres!$A$1:$I$89,3,0)*VLOOKUP('Données projet'!$B$12,Paramètres!$A$1:$I$89,5,0)</f>
        <v>186.87800000000007</v>
      </c>
      <c r="CA95" s="14">
        <f t="shared" si="93"/>
        <v>46.849058827207365</v>
      </c>
      <c r="CB95" s="22">
        <f t="shared" si="64"/>
        <v>407.07462745738621</v>
      </c>
      <c r="CC95" s="60">
        <f t="shared" si="65"/>
        <v>700.40796079071947</v>
      </c>
      <c r="CD95" s="60">
        <f ca="1">AVERAGE(OFFSET($CC$3,0,0,'Données projet'!$E$12+1,1))-AVERAGE(OFFSET($H$3,0,0,'Données projet'!$E$12+1,1))</f>
        <v>212.33913923444732</v>
      </c>
      <c r="CE95" s="60">
        <f t="shared" si="94"/>
        <v>183.51194426094372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-3.979039320256561E-13</v>
      </c>
      <c r="CU95" s="18">
        <f>CT95*VLOOKUP('Données projet'!$B$13,Paramètres!$A$1:$I$89,3,0)*VLOOKUP('Données projet'!$B$13,Paramètres!$A$1:$I$89,5,0)</f>
        <v>-3.4760887501761321E-13</v>
      </c>
      <c r="CV95" s="14" t="e">
        <f t="shared" si="95"/>
        <v>#NUM!</v>
      </c>
      <c r="CW95" s="22" t="e">
        <f t="shared" si="67"/>
        <v>#NUM!</v>
      </c>
      <c r="CX95" s="60" t="e">
        <f t="shared" si="68"/>
        <v>#NUM!</v>
      </c>
      <c r="CY95" s="60">
        <f ca="1">AVERAGE(OFFSET($CX$3,0,0,'Données projet'!$E$13+1,1))-AVERAGE(OFFSET($H$3,0,0,'Données projet'!$E$13+1,1))</f>
        <v>228.0393346366489</v>
      </c>
      <c r="CZ95" s="60">
        <f t="shared" si="96"/>
        <v>238.591781509447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4.9000000000000004</v>
      </c>
      <c r="DO95" s="13">
        <f>IF('Données projet'!$A$166&gt;35,DO94+DN95-DW94,IF(A95&lt;'Données projet'!$A$166,$DL$205^A95,IF(A95='Données projet'!$A$166,'Données projet'!$B$166,DO94+DN95-DW94)))</f>
        <v>263.8</v>
      </c>
      <c r="DP95" s="18">
        <f>DO95*VLOOKUP('Données projet'!$B$14,Paramètres!$A$1:$I$89,3,0)*VLOOKUP('Données projet'!$B$14,Paramètres!$A$1:$I$89,5,0)</f>
        <v>238.68624</v>
      </c>
      <c r="DQ95" s="14">
        <f t="shared" si="97"/>
        <v>58.156778382060871</v>
      </c>
      <c r="DR95" s="22">
        <f t="shared" si="70"/>
        <v>517.00159034875594</v>
      </c>
      <c r="DS95" s="60">
        <f t="shared" si="71"/>
        <v>810.33492368208931</v>
      </c>
      <c r="DT95" s="60">
        <f ca="1">AVERAGE(OFFSET($DS$3,0,0,'Données projet'!$E$14+1,1))-AVERAGE(OFFSET($H$3,0,0,'Données projet'!$E$14+1,1))</f>
        <v>303.73499739059076</v>
      </c>
      <c r="DU95" s="60">
        <f t="shared" si="98"/>
        <v>172.32171001882188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1.1368683772161603E-13</v>
      </c>
      <c r="EK95" s="18">
        <f>EJ95*VLOOKUP('Données projet'!$B$15,Paramètres!$A$1:$I$89,3,0)*VLOOKUP('Données projet'!$B$15,Paramètres!$A$1:$I$89,5,0)</f>
        <v>6.7984728957526396E-14</v>
      </c>
      <c r="EL95" s="14">
        <f t="shared" si="99"/>
        <v>1.0682447123141398E-12</v>
      </c>
      <c r="EM95" s="22">
        <f t="shared" si="73"/>
        <v>1.978932943548152E-12</v>
      </c>
      <c r="EN95" s="60">
        <f t="shared" si="74"/>
        <v>293.3333333333353</v>
      </c>
      <c r="EO95" s="60">
        <f ca="1">AVERAGE(OFFSET($EN$3,0,0,'Données projet'!$E$15+1,1))-AVERAGE(OFFSET($H$3,0,0,'Données projet'!$E$15+1,1))</f>
        <v>269.94948820700841</v>
      </c>
      <c r="EP95" s="60">
        <f t="shared" si="100"/>
        <v>183.45158355135192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2.4475298510155095</v>
      </c>
      <c r="EX95" s="23">
        <f>EXP(-LN(2)/2)*EX94+(1-EXP(-LN(2)/2))/(LN(2)/2)*ER95*EU95*VLOOKUP('Données projet'!$B$15,Paramètres!$A$1:$I$89,3,0)*0.475*44/12</f>
        <v>2.6254130925427104E-9</v>
      </c>
      <c r="EY95" s="24">
        <f t="shared" si="75"/>
        <v>2.4475298536409227</v>
      </c>
      <c r="EZ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>
        <f>FE95*VLOOKUP('Données projet'!$B$16,Paramètres!$A$1:$I$89,3,0)*VLOOKUP('Données projet'!$B$16,Paramètres!$A$1:$I$89,5,0)</f>
        <v>0</v>
      </c>
      <c r="FG95" s="14" t="e">
        <f t="shared" si="101"/>
        <v>#NUM!</v>
      </c>
      <c r="FH95" s="22" t="e">
        <f t="shared" si="76"/>
        <v>#NUM!</v>
      </c>
      <c r="FI95" s="60" t="e">
        <f t="shared" si="77"/>
        <v>#NUM!</v>
      </c>
      <c r="FJ95" s="60">
        <f ca="1">AVERAGE(OFFSET($FI$3,0,0,'Données projet'!$E$16+1,1))-AVERAGE(OFFSET($H$3,0,0,'Données projet'!$E$16+1,1))</f>
        <v>111.24788725253484</v>
      </c>
      <c r="FK95" s="60">
        <f t="shared" si="102"/>
        <v>82.434879813357327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projet'!$B$16,Paramètres!$A$1:$I$89,3,0)*0.475*44/12</f>
        <v>0</v>
      </c>
      <c r="FR95" s="23">
        <f>EXP(-LN(2)/25)*FR94+(1-EXP(-LN(2)/25))/(LN(2)/25)*Calculateur!FM95*Calculateur!FO95*VLOOKUP('Données projet'!$B$16,Paramètres!$A$1:$I$89,3,0)*0.475*44/12</f>
        <v>0</v>
      </c>
      <c r="FS95" s="23">
        <f>EXP(-LN(2)/2)*FS94+(1-EXP(-LN(2)/2))/(LN(2)/2)*FM95*FP95*VLOOKUP('Données projet'!$B$16,Paramètres!$A$1:$I$89,3,0)*0.475*44/12</f>
        <v>0</v>
      </c>
      <c r="FT95" s="24">
        <f t="shared" si="78"/>
        <v>0</v>
      </c>
      <c r="FU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1.0231815394945443E-12</v>
      </c>
      <c r="GA95" s="18">
        <f>FZ95*VLOOKUP('Données projet'!$B$17,Paramètres!$A$1:$I$89,3,0)*VLOOKUP('Données projet'!$B$17,Paramètres!$A$1:$I$89,5,0)</f>
        <v>4.5224624045658859E-13</v>
      </c>
      <c r="GB95" s="14">
        <f t="shared" si="103"/>
        <v>5.6995607121061449E-12</v>
      </c>
      <c r="GC95" s="22">
        <f t="shared" si="79"/>
        <v>1.0714397109046761E-11</v>
      </c>
      <c r="GD95" s="60">
        <f t="shared" si="80"/>
        <v>293.333333333344</v>
      </c>
      <c r="GE95" s="60">
        <f ca="1">AVERAGE(OFFSET($GD$3,0,0,'Données projet'!$E$17+1,1))-AVERAGE(OFFSET($H$3,0,0,'Données projet'!$E$17+1,1))</f>
        <v>323.56667371063662</v>
      </c>
      <c r="GF95" s="60">
        <f t="shared" si="104"/>
        <v>275.70373467723385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>
        <f>EXP(-LN(2)/35)*GL94+(1-EXP(-LN(2)/35))/(LN(2)/35)*GH95*GI95*VLOOKUP('Données projet'!$B$17,Paramètres!$A$1:$I$89,3,0)*0.475*44/12</f>
        <v>0</v>
      </c>
      <c r="GM95" s="23">
        <f>EXP(-LN(2)/25)*GM94+(1-EXP(-LN(2)/25))/(LN(2)/25)*Calculateur!GH95*Calculateur!GJ95*VLOOKUP('Données projet'!$B$17,Paramètres!$A$1:$I$89,3,0)*0.475*44/12</f>
        <v>0</v>
      </c>
      <c r="GN95" s="23">
        <f>EXP(-LN(2)/2)*GN94+(1-EXP(-LN(2)/2))/(LN(2)/2)*GH95*GK95*VLOOKUP('Données projet'!$B$17,Paramètres!$A$1:$I$89,3,0)*0.475*44/12</f>
        <v>0</v>
      </c>
      <c r="GO95" s="23">
        <f t="shared" si="81"/>
        <v>0</v>
      </c>
      <c r="GP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0" t="e">
        <f t="shared" si="83"/>
        <v>#N/A</v>
      </c>
      <c r="GZ95" s="60" t="e">
        <f ca="1">AVERAGE(OFFSET($GY$3,0,0,'Données projet'!$E$18+1,1))-AVERAGE(OFFSET($H$3,0,0,'Données projet'!$E$18+1,1))</f>
        <v>#N/A</v>
      </c>
      <c r="HA95" s="60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4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2">
        <f t="shared" si="86"/>
        <v>14.814500647866689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-1.1368683772161603E-13</v>
      </c>
      <c r="O96" s="14">
        <f>N96*VLOOKUP('Données projet'!$B$9,Paramètres!$A$1:$I$89,3,0)*VLOOKUP('Données projet'!$B$9,Paramètres!$A$1:$I$89,5,0)</f>
        <v>-6.7984728957526396E-14</v>
      </c>
      <c r="P96" s="14" t="e">
        <f t="shared" si="87"/>
        <v>#NUM!</v>
      </c>
      <c r="Q96" s="22" t="e">
        <f t="shared" si="54"/>
        <v>#NUM!</v>
      </c>
      <c r="R96" s="60" t="e">
        <f t="shared" si="55"/>
        <v>#NUM!</v>
      </c>
      <c r="S96" s="60">
        <f ca="1">AVERAGE(OFFSET($R$3,0,0,'Données projet'!$E$9+1,1))-AVERAGE(OFFSET($H$3,0,0,'Données projet'!$E$9+1,1))</f>
        <v>235.63766249714581</v>
      </c>
      <c r="T96" s="60">
        <f t="shared" si="88"/>
        <v>231.3297293785277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3.2949524078504524</v>
      </c>
      <c r="AA96" s="23">
        <f>EXP(-LN(2)/25)*AA95+(1-EXP(-LN(2)/25))/(LN(2)/25)*Calculateur!V96*Calculateur!X96*VLOOKUP('Données projet'!$B$9,Paramètres!$A$1:$I$89,3,0)*0.475*44/12</f>
        <v>3.0142070971329753</v>
      </c>
      <c r="AB96" s="23">
        <f>EXP(-LN(2)/2)*AB95+(1-EXP(-LN(2)/2))/(LN(2)/2)*V96*Y96*VLOOKUP('Données projet'!$B$9,Paramètres!$A$1:$I$89,3,0)*0.475*44/12</f>
        <v>2.3419265564674156E-9</v>
      </c>
      <c r="AC96" s="24">
        <f t="shared" si="57"/>
        <v>6.3091595073253544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4.9000000000000004</v>
      </c>
      <c r="AI96" s="14">
        <f>IF('Données projet'!$A$62&gt;35,AI95+AH96-AQ95,IF(A96&lt;'Données projet'!$A$62,$AF$205^A96,IF(A96='Données projet'!$A$62,'Données projet'!$B$62,AI95+AH96-AQ95)))</f>
        <v>268.7</v>
      </c>
      <c r="AJ96" s="14">
        <f>AI96*VLOOKUP('Données projet'!$B$10,Paramètres!$A$1:$I$89,3,0)*VLOOKUP('Données projet'!$B$10,Paramètres!$A$1:$I$89,5,0)</f>
        <v>272.46180000000004</v>
      </c>
      <c r="AK96" s="14">
        <f t="shared" si="89"/>
        <v>65.371449071921944</v>
      </c>
      <c r="AL96" s="22">
        <f t="shared" si="58"/>
        <v>588.39290880026408</v>
      </c>
      <c r="AM96" s="60">
        <f t="shared" si="59"/>
        <v>881.72624213359745</v>
      </c>
      <c r="AN96" s="60">
        <f ca="1">AVERAGE(OFFSET($AM$3,0,0,'Données projet'!$E$10+1,1))-AVERAGE(OFFSET($H$3,0,0,'Données projet'!$E$10+1,1))</f>
        <v>350.3652766444938</v>
      </c>
      <c r="AO96" s="60">
        <f t="shared" si="90"/>
        <v>197.04549436738586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6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4.9000000000000004</v>
      </c>
      <c r="BD96" s="13">
        <f>IF('Données projet'!$A$88&gt;35,BD95+BC96-BL95,IF(A96&lt;'Données projet'!$A$88,$BA$205^A96,IF(A96='Données projet'!$A$88,'Données projet'!$B$88,BD95+BC96-BL95)))</f>
        <v>268.7</v>
      </c>
      <c r="BE96" s="14">
        <f>BD96*VLOOKUP('Données projet'!$B$11,Paramètres!$A$1:$I$89,3,0)*VLOOKUP('Données projet'!$B$11,Paramètres!$A$1:$I$89,5,0)</f>
        <v>259.88664</v>
      </c>
      <c r="BF96" s="14">
        <f t="shared" si="91"/>
        <v>62.698213571884004</v>
      </c>
      <c r="BG96" s="22">
        <f t="shared" si="61"/>
        <v>561.835286637698</v>
      </c>
      <c r="BH96" s="60">
        <f t="shared" si="62"/>
        <v>855.16861997103138</v>
      </c>
      <c r="BI96" s="60">
        <f ca="1">AVERAGE(OFFSET($BH$3,0,0,'Données projet'!$E$11+1,1))-AVERAGE(OFFSET($H$3,0,0,'Données projet'!$E$11+1,1))</f>
        <v>330.39429528665841</v>
      </c>
      <c r="BJ96" s="60">
        <f t="shared" si="92"/>
        <v>186.45728006007261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3.7179487179487181</v>
      </c>
      <c r="BY96" s="13">
        <f>IF('Données projet'!$A$114&gt;35,BY95+BX96-CG95,IF(A96&lt;'Données projet'!$A$114,$BV$205^A96,IF(A96='Données projet'!$A$114,'Données projet'!$B$114,BY95+BX96-CG95)))</f>
        <v>282.30769230769243</v>
      </c>
      <c r="BZ96" s="14">
        <f>BY96*VLOOKUP('Données projet'!$B$12,Paramètres!$A$1:$I$89,3,0)*VLOOKUP('Données projet'!$B$12,Paramètres!$A$1:$I$89,5,0)</f>
        <v>189.37200000000007</v>
      </c>
      <c r="CA96" s="14">
        <f t="shared" si="93"/>
        <v>47.401084226295815</v>
      </c>
      <c r="CB96" s="22">
        <f t="shared" si="64"/>
        <v>412.37978836079861</v>
      </c>
      <c r="CC96" s="60">
        <f t="shared" si="65"/>
        <v>705.71312169413193</v>
      </c>
      <c r="CD96" s="60">
        <f ca="1">AVERAGE(OFFSET($CC$3,0,0,'Données projet'!$E$12+1,1))-AVERAGE(OFFSET($H$3,0,0,'Données projet'!$E$12+1,1))</f>
        <v>212.33913923444732</v>
      </c>
      <c r="CE96" s="60">
        <f t="shared" si="94"/>
        <v>183.51194426094372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-3.979039320256561E-13</v>
      </c>
      <c r="CU96" s="18">
        <f>CT96*VLOOKUP('Données projet'!$B$13,Paramètres!$A$1:$I$89,3,0)*VLOOKUP('Données projet'!$B$13,Paramètres!$A$1:$I$89,5,0)</f>
        <v>-3.4760887501761321E-13</v>
      </c>
      <c r="CV96" s="14" t="e">
        <f t="shared" si="95"/>
        <v>#NUM!</v>
      </c>
      <c r="CW96" s="22" t="e">
        <f t="shared" si="67"/>
        <v>#NUM!</v>
      </c>
      <c r="CX96" s="60" t="e">
        <f t="shared" si="68"/>
        <v>#NUM!</v>
      </c>
      <c r="CY96" s="60">
        <f ca="1">AVERAGE(OFFSET($CX$3,0,0,'Données projet'!$E$13+1,1))-AVERAGE(OFFSET($H$3,0,0,'Données projet'!$E$13+1,1))</f>
        <v>228.0393346366489</v>
      </c>
      <c r="CZ96" s="60">
        <f t="shared" si="96"/>
        <v>238.591781509447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4.9000000000000004</v>
      </c>
      <c r="DO96" s="13">
        <f>IF('Données projet'!$A$166&gt;35,DO95+DN96-DW95,IF(A96&lt;'Données projet'!$A$166,$DL$205^A96,IF(A96='Données projet'!$A$166,'Données projet'!$B$166,DO95+DN96-DW95)))</f>
        <v>268.7</v>
      </c>
      <c r="DP96" s="18">
        <f>DO96*VLOOKUP('Données projet'!$B$14,Paramètres!$A$1:$I$89,3,0)*VLOOKUP('Données projet'!$B$14,Paramètres!$A$1:$I$89,5,0)</f>
        <v>243.11975999999996</v>
      </c>
      <c r="DQ96" s="14">
        <f t="shared" si="97"/>
        <v>59.110256668778533</v>
      </c>
      <c r="DR96" s="22">
        <f t="shared" si="70"/>
        <v>526.3839456981226</v>
      </c>
      <c r="DS96" s="60">
        <f t="shared" si="71"/>
        <v>819.71727903145597</v>
      </c>
      <c r="DT96" s="60">
        <f ca="1">AVERAGE(OFFSET($DS$3,0,0,'Données projet'!$E$14+1,1))-AVERAGE(OFFSET($H$3,0,0,'Données projet'!$E$14+1,1))</f>
        <v>303.73499739059076</v>
      </c>
      <c r="DU96" s="60">
        <f t="shared" si="98"/>
        <v>172.32171001882188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1.1368683772161603E-13</v>
      </c>
      <c r="EK96" s="18">
        <f>EJ96*VLOOKUP('Données projet'!$B$15,Paramètres!$A$1:$I$89,3,0)*VLOOKUP('Données projet'!$B$15,Paramètres!$A$1:$I$89,5,0)</f>
        <v>6.7984728957526396E-14</v>
      </c>
      <c r="EL96" s="14">
        <f t="shared" si="99"/>
        <v>1.0682447123141398E-12</v>
      </c>
      <c r="EM96" s="22">
        <f t="shared" si="73"/>
        <v>1.978932943548152E-12</v>
      </c>
      <c r="EN96" s="60">
        <f t="shared" si="74"/>
        <v>293.3333333333353</v>
      </c>
      <c r="EO96" s="60">
        <f ca="1">AVERAGE(OFFSET($EN$3,0,0,'Données projet'!$E$15+1,1))-AVERAGE(OFFSET($H$3,0,0,'Données projet'!$E$15+1,1))</f>
        <v>269.94948820700841</v>
      </c>
      <c r="EP96" s="60">
        <f t="shared" si="100"/>
        <v>183.45158355135192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2.3806020185294896</v>
      </c>
      <c r="EX96" s="23">
        <f>EXP(-LN(2)/2)*EX95+(1-EXP(-LN(2)/2))/(LN(2)/2)*ER96*EU96*VLOOKUP('Données projet'!$B$15,Paramètres!$A$1:$I$89,3,0)*0.475*44/12</f>
        <v>1.8564474011528955E-9</v>
      </c>
      <c r="EY96" s="24">
        <f t="shared" si="75"/>
        <v>2.380602020385937</v>
      </c>
      <c r="EZ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>
        <f>FE96*VLOOKUP('Données projet'!$B$16,Paramètres!$A$1:$I$89,3,0)*VLOOKUP('Données projet'!$B$16,Paramètres!$A$1:$I$89,5,0)</f>
        <v>0</v>
      </c>
      <c r="FG96" s="14" t="e">
        <f t="shared" si="101"/>
        <v>#NUM!</v>
      </c>
      <c r="FH96" s="22" t="e">
        <f t="shared" si="76"/>
        <v>#NUM!</v>
      </c>
      <c r="FI96" s="60" t="e">
        <f t="shared" si="77"/>
        <v>#NUM!</v>
      </c>
      <c r="FJ96" s="60">
        <f ca="1">AVERAGE(OFFSET($FI$3,0,0,'Données projet'!$E$16+1,1))-AVERAGE(OFFSET($H$3,0,0,'Données projet'!$E$16+1,1))</f>
        <v>111.24788725253484</v>
      </c>
      <c r="FK96" s="60">
        <f t="shared" si="102"/>
        <v>82.434879813357327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projet'!$B$16,Paramètres!$A$1:$I$89,3,0)*0.475*44/12</f>
        <v>0</v>
      </c>
      <c r="FR96" s="23">
        <f>EXP(-LN(2)/25)*FR95+(1-EXP(-LN(2)/25))/(LN(2)/25)*Calculateur!FM96*Calculateur!FO96*VLOOKUP('Données projet'!$B$16,Paramètres!$A$1:$I$89,3,0)*0.475*44/12</f>
        <v>0</v>
      </c>
      <c r="FS96" s="23">
        <f>EXP(-LN(2)/2)*FS95+(1-EXP(-LN(2)/2))/(LN(2)/2)*FM96*FP96*VLOOKUP('Données projet'!$B$16,Paramètres!$A$1:$I$89,3,0)*0.475*44/12</f>
        <v>0</v>
      </c>
      <c r="FT96" s="24">
        <f t="shared" si="78"/>
        <v>0</v>
      </c>
      <c r="FU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1.0231815394945443E-12</v>
      </c>
      <c r="GA96" s="18">
        <f>FZ96*VLOOKUP('Données projet'!$B$17,Paramètres!$A$1:$I$89,3,0)*VLOOKUP('Données projet'!$B$17,Paramètres!$A$1:$I$89,5,0)</f>
        <v>4.5224624045658859E-13</v>
      </c>
      <c r="GB96" s="14">
        <f t="shared" si="103"/>
        <v>5.6995607121061449E-12</v>
      </c>
      <c r="GC96" s="22">
        <f t="shared" si="79"/>
        <v>1.0714397109046761E-11</v>
      </c>
      <c r="GD96" s="60">
        <f t="shared" si="80"/>
        <v>293.333333333344</v>
      </c>
      <c r="GE96" s="60">
        <f ca="1">AVERAGE(OFFSET($GD$3,0,0,'Données projet'!$E$17+1,1))-AVERAGE(OFFSET($H$3,0,0,'Données projet'!$E$17+1,1))</f>
        <v>323.56667371063662</v>
      </c>
      <c r="GF96" s="60">
        <f t="shared" si="104"/>
        <v>275.70373467723385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>
        <f>EXP(-LN(2)/35)*GL95+(1-EXP(-LN(2)/35))/(LN(2)/35)*GH96*GI96*VLOOKUP('Données projet'!$B$17,Paramètres!$A$1:$I$89,3,0)*0.475*44/12</f>
        <v>0</v>
      </c>
      <c r="GM96" s="23">
        <f>EXP(-LN(2)/25)*GM95+(1-EXP(-LN(2)/25))/(LN(2)/25)*Calculateur!GH96*Calculateur!GJ96*VLOOKUP('Données projet'!$B$17,Paramètres!$A$1:$I$89,3,0)*0.475*44/12</f>
        <v>0</v>
      </c>
      <c r="GN96" s="23">
        <f>EXP(-LN(2)/2)*GN95+(1-EXP(-LN(2)/2))/(LN(2)/2)*GH96*GK96*VLOOKUP('Données projet'!$B$17,Paramètres!$A$1:$I$89,3,0)*0.475*44/12</f>
        <v>0</v>
      </c>
      <c r="GO96" s="23">
        <f t="shared" si="81"/>
        <v>0</v>
      </c>
      <c r="GP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0" t="e">
        <f t="shared" si="83"/>
        <v>#N/A</v>
      </c>
      <c r="GZ96" s="60" t="e">
        <f ca="1">AVERAGE(OFFSET($GY$3,0,0,'Données projet'!$E$18+1,1))-AVERAGE(OFFSET($H$3,0,0,'Données projet'!$E$18+1,1))</f>
        <v>#N/A</v>
      </c>
      <c r="HA96" s="60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4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2">
        <f t="shared" si="86"/>
        <v>14.955166599500016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-1.1368683772161603E-13</v>
      </c>
      <c r="O97" s="14">
        <f>N97*VLOOKUP('Données projet'!$B$9,Paramètres!$A$1:$I$89,3,0)*VLOOKUP('Données projet'!$B$9,Paramètres!$A$1:$I$89,5,0)</f>
        <v>-6.7984728957526396E-14</v>
      </c>
      <c r="P97" s="14" t="e">
        <f t="shared" si="87"/>
        <v>#NUM!</v>
      </c>
      <c r="Q97" s="22" t="e">
        <f t="shared" si="54"/>
        <v>#NUM!</v>
      </c>
      <c r="R97" s="60" t="e">
        <f t="shared" si="55"/>
        <v>#NUM!</v>
      </c>
      <c r="S97" s="60">
        <f ca="1">AVERAGE(OFFSET($R$3,0,0,'Données projet'!$E$9+1,1))-AVERAGE(OFFSET($H$3,0,0,'Données projet'!$E$9+1,1))</f>
        <v>235.63766249714581</v>
      </c>
      <c r="T97" s="60">
        <f t="shared" si="88"/>
        <v>231.3297293785277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3.23034040085503</v>
      </c>
      <c r="AA97" s="23">
        <f>EXP(-LN(2)/25)*AA96+(1-EXP(-LN(2)/25))/(LN(2)/25)*Calculateur!V97*Calculateur!X97*VLOOKUP('Données projet'!$B$9,Paramètres!$A$1:$I$89,3,0)*0.475*44/12</f>
        <v>2.9317834455516119</v>
      </c>
      <c r="AB97" s="23">
        <f>EXP(-LN(2)/2)*AB96+(1-EXP(-LN(2)/2))/(LN(2)/2)*V97*Y97*VLOOKUP('Données projet'!$B$9,Paramètres!$A$1:$I$89,3,0)*0.475*44/12</f>
        <v>1.6559921491189696E-9</v>
      </c>
      <c r="AC97" s="24">
        <f t="shared" si="57"/>
        <v>6.1621238480626337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4.9000000000000004</v>
      </c>
      <c r="AI97" s="14">
        <f>IF('Données projet'!$A$62&gt;35,AI96+AH97-AQ96,IF(A97&lt;'Données projet'!$A$62,$AF$205^A97,IF(A97='Données projet'!$A$62,'Données projet'!$B$62,AI96+AH97-AQ96)))</f>
        <v>273.59999999999997</v>
      </c>
      <c r="AJ97" s="14">
        <f>AI97*VLOOKUP('Données projet'!$B$10,Paramètres!$A$1:$I$89,3,0)*VLOOKUP('Données projet'!$B$10,Paramètres!$A$1:$I$89,5,0)</f>
        <v>277.43039999999996</v>
      </c>
      <c r="AK97" s="14">
        <f t="shared" si="89"/>
        <v>66.423687500715673</v>
      </c>
      <c r="AL97" s="22">
        <f t="shared" si="58"/>
        <v>598.87920239707967</v>
      </c>
      <c r="AM97" s="60">
        <f t="shared" si="59"/>
        <v>892.21253573041304</v>
      </c>
      <c r="AN97" s="60">
        <f ca="1">AVERAGE(OFFSET($AM$3,0,0,'Données projet'!$E$10+1,1))-AVERAGE(OFFSET($H$3,0,0,'Données projet'!$E$10+1,1))</f>
        <v>350.3652766444938</v>
      </c>
      <c r="AO97" s="60">
        <f t="shared" si="90"/>
        <v>197.04549436738586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6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4.9000000000000004</v>
      </c>
      <c r="BD97" s="13">
        <f>IF('Données projet'!$A$88&gt;35,BD96+BC97-BL96,IF(A97&lt;'Données projet'!$A$88,$BA$205^A97,IF(A97='Données projet'!$A$88,'Données projet'!$B$88,BD96+BC97-BL96)))</f>
        <v>273.59999999999997</v>
      </c>
      <c r="BE97" s="14">
        <f>BD97*VLOOKUP('Données projet'!$B$11,Paramètres!$A$1:$I$89,3,0)*VLOOKUP('Données projet'!$B$11,Paramètres!$A$1:$I$89,5,0)</f>
        <v>264.62591999999995</v>
      </c>
      <c r="BF97" s="14">
        <f t="shared" si="91"/>
        <v>63.707422801198604</v>
      </c>
      <c r="BG97" s="22">
        <f t="shared" si="61"/>
        <v>571.84723871208746</v>
      </c>
      <c r="BH97" s="60">
        <f t="shared" si="62"/>
        <v>865.18057204542083</v>
      </c>
      <c r="BI97" s="60">
        <f ca="1">AVERAGE(OFFSET($BH$3,0,0,'Données projet'!$E$11+1,1))-AVERAGE(OFFSET($H$3,0,0,'Données projet'!$E$11+1,1))</f>
        <v>330.39429528665841</v>
      </c>
      <c r="BJ97" s="60">
        <f t="shared" si="92"/>
        <v>186.45728006007261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3.7179487179487181</v>
      </c>
      <c r="BY97" s="13">
        <f>IF('Données projet'!$A$114&gt;35,BY96+BX97-CG96,IF(A97&lt;'Données projet'!$A$114,$BV$205^A97,IF(A97='Données projet'!$A$114,'Données projet'!$B$114,BY96+BX97-CG96)))</f>
        <v>286.02564102564116</v>
      </c>
      <c r="BZ97" s="14">
        <f>BY97*VLOOKUP('Données projet'!$B$12,Paramètres!$A$1:$I$89,3,0)*VLOOKUP('Données projet'!$B$12,Paramètres!$A$1:$I$89,5,0)</f>
        <v>191.8660000000001</v>
      </c>
      <c r="CA97" s="14">
        <f t="shared" si="93"/>
        <v>47.952264009442366</v>
      </c>
      <c r="CB97" s="22">
        <f t="shared" si="64"/>
        <v>417.6834764831122</v>
      </c>
      <c r="CC97" s="60">
        <f t="shared" si="65"/>
        <v>711.01680981644552</v>
      </c>
      <c r="CD97" s="60">
        <f ca="1">AVERAGE(OFFSET($CC$3,0,0,'Données projet'!$E$12+1,1))-AVERAGE(OFFSET($H$3,0,0,'Données projet'!$E$12+1,1))</f>
        <v>212.33913923444732</v>
      </c>
      <c r="CE97" s="60">
        <f t="shared" si="94"/>
        <v>183.51194426094372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-3.979039320256561E-13</v>
      </c>
      <c r="CU97" s="18">
        <f>CT97*VLOOKUP('Données projet'!$B$13,Paramètres!$A$1:$I$89,3,0)*VLOOKUP('Données projet'!$B$13,Paramètres!$A$1:$I$89,5,0)</f>
        <v>-3.4760887501761321E-13</v>
      </c>
      <c r="CV97" s="14" t="e">
        <f t="shared" si="95"/>
        <v>#NUM!</v>
      </c>
      <c r="CW97" s="22" t="e">
        <f t="shared" si="67"/>
        <v>#NUM!</v>
      </c>
      <c r="CX97" s="60" t="e">
        <f t="shared" si="68"/>
        <v>#NUM!</v>
      </c>
      <c r="CY97" s="60">
        <f ca="1">AVERAGE(OFFSET($CX$3,0,0,'Données projet'!$E$13+1,1))-AVERAGE(OFFSET($H$3,0,0,'Données projet'!$E$13+1,1))</f>
        <v>228.0393346366489</v>
      </c>
      <c r="CZ97" s="60">
        <f t="shared" si="96"/>
        <v>238.591781509447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4.9000000000000004</v>
      </c>
      <c r="DO97" s="13">
        <f>IF('Données projet'!$A$166&gt;35,DO96+DN97-DW96,IF(A97&lt;'Données projet'!$A$166,$DL$205^A97,IF(A97='Données projet'!$A$166,'Données projet'!$B$166,DO96+DN97-DW96)))</f>
        <v>273.59999999999997</v>
      </c>
      <c r="DP97" s="18">
        <f>DO97*VLOOKUP('Données projet'!$B$14,Paramètres!$A$1:$I$89,3,0)*VLOOKUP('Données projet'!$B$14,Paramètres!$A$1:$I$89,5,0)</f>
        <v>247.55327999999994</v>
      </c>
      <c r="DQ97" s="14">
        <f t="shared" si="97"/>
        <v>60.061713068870255</v>
      </c>
      <c r="DR97" s="22">
        <f t="shared" si="70"/>
        <v>535.76277959494894</v>
      </c>
      <c r="DS97" s="60">
        <f t="shared" si="71"/>
        <v>829.09611292828231</v>
      </c>
      <c r="DT97" s="60">
        <f ca="1">AVERAGE(OFFSET($DS$3,0,0,'Données projet'!$E$14+1,1))-AVERAGE(OFFSET($H$3,0,0,'Données projet'!$E$14+1,1))</f>
        <v>303.73499739059076</v>
      </c>
      <c r="DU97" s="60">
        <f t="shared" si="98"/>
        <v>172.32171001882188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1.1368683772161603E-13</v>
      </c>
      <c r="EK97" s="18">
        <f>EJ97*VLOOKUP('Données projet'!$B$15,Paramètres!$A$1:$I$89,3,0)*VLOOKUP('Données projet'!$B$15,Paramètres!$A$1:$I$89,5,0)</f>
        <v>6.7984728957526396E-14</v>
      </c>
      <c r="EL97" s="14">
        <f t="shared" si="99"/>
        <v>1.0682447123141398E-12</v>
      </c>
      <c r="EM97" s="22">
        <f t="shared" si="73"/>
        <v>1.978932943548152E-12</v>
      </c>
      <c r="EN97" s="60">
        <f t="shared" si="74"/>
        <v>293.3333333333353</v>
      </c>
      <c r="EO97" s="60">
        <f ca="1">AVERAGE(OFFSET($EN$3,0,0,'Données projet'!$E$15+1,1))-AVERAGE(OFFSET($H$3,0,0,'Données projet'!$E$15+1,1))</f>
        <v>269.94948820700841</v>
      </c>
      <c r="EP97" s="60">
        <f t="shared" si="100"/>
        <v>183.45158355135192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2.3155043311423813</v>
      </c>
      <c r="EX97" s="23">
        <f>EXP(-LN(2)/2)*EX96+(1-EXP(-LN(2)/2))/(LN(2)/2)*ER97*EU97*VLOOKUP('Données projet'!$B$15,Paramètres!$A$1:$I$89,3,0)*0.475*44/12</f>
        <v>1.3127065462713554E-9</v>
      </c>
      <c r="EY97" s="24">
        <f t="shared" si="75"/>
        <v>2.3155043324550877</v>
      </c>
      <c r="EZ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>
        <f>FE97*VLOOKUP('Données projet'!$B$16,Paramètres!$A$1:$I$89,3,0)*VLOOKUP('Données projet'!$B$16,Paramètres!$A$1:$I$89,5,0)</f>
        <v>0</v>
      </c>
      <c r="FG97" s="14" t="e">
        <f t="shared" si="101"/>
        <v>#NUM!</v>
      </c>
      <c r="FH97" s="22" t="e">
        <f t="shared" si="76"/>
        <v>#NUM!</v>
      </c>
      <c r="FI97" s="60" t="e">
        <f t="shared" si="77"/>
        <v>#NUM!</v>
      </c>
      <c r="FJ97" s="60">
        <f ca="1">AVERAGE(OFFSET($FI$3,0,0,'Données projet'!$E$16+1,1))-AVERAGE(OFFSET($H$3,0,0,'Données projet'!$E$16+1,1))</f>
        <v>111.24788725253484</v>
      </c>
      <c r="FK97" s="60">
        <f t="shared" si="102"/>
        <v>82.434879813357327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projet'!$B$16,Paramètres!$A$1:$I$89,3,0)*0.475*44/12</f>
        <v>0</v>
      </c>
      <c r="FR97" s="23">
        <f>EXP(-LN(2)/25)*FR96+(1-EXP(-LN(2)/25))/(LN(2)/25)*Calculateur!FM97*Calculateur!FO97*VLOOKUP('Données projet'!$B$16,Paramètres!$A$1:$I$89,3,0)*0.475*44/12</f>
        <v>0</v>
      </c>
      <c r="FS97" s="23">
        <f>EXP(-LN(2)/2)*FS96+(1-EXP(-LN(2)/2))/(LN(2)/2)*FM97*FP97*VLOOKUP('Données projet'!$B$16,Paramètres!$A$1:$I$89,3,0)*0.475*44/12</f>
        <v>0</v>
      </c>
      <c r="FT97" s="24">
        <f t="shared" si="78"/>
        <v>0</v>
      </c>
      <c r="FU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1.0231815394945443E-12</v>
      </c>
      <c r="GA97" s="18">
        <f>FZ97*VLOOKUP('Données projet'!$B$17,Paramètres!$A$1:$I$89,3,0)*VLOOKUP('Données projet'!$B$17,Paramètres!$A$1:$I$89,5,0)</f>
        <v>4.5224624045658859E-13</v>
      </c>
      <c r="GB97" s="14">
        <f t="shared" si="103"/>
        <v>5.6995607121061449E-12</v>
      </c>
      <c r="GC97" s="22">
        <f t="shared" si="79"/>
        <v>1.0714397109046761E-11</v>
      </c>
      <c r="GD97" s="60">
        <f t="shared" si="80"/>
        <v>293.333333333344</v>
      </c>
      <c r="GE97" s="60">
        <f ca="1">AVERAGE(OFFSET($GD$3,0,0,'Données projet'!$E$17+1,1))-AVERAGE(OFFSET($H$3,0,0,'Données projet'!$E$17+1,1))</f>
        <v>323.56667371063662</v>
      </c>
      <c r="GF97" s="60">
        <f t="shared" si="104"/>
        <v>275.70373467723385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>
        <f>EXP(-LN(2)/35)*GL96+(1-EXP(-LN(2)/35))/(LN(2)/35)*GH97*GI97*VLOOKUP('Données projet'!$B$17,Paramètres!$A$1:$I$89,3,0)*0.475*44/12</f>
        <v>0</v>
      </c>
      <c r="GM97" s="23">
        <f>EXP(-LN(2)/25)*GM96+(1-EXP(-LN(2)/25))/(LN(2)/25)*Calculateur!GH97*Calculateur!GJ97*VLOOKUP('Données projet'!$B$17,Paramètres!$A$1:$I$89,3,0)*0.475*44/12</f>
        <v>0</v>
      </c>
      <c r="GN97" s="23">
        <f>EXP(-LN(2)/2)*GN96+(1-EXP(-LN(2)/2))/(LN(2)/2)*GH97*GK97*VLOOKUP('Données projet'!$B$17,Paramètres!$A$1:$I$89,3,0)*0.475*44/12</f>
        <v>0</v>
      </c>
      <c r="GO97" s="23">
        <f t="shared" si="81"/>
        <v>0</v>
      </c>
      <c r="GP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0" t="e">
        <f t="shared" si="83"/>
        <v>#N/A</v>
      </c>
      <c r="GZ97" s="60" t="e">
        <f ca="1">AVERAGE(OFFSET($GY$3,0,0,'Données projet'!$E$18+1,1))-AVERAGE(OFFSET($H$3,0,0,'Données projet'!$E$18+1,1))</f>
        <v>#N/A</v>
      </c>
      <c r="HA97" s="60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4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2">
        <f t="shared" si="86"/>
        <v>15.0956584691149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-1.1368683772161603E-13</v>
      </c>
      <c r="O98" s="14">
        <f>N98*VLOOKUP('Données projet'!$B$9,Paramètres!$A$1:$I$89,3,0)*VLOOKUP('Données projet'!$B$9,Paramètres!$A$1:$I$89,5,0)</f>
        <v>-6.7984728957526396E-14</v>
      </c>
      <c r="P98" s="14" t="e">
        <f t="shared" si="87"/>
        <v>#NUM!</v>
      </c>
      <c r="Q98" s="22" t="e">
        <f t="shared" si="54"/>
        <v>#NUM!</v>
      </c>
      <c r="R98" s="60" t="e">
        <f t="shared" si="55"/>
        <v>#NUM!</v>
      </c>
      <c r="S98" s="60">
        <f ca="1">AVERAGE(OFFSET($R$3,0,0,'Données projet'!$E$9+1,1))-AVERAGE(OFFSET($H$3,0,0,'Données projet'!$E$9+1,1))</f>
        <v>235.63766249714581</v>
      </c>
      <c r="T98" s="60">
        <f t="shared" si="88"/>
        <v>231.3297293785277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3.1669953959073553</v>
      </c>
      <c r="AA98" s="23">
        <f>EXP(-LN(2)/25)*AA97+(1-EXP(-LN(2)/25))/(LN(2)/25)*Calculateur!V98*Calculateur!X98*VLOOKUP('Données projet'!$B$9,Paramètres!$A$1:$I$89,3,0)*0.475*44/12</f>
        <v>2.8516136730572121</v>
      </c>
      <c r="AB98" s="23">
        <f>EXP(-LN(2)/2)*AB97+(1-EXP(-LN(2)/2))/(LN(2)/2)*V98*Y98*VLOOKUP('Données projet'!$B$9,Paramètres!$A$1:$I$89,3,0)*0.475*44/12</f>
        <v>1.1709632782337078E-9</v>
      </c>
      <c r="AC98" s="24">
        <f t="shared" si="57"/>
        <v>6.0186090701355299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4.9000000000000004</v>
      </c>
      <c r="AI98" s="14">
        <f>IF('Données projet'!$A$62&gt;35,AI97+AH98-AQ97,IF(A98&lt;'Données projet'!$A$62,$AF$205^A98,IF(A98='Données projet'!$A$62,'Données projet'!$B$62,AI97+AH98-AQ97)))</f>
        <v>278.49999999999994</v>
      </c>
      <c r="AJ98" s="14">
        <f>AI98*VLOOKUP('Données projet'!$B$10,Paramètres!$A$1:$I$89,3,0)*VLOOKUP('Données projet'!$B$10,Paramètres!$A$1:$I$89,5,0)</f>
        <v>282.399</v>
      </c>
      <c r="AK98" s="14">
        <f t="shared" si="89"/>
        <v>67.473734542548371</v>
      </c>
      <c r="AL98" s="22">
        <f t="shared" si="58"/>
        <v>609.36167932827175</v>
      </c>
      <c r="AM98" s="60">
        <f t="shared" si="59"/>
        <v>902.69501266160501</v>
      </c>
      <c r="AN98" s="60">
        <f ca="1">AVERAGE(OFFSET($AM$3,0,0,'Données projet'!$E$10+1,1))-AVERAGE(OFFSET($H$3,0,0,'Données projet'!$E$10+1,1))</f>
        <v>350.3652766444938</v>
      </c>
      <c r="AO98" s="60">
        <f t="shared" si="90"/>
        <v>197.04549436738586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6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4.9000000000000004</v>
      </c>
      <c r="BD98" s="13">
        <f>IF('Données projet'!$A$88&gt;35,BD97+BC98-BL97,IF(A98&lt;'Données projet'!$A$88,$BA$205^A98,IF(A98='Données projet'!$A$88,'Données projet'!$B$88,BD97+BC98-BL97)))</f>
        <v>278.49999999999994</v>
      </c>
      <c r="BE98" s="14">
        <f>BD98*VLOOKUP('Données projet'!$B$11,Paramètres!$A$1:$I$89,3,0)*VLOOKUP('Données projet'!$B$11,Paramètres!$A$1:$I$89,5,0)</f>
        <v>269.36519999999996</v>
      </c>
      <c r="BF98" s="14">
        <f t="shared" si="91"/>
        <v>64.714530255967034</v>
      </c>
      <c r="BG98" s="22">
        <f t="shared" si="61"/>
        <v>581.85553019580914</v>
      </c>
      <c r="BH98" s="60">
        <f t="shared" si="62"/>
        <v>875.18886352914251</v>
      </c>
      <c r="BI98" s="60">
        <f ca="1">AVERAGE(OFFSET($BH$3,0,0,'Données projet'!$E$11+1,1))-AVERAGE(OFFSET($H$3,0,0,'Données projet'!$E$11+1,1))</f>
        <v>330.39429528665841</v>
      </c>
      <c r="BJ98" s="60">
        <f t="shared" si="92"/>
        <v>186.45728006007261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>
        <f>VLOOKUP(A98,'Données projet'!$A$113:$I$133,2,0)</f>
        <v>289.74358974358972</v>
      </c>
      <c r="BW98" s="13">
        <f>VLOOKUP(A98,'Données projet'!$A$113:$I$133,9,0)</f>
        <v>3.7179487179487181</v>
      </c>
      <c r="BX98" s="13">
        <f t="array" ref="BX98">INDEX(BW:BW,MIN(IF(ISNUMBER(BW98:BW294),ROW(BW98:BW294),"")))</f>
        <v>3.7179487179487181</v>
      </c>
      <c r="BY98" s="13">
        <f>IF('Données projet'!$A$114&gt;35,BY97+BX98-CG97,IF(A98&lt;'Données projet'!$A$114,$BV$205^A98,IF(A98='Données projet'!$A$114,'Données projet'!$B$114,BY97+BX98-CG97)))</f>
        <v>289.74358974358989</v>
      </c>
      <c r="BZ98" s="14">
        <f>BY98*VLOOKUP('Données projet'!$B$12,Paramètres!$A$1:$I$89,3,0)*VLOOKUP('Données projet'!$B$12,Paramètres!$A$1:$I$89,5,0)</f>
        <v>194.3600000000001</v>
      </c>
      <c r="CA98" s="14">
        <f t="shared" si="93"/>
        <v>48.502610439386679</v>
      </c>
      <c r="CB98" s="22">
        <f t="shared" si="64"/>
        <v>422.98571318193194</v>
      </c>
      <c r="CC98" s="60">
        <f t="shared" si="65"/>
        <v>716.3190465152652</v>
      </c>
      <c r="CD98" s="60">
        <f ca="1">AVERAGE(OFFSET($CC$3,0,0,'Données projet'!$E$12+1,1))-AVERAGE(OFFSET($H$3,0,0,'Données projet'!$E$12+1,1))</f>
        <v>212.33913923444732</v>
      </c>
      <c r="CE98" s="60">
        <f t="shared" si="94"/>
        <v>183.51194426094372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-3.979039320256561E-13</v>
      </c>
      <c r="CU98" s="18">
        <f>CT98*VLOOKUP('Données projet'!$B$13,Paramètres!$A$1:$I$89,3,0)*VLOOKUP('Données projet'!$B$13,Paramètres!$A$1:$I$89,5,0)</f>
        <v>-3.4760887501761321E-13</v>
      </c>
      <c r="CV98" s="14" t="e">
        <f t="shared" si="95"/>
        <v>#NUM!</v>
      </c>
      <c r="CW98" s="22" t="e">
        <f t="shared" si="67"/>
        <v>#NUM!</v>
      </c>
      <c r="CX98" s="60" t="e">
        <f t="shared" si="68"/>
        <v>#NUM!</v>
      </c>
      <c r="CY98" s="60">
        <f ca="1">AVERAGE(OFFSET($CX$3,0,0,'Données projet'!$E$13+1,1))-AVERAGE(OFFSET($H$3,0,0,'Données projet'!$E$13+1,1))</f>
        <v>228.0393346366489</v>
      </c>
      <c r="CZ98" s="60">
        <f t="shared" si="96"/>
        <v>238.591781509447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4.9000000000000004</v>
      </c>
      <c r="DO98" s="13">
        <f>IF('Données projet'!$A$166&gt;35,DO97+DN98-DW97,IF(A98&lt;'Données projet'!$A$166,$DL$205^A98,IF(A98='Données projet'!$A$166,'Données projet'!$B$166,DO97+DN98-DW97)))</f>
        <v>278.49999999999994</v>
      </c>
      <c r="DP98" s="18">
        <f>DO98*VLOOKUP('Données projet'!$B$14,Paramètres!$A$1:$I$89,3,0)*VLOOKUP('Données projet'!$B$14,Paramètres!$A$1:$I$89,5,0)</f>
        <v>251.98679999999993</v>
      </c>
      <c r="DQ98" s="14">
        <f t="shared" si="97"/>
        <v>61.011187970195053</v>
      </c>
      <c r="DR98" s="22">
        <f t="shared" si="70"/>
        <v>545.13816238142283</v>
      </c>
      <c r="DS98" s="60">
        <f t="shared" si="71"/>
        <v>838.4714957147562</v>
      </c>
      <c r="DT98" s="60">
        <f ca="1">AVERAGE(OFFSET($DS$3,0,0,'Données projet'!$E$14+1,1))-AVERAGE(OFFSET($H$3,0,0,'Données projet'!$E$14+1,1))</f>
        <v>303.73499739059076</v>
      </c>
      <c r="DU98" s="60">
        <f t="shared" si="98"/>
        <v>172.32171001882188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1.1368683772161603E-13</v>
      </c>
      <c r="EK98" s="18">
        <f>EJ98*VLOOKUP('Données projet'!$B$15,Paramètres!$A$1:$I$89,3,0)*VLOOKUP('Données projet'!$B$15,Paramètres!$A$1:$I$89,5,0)</f>
        <v>6.7984728957526396E-14</v>
      </c>
      <c r="EL98" s="14">
        <f t="shared" si="99"/>
        <v>1.0682447123141398E-12</v>
      </c>
      <c r="EM98" s="22">
        <f t="shared" si="73"/>
        <v>1.978932943548152E-12</v>
      </c>
      <c r="EN98" s="60">
        <f t="shared" si="74"/>
        <v>293.3333333333353</v>
      </c>
      <c r="EO98" s="60">
        <f ca="1">AVERAGE(OFFSET($EN$3,0,0,'Données projet'!$E$15+1,1))-AVERAGE(OFFSET($H$3,0,0,'Données projet'!$E$15+1,1))</f>
        <v>269.94948820700841</v>
      </c>
      <c r="EP98" s="60">
        <f t="shared" si="100"/>
        <v>183.45158355135192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2.2521867434402121</v>
      </c>
      <c r="EX98" s="23">
        <f>EXP(-LN(2)/2)*EX97+(1-EXP(-LN(2)/2))/(LN(2)/2)*ER98*EU98*VLOOKUP('Données projet'!$B$15,Paramètres!$A$1:$I$89,3,0)*0.475*44/12</f>
        <v>9.2822370057644787E-10</v>
      </c>
      <c r="EY98" s="24">
        <f t="shared" si="75"/>
        <v>2.2521867443684358</v>
      </c>
      <c r="EZ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>
        <f>FE98*VLOOKUP('Données projet'!$B$16,Paramètres!$A$1:$I$89,3,0)*VLOOKUP('Données projet'!$B$16,Paramètres!$A$1:$I$89,5,0)</f>
        <v>0</v>
      </c>
      <c r="FG98" s="14" t="e">
        <f t="shared" si="101"/>
        <v>#NUM!</v>
      </c>
      <c r="FH98" s="22" t="e">
        <f t="shared" si="76"/>
        <v>#NUM!</v>
      </c>
      <c r="FI98" s="60" t="e">
        <f t="shared" si="77"/>
        <v>#NUM!</v>
      </c>
      <c r="FJ98" s="60">
        <f ca="1">AVERAGE(OFFSET($FI$3,0,0,'Données projet'!$E$16+1,1))-AVERAGE(OFFSET($H$3,0,0,'Données projet'!$E$16+1,1))</f>
        <v>111.24788725253484</v>
      </c>
      <c r="FK98" s="60">
        <f t="shared" si="102"/>
        <v>82.434879813357327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projet'!$B$16,Paramètres!$A$1:$I$89,3,0)*0.475*44/12</f>
        <v>0</v>
      </c>
      <c r="FR98" s="23">
        <f>EXP(-LN(2)/25)*FR97+(1-EXP(-LN(2)/25))/(LN(2)/25)*Calculateur!FM98*Calculateur!FO98*VLOOKUP('Données projet'!$B$16,Paramètres!$A$1:$I$89,3,0)*0.475*44/12</f>
        <v>0</v>
      </c>
      <c r="FS98" s="23">
        <f>EXP(-LN(2)/2)*FS97+(1-EXP(-LN(2)/2))/(LN(2)/2)*FM98*FP98*VLOOKUP('Données projet'!$B$16,Paramètres!$A$1:$I$89,3,0)*0.475*44/12</f>
        <v>0</v>
      </c>
      <c r="FT98" s="24">
        <f t="shared" si="78"/>
        <v>0</v>
      </c>
      <c r="FU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1.0231815394945443E-12</v>
      </c>
      <c r="GA98" s="18">
        <f>FZ98*VLOOKUP('Données projet'!$B$17,Paramètres!$A$1:$I$89,3,0)*VLOOKUP('Données projet'!$B$17,Paramètres!$A$1:$I$89,5,0)</f>
        <v>4.5224624045658859E-13</v>
      </c>
      <c r="GB98" s="14">
        <f t="shared" si="103"/>
        <v>5.6995607121061449E-12</v>
      </c>
      <c r="GC98" s="22">
        <f t="shared" si="79"/>
        <v>1.0714397109046761E-11</v>
      </c>
      <c r="GD98" s="60">
        <f t="shared" si="80"/>
        <v>293.333333333344</v>
      </c>
      <c r="GE98" s="60">
        <f ca="1">AVERAGE(OFFSET($GD$3,0,0,'Données projet'!$E$17+1,1))-AVERAGE(OFFSET($H$3,0,0,'Données projet'!$E$17+1,1))</f>
        <v>323.56667371063662</v>
      </c>
      <c r="GF98" s="60">
        <f t="shared" si="104"/>
        <v>275.70373467723385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>
        <f>EXP(-LN(2)/35)*GL97+(1-EXP(-LN(2)/35))/(LN(2)/35)*GH98*GI98*VLOOKUP('Données projet'!$B$17,Paramètres!$A$1:$I$89,3,0)*0.475*44/12</f>
        <v>0</v>
      </c>
      <c r="GM98" s="23">
        <f>EXP(-LN(2)/25)*GM97+(1-EXP(-LN(2)/25))/(LN(2)/25)*Calculateur!GH98*Calculateur!GJ98*VLOOKUP('Données projet'!$B$17,Paramètres!$A$1:$I$89,3,0)*0.475*44/12</f>
        <v>0</v>
      </c>
      <c r="GN98" s="23">
        <f>EXP(-LN(2)/2)*GN97+(1-EXP(-LN(2)/2))/(LN(2)/2)*GH98*GK98*VLOOKUP('Données projet'!$B$17,Paramètres!$A$1:$I$89,3,0)*0.475*44/12</f>
        <v>0</v>
      </c>
      <c r="GO98" s="23">
        <f t="shared" si="81"/>
        <v>0</v>
      </c>
      <c r="GP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0" t="e">
        <f t="shared" si="83"/>
        <v>#N/A</v>
      </c>
      <c r="GZ98" s="60" t="e">
        <f ca="1">AVERAGE(OFFSET($GY$3,0,0,'Données projet'!$E$18+1,1))-AVERAGE(OFFSET($H$3,0,0,'Données projet'!$E$18+1,1))</f>
        <v>#N/A</v>
      </c>
      <c r="HA98" s="60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4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2">
        <f t="shared" si="86"/>
        <v>15.235978301273022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-1.1368683772161603E-13</v>
      </c>
      <c r="O99" s="14">
        <f>N99*VLOOKUP('Données projet'!$B$9,Paramètres!$A$1:$I$89,3,0)*VLOOKUP('Données projet'!$B$9,Paramètres!$A$1:$I$89,5,0)</f>
        <v>-6.7984728957526396E-14</v>
      </c>
      <c r="P99" s="14" t="e">
        <f t="shared" si="87"/>
        <v>#NUM!</v>
      </c>
      <c r="Q99" s="22" t="e">
        <f t="shared" ref="Q99:Q130" si="107">(O99+P99)*0.475*44/12</f>
        <v>#NUM!</v>
      </c>
      <c r="R99" s="60" t="e">
        <f t="shared" si="55"/>
        <v>#NUM!</v>
      </c>
      <c r="S99" s="60">
        <f ca="1">AVERAGE(OFFSET($R$3,0,0,'Données projet'!$E$9+1,1))-AVERAGE(OFFSET($H$3,0,0,'Données projet'!$E$9+1,1))</f>
        <v>235.63766249714581</v>
      </c>
      <c r="T99" s="60">
        <f t="shared" si="88"/>
        <v>231.3297293785277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3.1048925478700662</v>
      </c>
      <c r="AA99" s="23">
        <f>EXP(-LN(2)/25)*AA98+(1-EXP(-LN(2)/25))/(LN(2)/25)*Calculateur!V99*Calculateur!X99*VLOOKUP('Données projet'!$B$9,Paramètres!$A$1:$I$89,3,0)*0.475*44/12</f>
        <v>2.773636147207617</v>
      </c>
      <c r="AB99" s="23">
        <f>EXP(-LN(2)/2)*AB98+(1-EXP(-LN(2)/2))/(LN(2)/2)*V99*Y99*VLOOKUP('Données projet'!$B$9,Paramètres!$A$1:$I$89,3,0)*0.475*44/12</f>
        <v>8.2799607455948478E-10</v>
      </c>
      <c r="AC99" s="24">
        <f t="shared" si="57"/>
        <v>5.8785286959056799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4.9000000000000004</v>
      </c>
      <c r="AI99" s="14">
        <f>IF('Données projet'!$A$62&gt;35,AI98+AH99-AQ98,IF(A99&lt;'Données projet'!$A$62,$AF$205^A99,IF(A99='Données projet'!$A$62,'Données projet'!$B$62,AI98+AH99-AQ98)))</f>
        <v>283.39999999999992</v>
      </c>
      <c r="AJ99" s="14">
        <f>AI99*VLOOKUP('Données projet'!$B$10,Paramètres!$A$1:$I$89,3,0)*VLOOKUP('Données projet'!$B$10,Paramètres!$A$1:$I$89,5,0)</f>
        <v>287.36759999999992</v>
      </c>
      <c r="AK99" s="14">
        <f t="shared" si="89"/>
        <v>68.521633201565123</v>
      </c>
      <c r="AL99" s="22">
        <f t="shared" si="58"/>
        <v>619.84041449272581</v>
      </c>
      <c r="AM99" s="60">
        <f t="shared" si="59"/>
        <v>913.17374782605907</v>
      </c>
      <c r="AN99" s="60">
        <f ca="1">AVERAGE(OFFSET($AM$3,0,0,'Données projet'!$E$10+1,1))-AVERAGE(OFFSET($H$3,0,0,'Données projet'!$E$10+1,1))</f>
        <v>350.3652766444938</v>
      </c>
      <c r="AO99" s="60">
        <f t="shared" si="90"/>
        <v>197.04549436738586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6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4.9000000000000004</v>
      </c>
      <c r="BD99" s="13">
        <f>IF('Données projet'!$A$88&gt;35,BD98+BC99-BL98,IF(A99&lt;'Données projet'!$A$88,$BA$205^A99,IF(A99='Données projet'!$A$88,'Données projet'!$B$88,BD98+BC99-BL98)))</f>
        <v>283.39999999999992</v>
      </c>
      <c r="BE99" s="14">
        <f>BD99*VLOOKUP('Données projet'!$B$11,Paramètres!$A$1:$I$89,3,0)*VLOOKUP('Données projet'!$B$11,Paramètres!$A$1:$I$89,5,0)</f>
        <v>274.10447999999991</v>
      </c>
      <c r="BF99" s="14">
        <f t="shared" si="91"/>
        <v>65.719577181765516</v>
      </c>
      <c r="BG99" s="22">
        <f t="shared" si="61"/>
        <v>591.86023292490802</v>
      </c>
      <c r="BH99" s="60">
        <f t="shared" si="62"/>
        <v>885.19356625824139</v>
      </c>
      <c r="BI99" s="60">
        <f ca="1">AVERAGE(OFFSET($BH$3,0,0,'Données projet'!$E$11+1,1))-AVERAGE(OFFSET($H$3,0,0,'Données projet'!$E$11+1,1))</f>
        <v>330.39429528665841</v>
      </c>
      <c r="BJ99" s="60">
        <f t="shared" si="92"/>
        <v>186.45728006007261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3.5897435897435912</v>
      </c>
      <c r="BY99" s="13">
        <f>IF('Données projet'!$A$114&gt;35,BY98+BX99-CG98,IF(A99&lt;'Données projet'!$A$114,$BV$205^A99,IF(A99='Données projet'!$A$114,'Données projet'!$B$114,BY98+BX99-CG98)))</f>
        <v>293.33333333333348</v>
      </c>
      <c r="BZ99" s="14">
        <f>BY99*VLOOKUP('Données projet'!$B$12,Paramètres!$A$1:$I$89,3,0)*VLOOKUP('Données projet'!$B$12,Paramètres!$A$1:$I$89,5,0)</f>
        <v>196.76800000000011</v>
      </c>
      <c r="CA99" s="14">
        <f t="shared" si="93"/>
        <v>49.033199854505597</v>
      </c>
      <c r="CB99" s="22">
        <f t="shared" si="64"/>
        <v>428.10375641326408</v>
      </c>
      <c r="CC99" s="60">
        <f t="shared" si="65"/>
        <v>721.43708974659739</v>
      </c>
      <c r="CD99" s="60">
        <f ca="1">AVERAGE(OFFSET($CC$3,0,0,'Données projet'!$E$12+1,1))-AVERAGE(OFFSET($H$3,0,0,'Données projet'!$E$12+1,1))</f>
        <v>212.33913923444732</v>
      </c>
      <c r="CE99" s="60">
        <f t="shared" si="94"/>
        <v>183.51194426094372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-3.979039320256561E-13</v>
      </c>
      <c r="CU99" s="18">
        <f>CT99*VLOOKUP('Données projet'!$B$13,Paramètres!$A$1:$I$89,3,0)*VLOOKUP('Données projet'!$B$13,Paramètres!$A$1:$I$89,5,0)</f>
        <v>-3.4760887501761321E-13</v>
      </c>
      <c r="CV99" s="14" t="e">
        <f t="shared" si="95"/>
        <v>#NUM!</v>
      </c>
      <c r="CW99" s="22" t="e">
        <f t="shared" si="67"/>
        <v>#NUM!</v>
      </c>
      <c r="CX99" s="60" t="e">
        <f t="shared" si="68"/>
        <v>#NUM!</v>
      </c>
      <c r="CY99" s="60">
        <f ca="1">AVERAGE(OFFSET($CX$3,0,0,'Données projet'!$E$13+1,1))-AVERAGE(OFFSET($H$3,0,0,'Données projet'!$E$13+1,1))</f>
        <v>228.0393346366489</v>
      </c>
      <c r="CZ99" s="60">
        <f t="shared" si="96"/>
        <v>238.591781509447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4.9000000000000004</v>
      </c>
      <c r="DO99" s="13">
        <f>IF('Données projet'!$A$166&gt;35,DO98+DN99-DW98,IF(A99&lt;'Données projet'!$A$166,$DL$205^A99,IF(A99='Données projet'!$A$166,'Données projet'!$B$166,DO98+DN99-DW98)))</f>
        <v>283.39999999999992</v>
      </c>
      <c r="DP99" s="18">
        <f>DO99*VLOOKUP('Données projet'!$B$14,Paramètres!$A$1:$I$89,3,0)*VLOOKUP('Données projet'!$B$14,Paramètres!$A$1:$I$89,5,0)</f>
        <v>256.42031999999989</v>
      </c>
      <c r="DQ99" s="14">
        <f t="shared" si="97"/>
        <v>61.958720258016918</v>
      </c>
      <c r="DR99" s="22">
        <f t="shared" si="70"/>
        <v>554.51016178271254</v>
      </c>
      <c r="DS99" s="60">
        <f t="shared" si="71"/>
        <v>847.84349511604591</v>
      </c>
      <c r="DT99" s="60">
        <f ca="1">AVERAGE(OFFSET($DS$3,0,0,'Données projet'!$E$14+1,1))-AVERAGE(OFFSET($H$3,0,0,'Données projet'!$E$14+1,1))</f>
        <v>303.73499739059076</v>
      </c>
      <c r="DU99" s="60">
        <f t="shared" si="98"/>
        <v>172.32171001882188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1.1368683772161603E-13</v>
      </c>
      <c r="EK99" s="18">
        <f>EJ99*VLOOKUP('Données projet'!$B$15,Paramètres!$A$1:$I$89,3,0)*VLOOKUP('Données projet'!$B$15,Paramètres!$A$1:$I$89,5,0)</f>
        <v>6.7984728957526396E-14</v>
      </c>
      <c r="EL99" s="14">
        <f t="shared" si="99"/>
        <v>1.0682447123141398E-12</v>
      </c>
      <c r="EM99" s="22">
        <f t="shared" si="73"/>
        <v>1.978932943548152E-12</v>
      </c>
      <c r="EN99" s="60">
        <f t="shared" si="74"/>
        <v>293.3333333333353</v>
      </c>
      <c r="EO99" s="60">
        <f ca="1">AVERAGE(OFFSET($EN$3,0,0,'Données projet'!$E$15+1,1))-AVERAGE(OFFSET($H$3,0,0,'Données projet'!$E$15+1,1))</f>
        <v>269.94948820700841</v>
      </c>
      <c r="EP99" s="60">
        <f t="shared" si="100"/>
        <v>183.45158355135192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2.1906005785034859</v>
      </c>
      <c r="EX99" s="23">
        <f>EXP(-LN(2)/2)*EX98+(1-EXP(-LN(2)/2))/(LN(2)/2)*ER99*EU99*VLOOKUP('Données projet'!$B$15,Paramètres!$A$1:$I$89,3,0)*0.475*44/12</f>
        <v>6.5635327313567782E-10</v>
      </c>
      <c r="EY99" s="24">
        <f t="shared" si="75"/>
        <v>2.1906005791598391</v>
      </c>
      <c r="EZ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>
        <f>FE99*VLOOKUP('Données projet'!$B$16,Paramètres!$A$1:$I$89,3,0)*VLOOKUP('Données projet'!$B$16,Paramètres!$A$1:$I$89,5,0)</f>
        <v>0</v>
      </c>
      <c r="FG99" s="14" t="e">
        <f t="shared" si="101"/>
        <v>#NUM!</v>
      </c>
      <c r="FH99" s="22" t="e">
        <f t="shared" si="76"/>
        <v>#NUM!</v>
      </c>
      <c r="FI99" s="60" t="e">
        <f t="shared" si="77"/>
        <v>#NUM!</v>
      </c>
      <c r="FJ99" s="60">
        <f ca="1">AVERAGE(OFFSET($FI$3,0,0,'Données projet'!$E$16+1,1))-AVERAGE(OFFSET($H$3,0,0,'Données projet'!$E$16+1,1))</f>
        <v>111.24788725253484</v>
      </c>
      <c r="FK99" s="60">
        <f t="shared" si="102"/>
        <v>82.434879813357327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projet'!$B$16,Paramètres!$A$1:$I$89,3,0)*0.475*44/12</f>
        <v>0</v>
      </c>
      <c r="FR99" s="23">
        <f>EXP(-LN(2)/25)*FR98+(1-EXP(-LN(2)/25))/(LN(2)/25)*Calculateur!FM99*Calculateur!FO99*VLOOKUP('Données projet'!$B$16,Paramètres!$A$1:$I$89,3,0)*0.475*44/12</f>
        <v>0</v>
      </c>
      <c r="FS99" s="23">
        <f>EXP(-LN(2)/2)*FS98+(1-EXP(-LN(2)/2))/(LN(2)/2)*FM99*FP99*VLOOKUP('Données projet'!$B$16,Paramètres!$A$1:$I$89,3,0)*0.475*44/12</f>
        <v>0</v>
      </c>
      <c r="FT99" s="24">
        <f t="shared" si="78"/>
        <v>0</v>
      </c>
      <c r="FU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1.0231815394945443E-12</v>
      </c>
      <c r="GA99" s="18">
        <f>FZ99*VLOOKUP('Données projet'!$B$17,Paramètres!$A$1:$I$89,3,0)*VLOOKUP('Données projet'!$B$17,Paramètres!$A$1:$I$89,5,0)</f>
        <v>4.5224624045658859E-13</v>
      </c>
      <c r="GB99" s="14">
        <f t="shared" si="103"/>
        <v>5.6995607121061449E-12</v>
      </c>
      <c r="GC99" s="22">
        <f t="shared" si="79"/>
        <v>1.0714397109046761E-11</v>
      </c>
      <c r="GD99" s="60">
        <f t="shared" si="80"/>
        <v>293.333333333344</v>
      </c>
      <c r="GE99" s="60">
        <f ca="1">AVERAGE(OFFSET($GD$3,0,0,'Données projet'!$E$17+1,1))-AVERAGE(OFFSET($H$3,0,0,'Données projet'!$E$17+1,1))</f>
        <v>323.56667371063662</v>
      </c>
      <c r="GF99" s="60">
        <f t="shared" si="104"/>
        <v>275.70373467723385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>
        <f>EXP(-LN(2)/35)*GL98+(1-EXP(-LN(2)/35))/(LN(2)/35)*GH99*GI99*VLOOKUP('Données projet'!$B$17,Paramètres!$A$1:$I$89,3,0)*0.475*44/12</f>
        <v>0</v>
      </c>
      <c r="GM99" s="23">
        <f>EXP(-LN(2)/25)*GM98+(1-EXP(-LN(2)/25))/(LN(2)/25)*Calculateur!GH99*Calculateur!GJ99*VLOOKUP('Données projet'!$B$17,Paramètres!$A$1:$I$89,3,0)*0.475*44/12</f>
        <v>0</v>
      </c>
      <c r="GN99" s="23">
        <f>EXP(-LN(2)/2)*GN98+(1-EXP(-LN(2)/2))/(LN(2)/2)*GH99*GK99*VLOOKUP('Données projet'!$B$17,Paramètres!$A$1:$I$89,3,0)*0.475*44/12</f>
        <v>0</v>
      </c>
      <c r="GO99" s="23">
        <f t="shared" si="81"/>
        <v>0</v>
      </c>
      <c r="GP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0" t="e">
        <f t="shared" si="83"/>
        <v>#N/A</v>
      </c>
      <c r="GZ99" s="60" t="e">
        <f ca="1">AVERAGE(OFFSET($GY$3,0,0,'Données projet'!$E$18+1,1))-AVERAGE(OFFSET($H$3,0,0,'Données projet'!$E$18+1,1))</f>
        <v>#N/A</v>
      </c>
      <c r="HA99" s="60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4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2">
        <f t="shared" si="86"/>
        <v>15.376128095486868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-1.1368683772161603E-13</v>
      </c>
      <c r="O100" s="14">
        <f>N100*VLOOKUP('Données projet'!$B$9,Paramètres!$A$1:$I$89,3,0)*VLOOKUP('Données projet'!$B$9,Paramètres!$A$1:$I$89,5,0)</f>
        <v>-6.7984728957526396E-14</v>
      </c>
      <c r="P100" s="14" t="e">
        <f t="shared" si="87"/>
        <v>#NUM!</v>
      </c>
      <c r="Q100" s="22" t="e">
        <f t="shared" si="107"/>
        <v>#NUM!</v>
      </c>
      <c r="R100" s="60" t="e">
        <f t="shared" si="55"/>
        <v>#NUM!</v>
      </c>
      <c r="S100" s="60">
        <f ca="1">AVERAGE(OFFSET($R$3,0,0,'Données projet'!$E$9+1,1))-AVERAGE(OFFSET($H$3,0,0,'Données projet'!$E$9+1,1))</f>
        <v>235.63766249714581</v>
      </c>
      <c r="T100" s="60">
        <f t="shared" si="88"/>
        <v>231.3297293785277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3.0440074988037913</v>
      </c>
      <c r="AA100" s="23">
        <f>EXP(-LN(2)/25)*AA99+(1-EXP(-LN(2)/25))/(LN(2)/25)*Calculateur!V100*Calculateur!X100*VLOOKUP('Données projet'!$B$9,Paramètres!$A$1:$I$89,3,0)*0.475*44/12</f>
        <v>2.6977909209030391</v>
      </c>
      <c r="AB100" s="23">
        <f>EXP(-LN(2)/2)*AB99+(1-EXP(-LN(2)/2))/(LN(2)/2)*V100*Y100*VLOOKUP('Données projet'!$B$9,Paramètres!$A$1:$I$89,3,0)*0.475*44/12</f>
        <v>5.8548163911685389E-10</v>
      </c>
      <c r="AC100" s="24">
        <f t="shared" si="57"/>
        <v>5.7417984202923122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4.9000000000000004</v>
      </c>
      <c r="AI100" s="14">
        <f>IF('Données projet'!$A$62&gt;35,AI99+AH100-AQ99,IF(A100&lt;'Données projet'!$A$62,$AF$205^A100,IF(A100='Données projet'!$A$62,'Données projet'!$B$62,AI99+AH100-AQ99)))</f>
        <v>288.2999999999999</v>
      </c>
      <c r="AJ100" s="14">
        <f>AI100*VLOOKUP('Données projet'!$B$10,Paramètres!$A$1:$I$89,3,0)*VLOOKUP('Données projet'!$B$10,Paramètres!$A$1:$I$89,5,0)</f>
        <v>292.33619999999996</v>
      </c>
      <c r="AK100" s="14">
        <f t="shared" si="89"/>
        <v>69.56742490962327</v>
      </c>
      <c r="AL100" s="22">
        <f t="shared" si="58"/>
        <v>630.31548005092702</v>
      </c>
      <c r="AM100" s="60">
        <f t="shared" si="59"/>
        <v>923.64881338426039</v>
      </c>
      <c r="AN100" s="60">
        <f ca="1">AVERAGE(OFFSET($AM$3,0,0,'Données projet'!$E$10+1,1))-AVERAGE(OFFSET($H$3,0,0,'Données projet'!$E$10+1,1))</f>
        <v>350.3652766444938</v>
      </c>
      <c r="AO100" s="60">
        <f t="shared" si="90"/>
        <v>197.04549436738586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6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4.9000000000000004</v>
      </c>
      <c r="BD100" s="13">
        <f>IF('Données projet'!$A$88&gt;35,BD99+BC100-BL99,IF(A100&lt;'Données projet'!$A$88,$BA$205^A100,IF(A100='Données projet'!$A$88,'Données projet'!$B$88,BD99+BC100-BL99)))</f>
        <v>288.2999999999999</v>
      </c>
      <c r="BE100" s="14">
        <f>BD100*VLOOKUP('Données projet'!$B$11,Paramètres!$A$1:$I$89,3,0)*VLOOKUP('Données projet'!$B$11,Paramètres!$A$1:$I$89,5,0)</f>
        <v>278.84375999999992</v>
      </c>
      <c r="BF100" s="14">
        <f t="shared" si="91"/>
        <v>66.722603316177725</v>
      </c>
      <c r="BG100" s="22">
        <f t="shared" si="61"/>
        <v>601.86141610900938</v>
      </c>
      <c r="BH100" s="60">
        <f t="shared" si="62"/>
        <v>895.19474944234275</v>
      </c>
      <c r="BI100" s="60">
        <f ca="1">AVERAGE(OFFSET($BH$3,0,0,'Données projet'!$E$11+1,1))-AVERAGE(OFFSET($H$3,0,0,'Données projet'!$E$11+1,1))</f>
        <v>330.39429528665841</v>
      </c>
      <c r="BJ100" s="60">
        <f t="shared" si="92"/>
        <v>186.45728006007261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3.5897435897435912</v>
      </c>
      <c r="BY100" s="13">
        <f>IF('Données projet'!$A$114&gt;35,BY99+BX100-CG99,IF(A100&lt;'Données projet'!$A$114,$BV$205^A100,IF(A100='Données projet'!$A$114,'Données projet'!$B$114,BY99+BX100-CG99)))</f>
        <v>296.92307692307708</v>
      </c>
      <c r="BZ100" s="14">
        <f>BY100*VLOOKUP('Données projet'!$B$12,Paramètres!$A$1:$I$89,3,0)*VLOOKUP('Données projet'!$B$12,Paramètres!$A$1:$I$89,5,0)</f>
        <v>199.1760000000001</v>
      </c>
      <c r="CA100" s="14">
        <f t="shared" si="93"/>
        <v>49.563033976114944</v>
      </c>
      <c r="CB100" s="22">
        <f t="shared" si="64"/>
        <v>433.22048417506704</v>
      </c>
      <c r="CC100" s="60">
        <f t="shared" si="65"/>
        <v>726.55381750840036</v>
      </c>
      <c r="CD100" s="60">
        <f ca="1">AVERAGE(OFFSET($CC$3,0,0,'Données projet'!$E$12+1,1))-AVERAGE(OFFSET($H$3,0,0,'Données projet'!$E$12+1,1))</f>
        <v>212.33913923444732</v>
      </c>
      <c r="CE100" s="60">
        <f t="shared" si="94"/>
        <v>183.51194426094372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-3.979039320256561E-13</v>
      </c>
      <c r="CU100" s="18">
        <f>CT100*VLOOKUP('Données projet'!$B$13,Paramètres!$A$1:$I$89,3,0)*VLOOKUP('Données projet'!$B$13,Paramètres!$A$1:$I$89,5,0)</f>
        <v>-3.4760887501761321E-13</v>
      </c>
      <c r="CV100" s="14" t="e">
        <f t="shared" si="95"/>
        <v>#NUM!</v>
      </c>
      <c r="CW100" s="22" t="e">
        <f t="shared" si="67"/>
        <v>#NUM!</v>
      </c>
      <c r="CX100" s="60" t="e">
        <f t="shared" si="68"/>
        <v>#NUM!</v>
      </c>
      <c r="CY100" s="60">
        <f ca="1">AVERAGE(OFFSET($CX$3,0,0,'Données projet'!$E$13+1,1))-AVERAGE(OFFSET($H$3,0,0,'Données projet'!$E$13+1,1))</f>
        <v>228.0393346366489</v>
      </c>
      <c r="CZ100" s="60">
        <f t="shared" si="96"/>
        <v>238.591781509447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4.9000000000000004</v>
      </c>
      <c r="DO100" s="13">
        <f>IF('Données projet'!$A$166&gt;35,DO99+DN100-DW99,IF(A100&lt;'Données projet'!$A$166,$DL$205^A100,IF(A100='Données projet'!$A$166,'Données projet'!$B$166,DO99+DN100-DW99)))</f>
        <v>288.2999999999999</v>
      </c>
      <c r="DP100" s="18">
        <f>DO100*VLOOKUP('Données projet'!$B$14,Paramètres!$A$1:$I$89,3,0)*VLOOKUP('Données projet'!$B$14,Paramètres!$A$1:$I$89,5,0)</f>
        <v>260.85383999999993</v>
      </c>
      <c r="DQ100" s="14">
        <f t="shared" si="97"/>
        <v>62.904347395903763</v>
      </c>
      <c r="DR100" s="22">
        <f t="shared" si="70"/>
        <v>563.87884304786564</v>
      </c>
      <c r="DS100" s="60">
        <f t="shared" si="71"/>
        <v>857.21217638119901</v>
      </c>
      <c r="DT100" s="60">
        <f ca="1">AVERAGE(OFFSET($DS$3,0,0,'Données projet'!$E$14+1,1))-AVERAGE(OFFSET($H$3,0,0,'Données projet'!$E$14+1,1))</f>
        <v>303.73499739059076</v>
      </c>
      <c r="DU100" s="60">
        <f t="shared" si="98"/>
        <v>172.32171001882188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1.1368683772161603E-13</v>
      </c>
      <c r="EK100" s="18">
        <f>EJ100*VLOOKUP('Données projet'!$B$15,Paramètres!$A$1:$I$89,3,0)*VLOOKUP('Données projet'!$B$15,Paramètres!$A$1:$I$89,5,0)</f>
        <v>6.7984728957526396E-14</v>
      </c>
      <c r="EL100" s="14">
        <f t="shared" si="99"/>
        <v>1.0682447123141398E-12</v>
      </c>
      <c r="EM100" s="22">
        <f t="shared" si="73"/>
        <v>1.978932943548152E-12</v>
      </c>
      <c r="EN100" s="60">
        <f t="shared" si="74"/>
        <v>293.3333333333353</v>
      </c>
      <c r="EO100" s="60">
        <f ca="1">AVERAGE(OFFSET($EN$3,0,0,'Données projet'!$E$15+1,1))-AVERAGE(OFFSET($H$3,0,0,'Données projet'!$E$15+1,1))</f>
        <v>269.94948820700841</v>
      </c>
      <c r="EP100" s="60">
        <f t="shared" si="100"/>
        <v>183.45158355135192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2.1306984904856305</v>
      </c>
      <c r="EX100" s="23">
        <f>EXP(-LN(2)/2)*EX99+(1-EXP(-LN(2)/2))/(LN(2)/2)*ER100*EU100*VLOOKUP('Données projet'!$B$15,Paramètres!$A$1:$I$89,3,0)*0.475*44/12</f>
        <v>4.6411185028822404E-10</v>
      </c>
      <c r="EY100" s="24">
        <f t="shared" si="75"/>
        <v>2.1306984909497424</v>
      </c>
      <c r="EZ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>
        <f>FE100*VLOOKUP('Données projet'!$B$16,Paramètres!$A$1:$I$89,3,0)*VLOOKUP('Données projet'!$B$16,Paramètres!$A$1:$I$89,5,0)</f>
        <v>0</v>
      </c>
      <c r="FG100" s="14" t="e">
        <f t="shared" si="101"/>
        <v>#NUM!</v>
      </c>
      <c r="FH100" s="22" t="e">
        <f t="shared" si="76"/>
        <v>#NUM!</v>
      </c>
      <c r="FI100" s="60" t="e">
        <f t="shared" si="77"/>
        <v>#NUM!</v>
      </c>
      <c r="FJ100" s="60">
        <f ca="1">AVERAGE(OFFSET($FI$3,0,0,'Données projet'!$E$16+1,1))-AVERAGE(OFFSET($H$3,0,0,'Données projet'!$E$16+1,1))</f>
        <v>111.24788725253484</v>
      </c>
      <c r="FK100" s="60">
        <f t="shared" si="102"/>
        <v>82.434879813357327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projet'!$B$16,Paramètres!$A$1:$I$89,3,0)*0.475*44/12</f>
        <v>0</v>
      </c>
      <c r="FR100" s="23">
        <f>EXP(-LN(2)/25)*FR99+(1-EXP(-LN(2)/25))/(LN(2)/25)*Calculateur!FM100*Calculateur!FO100*VLOOKUP('Données projet'!$B$16,Paramètres!$A$1:$I$89,3,0)*0.475*44/12</f>
        <v>0</v>
      </c>
      <c r="FS100" s="23">
        <f>EXP(-LN(2)/2)*FS99+(1-EXP(-LN(2)/2))/(LN(2)/2)*FM100*FP100*VLOOKUP('Données projet'!$B$16,Paramètres!$A$1:$I$89,3,0)*0.475*44/12</f>
        <v>0</v>
      </c>
      <c r="FT100" s="24">
        <f t="shared" si="78"/>
        <v>0</v>
      </c>
      <c r="FU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1.0231815394945443E-12</v>
      </c>
      <c r="GA100" s="18">
        <f>FZ100*VLOOKUP('Données projet'!$B$17,Paramètres!$A$1:$I$89,3,0)*VLOOKUP('Données projet'!$B$17,Paramètres!$A$1:$I$89,5,0)</f>
        <v>4.5224624045658859E-13</v>
      </c>
      <c r="GB100" s="14">
        <f t="shared" si="103"/>
        <v>5.6995607121061449E-12</v>
      </c>
      <c r="GC100" s="22">
        <f t="shared" si="79"/>
        <v>1.0714397109046761E-11</v>
      </c>
      <c r="GD100" s="60">
        <f t="shared" si="80"/>
        <v>293.333333333344</v>
      </c>
      <c r="GE100" s="60">
        <f ca="1">AVERAGE(OFFSET($GD$3,0,0,'Données projet'!$E$17+1,1))-AVERAGE(OFFSET($H$3,0,0,'Données projet'!$E$17+1,1))</f>
        <v>323.56667371063662</v>
      </c>
      <c r="GF100" s="60">
        <f t="shared" si="104"/>
        <v>275.70373467723385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>
        <f>EXP(-LN(2)/35)*GL99+(1-EXP(-LN(2)/35))/(LN(2)/35)*GH100*GI100*VLOOKUP('Données projet'!$B$17,Paramètres!$A$1:$I$89,3,0)*0.475*44/12</f>
        <v>0</v>
      </c>
      <c r="GM100" s="23">
        <f>EXP(-LN(2)/25)*GM99+(1-EXP(-LN(2)/25))/(LN(2)/25)*Calculateur!GH100*Calculateur!GJ100*VLOOKUP('Données projet'!$B$17,Paramètres!$A$1:$I$89,3,0)*0.475*44/12</f>
        <v>0</v>
      </c>
      <c r="GN100" s="23">
        <f>EXP(-LN(2)/2)*GN99+(1-EXP(-LN(2)/2))/(LN(2)/2)*GH100*GK100*VLOOKUP('Données projet'!$B$17,Paramètres!$A$1:$I$89,3,0)*0.475*44/12</f>
        <v>0</v>
      </c>
      <c r="GO100" s="23">
        <f t="shared" si="81"/>
        <v>0</v>
      </c>
      <c r="GP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0" t="e">
        <f t="shared" si="83"/>
        <v>#N/A</v>
      </c>
      <c r="GZ100" s="60" t="e">
        <f ca="1">AVERAGE(OFFSET($GY$3,0,0,'Données projet'!$E$18+1,1))-AVERAGE(OFFSET($H$3,0,0,'Données projet'!$E$18+1,1))</f>
        <v>#N/A</v>
      </c>
      <c r="HA100" s="60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4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2">
        <f t="shared" si="86"/>
        <v>15.516109807666373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-1.1368683772161603E-13</v>
      </c>
      <c r="O101" s="14">
        <f>N101*VLOOKUP('Données projet'!$B$9,Paramètres!$A$1:$I$89,3,0)*VLOOKUP('Données projet'!$B$9,Paramètres!$A$1:$I$89,5,0)</f>
        <v>-6.7984728957526396E-14</v>
      </c>
      <c r="P101" s="14" t="e">
        <f t="shared" si="87"/>
        <v>#NUM!</v>
      </c>
      <c r="Q101" s="22" t="e">
        <f t="shared" si="107"/>
        <v>#NUM!</v>
      </c>
      <c r="R101" s="60" t="e">
        <f t="shared" si="55"/>
        <v>#NUM!</v>
      </c>
      <c r="S101" s="60">
        <f ca="1">AVERAGE(OFFSET($R$3,0,0,'Données projet'!$E$9+1,1))-AVERAGE(OFFSET($H$3,0,0,'Données projet'!$E$9+1,1))</f>
        <v>235.63766249714581</v>
      </c>
      <c r="T101" s="60">
        <f t="shared" si="88"/>
        <v>231.3297293785277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2.9843163684134932</v>
      </c>
      <c r="AA101" s="23">
        <f>EXP(-LN(2)/25)*AA100+(1-EXP(-LN(2)/25))/(LN(2)/25)*Calculateur!V101*Calculateur!X101*VLOOKUP('Données projet'!$B$9,Paramètres!$A$1:$I$89,3,0)*0.475*44/12</f>
        <v>2.6240196863002869</v>
      </c>
      <c r="AB101" s="23">
        <f>EXP(-LN(2)/2)*AB100+(1-EXP(-LN(2)/2))/(LN(2)/2)*V101*Y101*VLOOKUP('Données projet'!$B$9,Paramètres!$A$1:$I$89,3,0)*0.475*44/12</f>
        <v>4.1399803727974239E-10</v>
      </c>
      <c r="AC101" s="24">
        <f t="shared" si="57"/>
        <v>5.6083360551277774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4.9000000000000004</v>
      </c>
      <c r="AI101" s="14">
        <f>IF('Données projet'!$A$62&gt;35,AI100+AH101-AQ100,IF(A101&lt;'Données projet'!$A$62,$AF$205^A101,IF(A101='Données projet'!$A$62,'Données projet'!$B$62,AI100+AH101-AQ100)))</f>
        <v>293.19999999999987</v>
      </c>
      <c r="AJ101" s="14">
        <f>AI101*VLOOKUP('Données projet'!$B$10,Paramètres!$A$1:$I$89,3,0)*VLOOKUP('Données projet'!$B$10,Paramètres!$A$1:$I$89,5,0)</f>
        <v>297.30479999999989</v>
      </c>
      <c r="AK101" s="14">
        <f t="shared" si="89"/>
        <v>70.611149609504906</v>
      </c>
      <c r="AL101" s="22">
        <f t="shared" si="58"/>
        <v>640.78694556988739</v>
      </c>
      <c r="AM101" s="60">
        <f t="shared" si="59"/>
        <v>934.12027890322065</v>
      </c>
      <c r="AN101" s="60">
        <f ca="1">AVERAGE(OFFSET($AM$3,0,0,'Données projet'!$E$10+1,1))-AVERAGE(OFFSET($H$3,0,0,'Données projet'!$E$10+1,1))</f>
        <v>350.3652766444938</v>
      </c>
      <c r="AO101" s="60">
        <f t="shared" si="90"/>
        <v>197.04549436738586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6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4.9000000000000004</v>
      </c>
      <c r="BD101" s="13">
        <f>IF('Données projet'!$A$88&gt;35,BD100+BC101-BL100,IF(A101&lt;'Données projet'!$A$88,$BA$205^A101,IF(A101='Données projet'!$A$88,'Données projet'!$B$88,BD100+BC101-BL100)))</f>
        <v>293.19999999999987</v>
      </c>
      <c r="BE101" s="14">
        <f>BD101*VLOOKUP('Données projet'!$B$11,Paramètres!$A$1:$I$89,3,0)*VLOOKUP('Données projet'!$B$11,Paramètres!$A$1:$I$89,5,0)</f>
        <v>283.58303999999993</v>
      </c>
      <c r="BF101" s="14">
        <f t="shared" si="91"/>
        <v>67.723646968605209</v>
      </c>
      <c r="BG101" s="22">
        <f t="shared" si="61"/>
        <v>611.85914647032064</v>
      </c>
      <c r="BH101" s="60">
        <f t="shared" si="62"/>
        <v>905.1924798036539</v>
      </c>
      <c r="BI101" s="60">
        <f ca="1">AVERAGE(OFFSET($BH$3,0,0,'Données projet'!$E$11+1,1))-AVERAGE(OFFSET($H$3,0,0,'Données projet'!$E$11+1,1))</f>
        <v>330.39429528665841</v>
      </c>
      <c r="BJ101" s="60">
        <f t="shared" si="92"/>
        <v>186.45728006007261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3.5897435897435912</v>
      </c>
      <c r="BY101" s="13">
        <f>IF('Données projet'!$A$114&gt;35,BY100+BX101-CG100,IF(A101&lt;'Données projet'!$A$114,$BV$205^A101,IF(A101='Données projet'!$A$114,'Données projet'!$B$114,BY100+BX101-CG100)))</f>
        <v>300.51282051282067</v>
      </c>
      <c r="BZ101" s="14">
        <f>BY101*VLOOKUP('Données projet'!$B$12,Paramètres!$A$1:$I$89,3,0)*VLOOKUP('Données projet'!$B$12,Paramètres!$A$1:$I$89,5,0)</f>
        <v>201.58400000000009</v>
      </c>
      <c r="CA101" s="14">
        <f t="shared" si="93"/>
        <v>50.092122991789054</v>
      </c>
      <c r="CB101" s="22">
        <f t="shared" si="64"/>
        <v>438.33591421069946</v>
      </c>
      <c r="CC101" s="60">
        <f t="shared" si="65"/>
        <v>731.66924754403271</v>
      </c>
      <c r="CD101" s="60">
        <f ca="1">AVERAGE(OFFSET($CC$3,0,0,'Données projet'!$E$12+1,1))-AVERAGE(OFFSET($H$3,0,0,'Données projet'!$E$12+1,1))</f>
        <v>212.33913923444732</v>
      </c>
      <c r="CE101" s="60">
        <f t="shared" si="94"/>
        <v>183.51194426094372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-3.979039320256561E-13</v>
      </c>
      <c r="CU101" s="18">
        <f>CT101*VLOOKUP('Données projet'!$B$13,Paramètres!$A$1:$I$89,3,0)*VLOOKUP('Données projet'!$B$13,Paramètres!$A$1:$I$89,5,0)</f>
        <v>-3.4760887501761321E-13</v>
      </c>
      <c r="CV101" s="14" t="e">
        <f t="shared" si="95"/>
        <v>#NUM!</v>
      </c>
      <c r="CW101" s="22" t="e">
        <f t="shared" si="67"/>
        <v>#NUM!</v>
      </c>
      <c r="CX101" s="60" t="e">
        <f t="shared" si="68"/>
        <v>#NUM!</v>
      </c>
      <c r="CY101" s="60">
        <f ca="1">AVERAGE(OFFSET($CX$3,0,0,'Données projet'!$E$13+1,1))-AVERAGE(OFFSET($H$3,0,0,'Données projet'!$E$13+1,1))</f>
        <v>228.0393346366489</v>
      </c>
      <c r="CZ101" s="60">
        <f t="shared" si="96"/>
        <v>238.591781509447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4.9000000000000004</v>
      </c>
      <c r="DO101" s="13">
        <f>IF('Données projet'!$A$166&gt;35,DO100+DN101-DW100,IF(A101&lt;'Données projet'!$A$166,$DL$205^A101,IF(A101='Données projet'!$A$166,'Données projet'!$B$166,DO100+DN101-DW100)))</f>
        <v>293.19999999999987</v>
      </c>
      <c r="DP101" s="18">
        <f>DO101*VLOOKUP('Données projet'!$B$14,Paramètres!$A$1:$I$89,3,0)*VLOOKUP('Données projet'!$B$14,Paramètres!$A$1:$I$89,5,0)</f>
        <v>265.28735999999992</v>
      </c>
      <c r="DQ101" s="14">
        <f t="shared" si="97"/>
        <v>63.84810550096995</v>
      </c>
      <c r="DR101" s="22">
        <f t="shared" si="70"/>
        <v>573.24426908085582</v>
      </c>
      <c r="DS101" s="60">
        <f t="shared" si="71"/>
        <v>866.57760241418919</v>
      </c>
      <c r="DT101" s="60">
        <f ca="1">AVERAGE(OFFSET($DS$3,0,0,'Données projet'!$E$14+1,1))-AVERAGE(OFFSET($H$3,0,0,'Données projet'!$E$14+1,1))</f>
        <v>303.73499739059076</v>
      </c>
      <c r="DU101" s="60">
        <f t="shared" si="98"/>
        <v>172.32171001882188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1.1368683772161603E-13</v>
      </c>
      <c r="EK101" s="18">
        <f>EJ101*VLOOKUP('Données projet'!$B$15,Paramètres!$A$1:$I$89,3,0)*VLOOKUP('Données projet'!$B$15,Paramètres!$A$1:$I$89,5,0)</f>
        <v>6.7984728957526396E-14</v>
      </c>
      <c r="EL101" s="14">
        <f t="shared" si="99"/>
        <v>1.0682447123141398E-12</v>
      </c>
      <c r="EM101" s="22">
        <f t="shared" si="73"/>
        <v>1.978932943548152E-12</v>
      </c>
      <c r="EN101" s="60">
        <f t="shared" si="74"/>
        <v>293.3333333333353</v>
      </c>
      <c r="EO101" s="60">
        <f ca="1">AVERAGE(OFFSET($EN$3,0,0,'Données projet'!$E$15+1,1))-AVERAGE(OFFSET($H$3,0,0,'Données projet'!$E$15+1,1))</f>
        <v>269.94948820700841</v>
      </c>
      <c r="EP101" s="60">
        <f t="shared" si="100"/>
        <v>183.45158355135192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2.0724344282147373</v>
      </c>
      <c r="EX101" s="23">
        <f>EXP(-LN(2)/2)*EX100+(1-EXP(-LN(2)/2))/(LN(2)/2)*ER101*EU101*VLOOKUP('Données projet'!$B$15,Paramètres!$A$1:$I$89,3,0)*0.475*44/12</f>
        <v>3.2817663656783896E-10</v>
      </c>
      <c r="EY101" s="24">
        <f t="shared" si="75"/>
        <v>2.0724344285429139</v>
      </c>
      <c r="EZ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>
        <f>FE101*VLOOKUP('Données projet'!$B$16,Paramètres!$A$1:$I$89,3,0)*VLOOKUP('Données projet'!$B$16,Paramètres!$A$1:$I$89,5,0)</f>
        <v>0</v>
      </c>
      <c r="FG101" s="14" t="e">
        <f t="shared" si="101"/>
        <v>#NUM!</v>
      </c>
      <c r="FH101" s="22" t="e">
        <f t="shared" si="76"/>
        <v>#NUM!</v>
      </c>
      <c r="FI101" s="60" t="e">
        <f t="shared" si="77"/>
        <v>#NUM!</v>
      </c>
      <c r="FJ101" s="60">
        <f ca="1">AVERAGE(OFFSET($FI$3,0,0,'Données projet'!$E$16+1,1))-AVERAGE(OFFSET($H$3,0,0,'Données projet'!$E$16+1,1))</f>
        <v>111.24788725253484</v>
      </c>
      <c r="FK101" s="60">
        <f t="shared" si="102"/>
        <v>82.434879813357327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projet'!$B$16,Paramètres!$A$1:$I$89,3,0)*0.475*44/12</f>
        <v>0</v>
      </c>
      <c r="FR101" s="23">
        <f>EXP(-LN(2)/25)*FR100+(1-EXP(-LN(2)/25))/(LN(2)/25)*Calculateur!FM101*Calculateur!FO101*VLOOKUP('Données projet'!$B$16,Paramètres!$A$1:$I$89,3,0)*0.475*44/12</f>
        <v>0</v>
      </c>
      <c r="FS101" s="23">
        <f>EXP(-LN(2)/2)*FS100+(1-EXP(-LN(2)/2))/(LN(2)/2)*FM101*FP101*VLOOKUP('Données projet'!$B$16,Paramètres!$A$1:$I$89,3,0)*0.475*44/12</f>
        <v>0</v>
      </c>
      <c r="FT101" s="24">
        <f t="shared" si="78"/>
        <v>0</v>
      </c>
      <c r="FU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1.0231815394945443E-12</v>
      </c>
      <c r="GA101" s="18">
        <f>FZ101*VLOOKUP('Données projet'!$B$17,Paramètres!$A$1:$I$89,3,0)*VLOOKUP('Données projet'!$B$17,Paramètres!$A$1:$I$89,5,0)</f>
        <v>4.5224624045658859E-13</v>
      </c>
      <c r="GB101" s="14">
        <f t="shared" si="103"/>
        <v>5.6995607121061449E-12</v>
      </c>
      <c r="GC101" s="22">
        <f t="shared" si="79"/>
        <v>1.0714397109046761E-11</v>
      </c>
      <c r="GD101" s="60">
        <f t="shared" si="80"/>
        <v>293.333333333344</v>
      </c>
      <c r="GE101" s="60">
        <f ca="1">AVERAGE(OFFSET($GD$3,0,0,'Données projet'!$E$17+1,1))-AVERAGE(OFFSET($H$3,0,0,'Données projet'!$E$17+1,1))</f>
        <v>323.56667371063662</v>
      </c>
      <c r="GF101" s="60">
        <f t="shared" si="104"/>
        <v>275.70373467723385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>
        <f>EXP(-LN(2)/35)*GL100+(1-EXP(-LN(2)/35))/(LN(2)/35)*GH101*GI101*VLOOKUP('Données projet'!$B$17,Paramètres!$A$1:$I$89,3,0)*0.475*44/12</f>
        <v>0</v>
      </c>
      <c r="GM101" s="23">
        <f>EXP(-LN(2)/25)*GM100+(1-EXP(-LN(2)/25))/(LN(2)/25)*Calculateur!GH101*Calculateur!GJ101*VLOOKUP('Données projet'!$B$17,Paramètres!$A$1:$I$89,3,0)*0.475*44/12</f>
        <v>0</v>
      </c>
      <c r="GN101" s="23">
        <f>EXP(-LN(2)/2)*GN100+(1-EXP(-LN(2)/2))/(LN(2)/2)*GH101*GK101*VLOOKUP('Données projet'!$B$17,Paramètres!$A$1:$I$89,3,0)*0.475*44/12</f>
        <v>0</v>
      </c>
      <c r="GO101" s="23">
        <f t="shared" si="81"/>
        <v>0</v>
      </c>
      <c r="GP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0" t="e">
        <f t="shared" si="83"/>
        <v>#N/A</v>
      </c>
      <c r="GZ101" s="60" t="e">
        <f ca="1">AVERAGE(OFFSET($GY$3,0,0,'Données projet'!$E$18+1,1))-AVERAGE(OFFSET($H$3,0,0,'Données projet'!$E$18+1,1))</f>
        <v>#N/A</v>
      </c>
      <c r="HA101" s="60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4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2">
        <f t="shared" si="86"/>
        <v>15.655925351504653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-1.1368683772161603E-13</v>
      </c>
      <c r="O102" s="14">
        <f>N102*VLOOKUP('Données projet'!$B$9,Paramètres!$A$1:$I$89,3,0)*VLOOKUP('Données projet'!$B$9,Paramètres!$A$1:$I$89,5,0)</f>
        <v>-6.7984728957526396E-14</v>
      </c>
      <c r="P102" s="14" t="e">
        <f t="shared" si="87"/>
        <v>#NUM!</v>
      </c>
      <c r="Q102" s="22" t="e">
        <f t="shared" si="107"/>
        <v>#NUM!</v>
      </c>
      <c r="R102" s="60" t="e">
        <f t="shared" si="55"/>
        <v>#NUM!</v>
      </c>
      <c r="S102" s="60">
        <f ca="1">AVERAGE(OFFSET($R$3,0,0,'Données projet'!$E$9+1,1))-AVERAGE(OFFSET($H$3,0,0,'Données projet'!$E$9+1,1))</f>
        <v>235.63766249714581</v>
      </c>
      <c r="T102" s="60">
        <f t="shared" si="88"/>
        <v>231.3297293785277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2.9257957446821541</v>
      </c>
      <c r="AA102" s="23">
        <f>EXP(-LN(2)/25)*AA101+(1-EXP(-LN(2)/25))/(LN(2)/25)*Calculateur!V102*Calculateur!X102*VLOOKUP('Données projet'!$B$9,Paramètres!$A$1:$I$89,3,0)*0.475*44/12</f>
        <v>2.5522657299872074</v>
      </c>
      <c r="AB102" s="23">
        <f>EXP(-LN(2)/2)*AB101+(1-EXP(-LN(2)/2))/(LN(2)/2)*V102*Y102*VLOOKUP('Données projet'!$B$9,Paramètres!$A$1:$I$89,3,0)*0.475*44/12</f>
        <v>2.9274081955842695E-10</v>
      </c>
      <c r="AC102" s="24">
        <f t="shared" si="57"/>
        <v>5.4780614749621028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4.9000000000000004</v>
      </c>
      <c r="AI102" s="14">
        <f>IF('Données projet'!$A$62&gt;35,AI101+AH102-AQ101,IF(A102&lt;'Données projet'!$A$62,$AF$205^A102,IF(A102='Données projet'!$A$62,'Données projet'!$B$62,AI101+AH102-AQ101)))</f>
        <v>298.09999999999985</v>
      </c>
      <c r="AJ102" s="14">
        <f>AI102*VLOOKUP('Données projet'!$B$10,Paramètres!$A$1:$I$89,3,0)*VLOOKUP('Données projet'!$B$10,Paramètres!$A$1:$I$89,5,0)</f>
        <v>302.27339999999987</v>
      </c>
      <c r="AK102" s="14">
        <f t="shared" si="89"/>
        <v>71.652845832409739</v>
      </c>
      <c r="AL102" s="22">
        <f t="shared" si="58"/>
        <v>651.25487815811346</v>
      </c>
      <c r="AM102" s="60">
        <f t="shared" si="59"/>
        <v>944.58821149144683</v>
      </c>
      <c r="AN102" s="60">
        <f ca="1">AVERAGE(OFFSET($AM$3,0,0,'Données projet'!$E$10+1,1))-AVERAGE(OFFSET($H$3,0,0,'Données projet'!$E$10+1,1))</f>
        <v>350.3652766444938</v>
      </c>
      <c r="AO102" s="60">
        <f t="shared" si="90"/>
        <v>197.04549436738586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6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4.9000000000000004</v>
      </c>
      <c r="BD102" s="13">
        <f>IF('Données projet'!$A$88&gt;35,BD101+BC102-BL101,IF(A102&lt;'Données projet'!$A$88,$BA$205^A102,IF(A102='Données projet'!$A$88,'Données projet'!$B$88,BD101+BC102-BL101)))</f>
        <v>298.09999999999985</v>
      </c>
      <c r="BE102" s="14">
        <f>BD102*VLOOKUP('Données projet'!$B$11,Paramètres!$A$1:$I$89,3,0)*VLOOKUP('Données projet'!$B$11,Paramètres!$A$1:$I$89,5,0)</f>
        <v>288.32231999999988</v>
      </c>
      <c r="BF102" s="14">
        <f t="shared" si="91"/>
        <v>68.722745094590621</v>
      </c>
      <c r="BG102" s="22">
        <f t="shared" si="61"/>
        <v>621.85348837307845</v>
      </c>
      <c r="BH102" s="60">
        <f t="shared" si="62"/>
        <v>915.18682170641182</v>
      </c>
      <c r="BI102" s="60">
        <f ca="1">AVERAGE(OFFSET($BH$3,0,0,'Données projet'!$E$11+1,1))-AVERAGE(OFFSET($H$3,0,0,'Données projet'!$E$11+1,1))</f>
        <v>330.39429528665841</v>
      </c>
      <c r="BJ102" s="60">
        <f t="shared" si="92"/>
        <v>186.45728006007261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3.5897435897435912</v>
      </c>
      <c r="BY102" s="13">
        <f>IF('Données projet'!$A$114&gt;35,BY101+BX102-CG101,IF(A102&lt;'Données projet'!$A$114,$BV$205^A102,IF(A102='Données projet'!$A$114,'Données projet'!$B$114,BY101+BX102-CG101)))</f>
        <v>304.10256410256426</v>
      </c>
      <c r="BZ102" s="14">
        <f>BY102*VLOOKUP('Données projet'!$B$12,Paramètres!$A$1:$I$89,3,0)*VLOOKUP('Données projet'!$B$12,Paramètres!$A$1:$I$89,5,0)</f>
        <v>203.99200000000013</v>
      </c>
      <c r="CA102" s="14">
        <f t="shared" si="93"/>
        <v>50.620476831708423</v>
      </c>
      <c r="CB102" s="22">
        <f t="shared" si="64"/>
        <v>443.45006381522575</v>
      </c>
      <c r="CC102" s="60">
        <f t="shared" si="65"/>
        <v>736.78339714855906</v>
      </c>
      <c r="CD102" s="60">
        <f ca="1">AVERAGE(OFFSET($CC$3,0,0,'Données projet'!$E$12+1,1))-AVERAGE(OFFSET($H$3,0,0,'Données projet'!$E$12+1,1))</f>
        <v>212.33913923444732</v>
      </c>
      <c r="CE102" s="60">
        <f t="shared" si="94"/>
        <v>183.51194426094372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-3.979039320256561E-13</v>
      </c>
      <c r="CU102" s="18">
        <f>CT102*VLOOKUP('Données projet'!$B$13,Paramètres!$A$1:$I$89,3,0)*VLOOKUP('Données projet'!$B$13,Paramètres!$A$1:$I$89,5,0)</f>
        <v>-3.4760887501761321E-13</v>
      </c>
      <c r="CV102" s="14" t="e">
        <f t="shared" si="95"/>
        <v>#NUM!</v>
      </c>
      <c r="CW102" s="22" t="e">
        <f t="shared" si="67"/>
        <v>#NUM!</v>
      </c>
      <c r="CX102" s="60" t="e">
        <f t="shared" si="68"/>
        <v>#NUM!</v>
      </c>
      <c r="CY102" s="60">
        <f ca="1">AVERAGE(OFFSET($CX$3,0,0,'Données projet'!$E$13+1,1))-AVERAGE(OFFSET($H$3,0,0,'Données projet'!$E$13+1,1))</f>
        <v>228.0393346366489</v>
      </c>
      <c r="CZ102" s="60">
        <f t="shared" si="96"/>
        <v>238.591781509447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4.9000000000000004</v>
      </c>
      <c r="DO102" s="13">
        <f>IF('Données projet'!$A$166&gt;35,DO101+DN102-DW101,IF(A102&lt;'Données projet'!$A$166,$DL$205^A102,IF(A102='Données projet'!$A$166,'Données projet'!$B$166,DO101+DN102-DW101)))</f>
        <v>298.09999999999985</v>
      </c>
      <c r="DP102" s="18">
        <f>DO102*VLOOKUP('Données projet'!$B$14,Paramètres!$A$1:$I$89,3,0)*VLOOKUP('Données projet'!$B$14,Paramètres!$A$1:$I$89,5,0)</f>
        <v>269.72087999999985</v>
      </c>
      <c r="DQ102" s="14">
        <f t="shared" si="97"/>
        <v>64.790029413946939</v>
      </c>
      <c r="DR102" s="22">
        <f t="shared" si="70"/>
        <v>582.60650056262409</v>
      </c>
      <c r="DS102" s="60">
        <f t="shared" si="71"/>
        <v>875.93983389595746</v>
      </c>
      <c r="DT102" s="60">
        <f ca="1">AVERAGE(OFFSET($DS$3,0,0,'Données projet'!$E$14+1,1))-AVERAGE(OFFSET($H$3,0,0,'Données projet'!$E$14+1,1))</f>
        <v>303.73499739059076</v>
      </c>
      <c r="DU102" s="60">
        <f t="shared" si="98"/>
        <v>172.32171001882188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1.1368683772161603E-13</v>
      </c>
      <c r="EK102" s="18">
        <f>EJ102*VLOOKUP('Données projet'!$B$15,Paramètres!$A$1:$I$89,3,0)*VLOOKUP('Données projet'!$B$15,Paramètres!$A$1:$I$89,5,0)</f>
        <v>6.7984728957526396E-14</v>
      </c>
      <c r="EL102" s="14">
        <f t="shared" si="99"/>
        <v>1.0682447123141398E-12</v>
      </c>
      <c r="EM102" s="22">
        <f t="shared" si="73"/>
        <v>1.978932943548152E-12</v>
      </c>
      <c r="EN102" s="60">
        <f t="shared" si="74"/>
        <v>293.3333333333353</v>
      </c>
      <c r="EO102" s="60">
        <f ca="1">AVERAGE(OFFSET($EN$3,0,0,'Données projet'!$E$15+1,1))-AVERAGE(OFFSET($H$3,0,0,'Données projet'!$E$15+1,1))</f>
        <v>269.94948820700841</v>
      </c>
      <c r="EP102" s="60">
        <f t="shared" si="100"/>
        <v>183.45158355135192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2.0157635997906156</v>
      </c>
      <c r="EX102" s="23">
        <f>EXP(-LN(2)/2)*EX101+(1-EXP(-LN(2)/2))/(LN(2)/2)*ER102*EU102*VLOOKUP('Données projet'!$B$15,Paramètres!$A$1:$I$89,3,0)*0.475*44/12</f>
        <v>2.3205592514411204E-10</v>
      </c>
      <c r="EY102" s="24">
        <f t="shared" si="75"/>
        <v>2.0157636000226713</v>
      </c>
      <c r="EZ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>
        <f>FE102*VLOOKUP('Données projet'!$B$16,Paramètres!$A$1:$I$89,3,0)*VLOOKUP('Données projet'!$B$16,Paramètres!$A$1:$I$89,5,0)</f>
        <v>0</v>
      </c>
      <c r="FG102" s="14" t="e">
        <f t="shared" si="101"/>
        <v>#NUM!</v>
      </c>
      <c r="FH102" s="22" t="e">
        <f t="shared" si="76"/>
        <v>#NUM!</v>
      </c>
      <c r="FI102" s="60" t="e">
        <f t="shared" si="77"/>
        <v>#NUM!</v>
      </c>
      <c r="FJ102" s="60">
        <f ca="1">AVERAGE(OFFSET($FI$3,0,0,'Données projet'!$E$16+1,1))-AVERAGE(OFFSET($H$3,0,0,'Données projet'!$E$16+1,1))</f>
        <v>111.24788725253484</v>
      </c>
      <c r="FK102" s="60">
        <f t="shared" si="102"/>
        <v>82.434879813357327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projet'!$B$16,Paramètres!$A$1:$I$89,3,0)*0.475*44/12</f>
        <v>0</v>
      </c>
      <c r="FR102" s="23">
        <f>EXP(-LN(2)/25)*FR101+(1-EXP(-LN(2)/25))/(LN(2)/25)*Calculateur!FM102*Calculateur!FO102*VLOOKUP('Données projet'!$B$16,Paramètres!$A$1:$I$89,3,0)*0.475*44/12</f>
        <v>0</v>
      </c>
      <c r="FS102" s="23">
        <f>EXP(-LN(2)/2)*FS101+(1-EXP(-LN(2)/2))/(LN(2)/2)*FM102*FP102*VLOOKUP('Données projet'!$B$16,Paramètres!$A$1:$I$89,3,0)*0.475*44/12</f>
        <v>0</v>
      </c>
      <c r="FT102" s="24">
        <f t="shared" si="78"/>
        <v>0</v>
      </c>
      <c r="FU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1.0231815394945443E-12</v>
      </c>
      <c r="GA102" s="18">
        <f>FZ102*VLOOKUP('Données projet'!$B$17,Paramètres!$A$1:$I$89,3,0)*VLOOKUP('Données projet'!$B$17,Paramètres!$A$1:$I$89,5,0)</f>
        <v>4.5224624045658859E-13</v>
      </c>
      <c r="GB102" s="14">
        <f t="shared" si="103"/>
        <v>5.6995607121061449E-12</v>
      </c>
      <c r="GC102" s="22">
        <f t="shared" si="79"/>
        <v>1.0714397109046761E-11</v>
      </c>
      <c r="GD102" s="60">
        <f t="shared" si="80"/>
        <v>293.333333333344</v>
      </c>
      <c r="GE102" s="60">
        <f ca="1">AVERAGE(OFFSET($GD$3,0,0,'Données projet'!$E$17+1,1))-AVERAGE(OFFSET($H$3,0,0,'Données projet'!$E$17+1,1))</f>
        <v>323.56667371063662</v>
      </c>
      <c r="GF102" s="60">
        <f t="shared" si="104"/>
        <v>275.70373467723385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>
        <f>EXP(-LN(2)/35)*GL101+(1-EXP(-LN(2)/35))/(LN(2)/35)*GH102*GI102*VLOOKUP('Données projet'!$B$17,Paramètres!$A$1:$I$89,3,0)*0.475*44/12</f>
        <v>0</v>
      </c>
      <c r="GM102" s="23">
        <f>EXP(-LN(2)/25)*GM101+(1-EXP(-LN(2)/25))/(LN(2)/25)*Calculateur!GH102*Calculateur!GJ102*VLOOKUP('Données projet'!$B$17,Paramètres!$A$1:$I$89,3,0)*0.475*44/12</f>
        <v>0</v>
      </c>
      <c r="GN102" s="23">
        <f>EXP(-LN(2)/2)*GN101+(1-EXP(-LN(2)/2))/(LN(2)/2)*GH102*GK102*VLOOKUP('Données projet'!$B$17,Paramètres!$A$1:$I$89,3,0)*0.475*44/12</f>
        <v>0</v>
      </c>
      <c r="GO102" s="23">
        <f t="shared" si="81"/>
        <v>0</v>
      </c>
      <c r="GP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0" t="e">
        <f t="shared" si="83"/>
        <v>#N/A</v>
      </c>
      <c r="GZ102" s="60" t="e">
        <f ca="1">AVERAGE(OFFSET($GY$3,0,0,'Données projet'!$E$18+1,1))-AVERAGE(OFFSET($H$3,0,0,'Données projet'!$E$18+1,1))</f>
        <v>#N/A</v>
      </c>
      <c r="HA102" s="60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4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2">
        <f t="shared" si="86"/>
        <v>15.795576599806306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-1.1368683772161603E-13</v>
      </c>
      <c r="O103" s="14">
        <f>N103*VLOOKUP('Données projet'!$B$9,Paramètres!$A$1:$I$89,3,0)*VLOOKUP('Données projet'!$B$9,Paramètres!$A$1:$I$89,5,0)</f>
        <v>-6.7984728957526396E-14</v>
      </c>
      <c r="P103" s="14" t="e">
        <f t="shared" si="87"/>
        <v>#NUM!</v>
      </c>
      <c r="Q103" s="22" t="e">
        <f t="shared" si="107"/>
        <v>#NUM!</v>
      </c>
      <c r="R103" s="60" t="e">
        <f t="shared" si="55"/>
        <v>#NUM!</v>
      </c>
      <c r="S103" s="60">
        <f ca="1">AVERAGE(OFFSET($R$3,0,0,'Données projet'!$E$9+1,1))-AVERAGE(OFFSET($H$3,0,0,'Données projet'!$E$9+1,1))</f>
        <v>235.63766249714581</v>
      </c>
      <c r="T103" s="60">
        <f t="shared" si="88"/>
        <v>231.3297293785277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2.8684226746881305</v>
      </c>
      <c r="AA103" s="23">
        <f>EXP(-LN(2)/25)*AA102+(1-EXP(-LN(2)/25))/(LN(2)/25)*Calculateur!V103*Calculateur!X103*VLOOKUP('Données projet'!$B$9,Paramètres!$A$1:$I$89,3,0)*0.475*44/12</f>
        <v>2.4824738893828857</v>
      </c>
      <c r="AB103" s="23">
        <f>EXP(-LN(2)/2)*AB102+(1-EXP(-LN(2)/2))/(LN(2)/2)*V103*Y103*VLOOKUP('Données projet'!$B$9,Paramètres!$A$1:$I$89,3,0)*0.475*44/12</f>
        <v>2.069990186398712E-10</v>
      </c>
      <c r="AC103" s="24">
        <f t="shared" si="57"/>
        <v>5.3508965642780151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303</v>
      </c>
      <c r="AG103" s="13">
        <f>VLOOKUP(A103,'Données projet'!$A$61:$I$81,9,0)</f>
        <v>4.9000000000000004</v>
      </c>
      <c r="AH103" s="13">
        <f t="array" ref="AH103">INDEX(AG:AG,MIN(IF(ISNUMBER(AG103:AG299),ROW(AG103:AG299),"")))</f>
        <v>4.9000000000000004</v>
      </c>
      <c r="AI103" s="14">
        <f>IF('Données projet'!$A$62&gt;35,AI102+AH103-AQ102,IF(A103&lt;'Données projet'!$A$62,$AF$205^A103,IF(A103='Données projet'!$A$62,'Données projet'!$B$62,AI102+AH103-AQ102)))</f>
        <v>302.99999999999983</v>
      </c>
      <c r="AJ103" s="14">
        <f>AI103*VLOOKUP('Données projet'!$B$10,Paramètres!$A$1:$I$89,3,0)*VLOOKUP('Données projet'!$B$10,Paramètres!$A$1:$I$89,5,0)</f>
        <v>307.24199999999985</v>
      </c>
      <c r="AK103" s="14">
        <f t="shared" si="89"/>
        <v>72.692550770207774</v>
      </c>
      <c r="AL103" s="22">
        <f t="shared" si="58"/>
        <v>661.71934259144484</v>
      </c>
      <c r="AM103" s="60">
        <f t="shared" si="59"/>
        <v>955.05267592477821</v>
      </c>
      <c r="AN103" s="60">
        <f ca="1">AVERAGE(OFFSET($AM$3,0,0,'Données projet'!$E$10+1,1))-AVERAGE(OFFSET($H$3,0,0,'Données projet'!$E$10+1,1))</f>
        <v>350.3652766444938</v>
      </c>
      <c r="AO103" s="60">
        <f t="shared" si="90"/>
        <v>197.04549436738586</v>
      </c>
      <c r="AP103" s="16">
        <f>IF(ISNA(VLOOKUP(A103,'Données projet'!$A$61:$I$81,3,0)),0,VLOOKUP(A103,'Données projet'!$A$61:$I$81,3,0))</f>
        <v>8</v>
      </c>
      <c r="AQ103" s="16">
        <f>IF(ISNA(VLOOKUP(A103,'Données projet'!$A$61:$I$81,4,0)),0,VLOOKUP(A103,'Données projet'!$A$61:$I$81,4,0))</f>
        <v>42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6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303</v>
      </c>
      <c r="BB103" s="13">
        <f>VLOOKUP(A103,'Données projet'!$A$87:$I$107,9,0)</f>
        <v>4.9000000000000004</v>
      </c>
      <c r="BC103" s="13">
        <f t="array" ref="BC103">INDEX(BB:BB,MIN(IF(ISNUMBER(BB103:BB299),ROW(BB103:BB299),"")))</f>
        <v>4.9000000000000004</v>
      </c>
      <c r="BD103" s="13">
        <f>IF('Données projet'!$A$88&gt;35,BD102+BC103-BL102,IF(A103&lt;'Données projet'!$A$88,$BA$205^A103,IF(A103='Données projet'!$A$88,'Données projet'!$B$88,BD102+BC103-BL102)))</f>
        <v>302.99999999999983</v>
      </c>
      <c r="BE103" s="14">
        <f>BD103*VLOOKUP('Données projet'!$B$11,Paramètres!$A$1:$I$89,3,0)*VLOOKUP('Données projet'!$B$11,Paramètres!$A$1:$I$89,5,0)</f>
        <v>293.06159999999983</v>
      </c>
      <c r="BF103" s="14">
        <f t="shared" si="91"/>
        <v>69.719933365116546</v>
      </c>
      <c r="BG103" s="22">
        <f t="shared" si="61"/>
        <v>631.84450394424437</v>
      </c>
      <c r="BH103" s="60">
        <f t="shared" si="62"/>
        <v>925.17783727757774</v>
      </c>
      <c r="BI103" s="60">
        <f ca="1">AVERAGE(OFFSET($BH$3,0,0,'Données projet'!$E$11+1,1))-AVERAGE(OFFSET($H$3,0,0,'Données projet'!$E$11+1,1))</f>
        <v>330.39429528665841</v>
      </c>
      <c r="BJ103" s="60">
        <f t="shared" si="92"/>
        <v>186.45728006007261</v>
      </c>
      <c r="BK103" s="16">
        <f>IF(ISNA(VLOOKUP(A103,'Données projet'!$A$87:$I$107,3,0)),0,VLOOKUP(A103,'Données projet'!$A$87:$I$107,3,0))</f>
        <v>8</v>
      </c>
      <c r="BL103" s="16">
        <f>IF(ISNA(VLOOKUP(A103,'Données projet'!$A$87:$I$107,4,0)),0,VLOOKUP(A103,'Données projet'!$A$87:$I$107,4,0))</f>
        <v>42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307.69230769230768</v>
      </c>
      <c r="BW103" s="13">
        <f>VLOOKUP(A103,'Données projet'!$A$113:$I$133,9,0)</f>
        <v>3.5897435897435912</v>
      </c>
      <c r="BX103" s="13">
        <f t="array" ref="BX103">INDEX(BW:BW,MIN(IF(ISNUMBER(BW103:BW299),ROW(BW103:BW299),"")))</f>
        <v>3.5897435897435912</v>
      </c>
      <c r="BY103" s="13">
        <f>IF('Données projet'!$A$114&gt;35,BY102+BX103-CG102,IF(A103&lt;'Données projet'!$A$114,$BV$205^A103,IF(A103='Données projet'!$A$114,'Données projet'!$B$114,BY102+BX103-CG102)))</f>
        <v>307.69230769230785</v>
      </c>
      <c r="BZ103" s="14">
        <f>BY103*VLOOKUP('Données projet'!$B$12,Paramètres!$A$1:$I$89,3,0)*VLOOKUP('Données projet'!$B$12,Paramètres!$A$1:$I$89,5,0)</f>
        <v>206.40000000000012</v>
      </c>
      <c r="CA103" s="14">
        <f t="shared" si="93"/>
        <v>51.148105178123259</v>
      </c>
      <c r="CB103" s="22">
        <f t="shared" si="64"/>
        <v>448.56294985189817</v>
      </c>
      <c r="CC103" s="60">
        <f t="shared" si="65"/>
        <v>741.89628318523148</v>
      </c>
      <c r="CD103" s="60">
        <f ca="1">AVERAGE(OFFSET($CC$3,0,0,'Données projet'!$E$12+1,1))-AVERAGE(OFFSET($H$3,0,0,'Données projet'!$E$12+1,1))</f>
        <v>212.33913923444732</v>
      </c>
      <c r="CE103" s="60">
        <f t="shared" si="94"/>
        <v>183.51194426094372</v>
      </c>
      <c r="CF103" s="16">
        <f>IF(ISNA(VLOOKUP(A103,'Données projet'!$A$113:$I$133,3,0)),0,VLOOKUP(A103,'Données projet'!$A$113:$I$133,3,0))</f>
        <v>9</v>
      </c>
      <c r="CG103" s="16">
        <f>IF(ISNA(VLOOKUP(A103,'Données projet'!$A$113:$I$133,4,0)),0,VLOOKUP(A103,'Données projet'!$A$113:$I$133,4,0))</f>
        <v>22.435897435897434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-3.979039320256561E-13</v>
      </c>
      <c r="CU103" s="18">
        <f>CT103*VLOOKUP('Données projet'!$B$13,Paramètres!$A$1:$I$89,3,0)*VLOOKUP('Données projet'!$B$13,Paramètres!$A$1:$I$89,5,0)</f>
        <v>-3.4760887501761321E-13</v>
      </c>
      <c r="CV103" s="14" t="e">
        <f t="shared" si="95"/>
        <v>#NUM!</v>
      </c>
      <c r="CW103" s="22" t="e">
        <f t="shared" si="67"/>
        <v>#NUM!</v>
      </c>
      <c r="CX103" s="60" t="e">
        <f t="shared" si="68"/>
        <v>#NUM!</v>
      </c>
      <c r="CY103" s="60">
        <f ca="1">AVERAGE(OFFSET($CX$3,0,0,'Données projet'!$E$13+1,1))-AVERAGE(OFFSET($H$3,0,0,'Données projet'!$E$13+1,1))</f>
        <v>228.0393346366489</v>
      </c>
      <c r="CZ103" s="60">
        <f t="shared" si="96"/>
        <v>238.591781509447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>
        <f>VLOOKUP(A103,'Données projet'!$A$165:$I$185,2,0)</f>
        <v>303</v>
      </c>
      <c r="DM103" s="13">
        <f>VLOOKUP(A103,'Données projet'!$A$165:$I$185,9,0)</f>
        <v>4.9000000000000004</v>
      </c>
      <c r="DN103" s="13">
        <f t="array" ref="DN103">INDEX(DM:DM,MIN(IF(ISNUMBER(DM103:DM299),ROW(DM103:DM299),"")))</f>
        <v>4.9000000000000004</v>
      </c>
      <c r="DO103" s="13">
        <f>IF('Données projet'!$A$166&gt;35,DO102+DN103-DW102,IF(A103&lt;'Données projet'!$A$166,$DL$205^A103,IF(A103='Données projet'!$A$166,'Données projet'!$B$166,DO102+DN103-DW102)))</f>
        <v>302.99999999999983</v>
      </c>
      <c r="DP103" s="18">
        <f>DO103*VLOOKUP('Données projet'!$B$14,Paramètres!$A$1:$I$89,3,0)*VLOOKUP('Données projet'!$B$14,Paramètres!$A$1:$I$89,5,0)</f>
        <v>274.15439999999984</v>
      </c>
      <c r="DQ103" s="14">
        <f t="shared" si="97"/>
        <v>65.730152764515779</v>
      </c>
      <c r="DR103" s="22">
        <f t="shared" si="70"/>
        <v>591.9655960648646</v>
      </c>
      <c r="DS103" s="60">
        <f t="shared" si="71"/>
        <v>885.29892939819797</v>
      </c>
      <c r="DT103" s="60">
        <f ca="1">AVERAGE(OFFSET($DS$3,0,0,'Données projet'!$E$14+1,1))-AVERAGE(OFFSET($H$3,0,0,'Données projet'!$E$14+1,1))</f>
        <v>303.73499739059076</v>
      </c>
      <c r="DU103" s="60">
        <f t="shared" si="98"/>
        <v>172.32171001882188</v>
      </c>
      <c r="DV103" s="16">
        <f>IF(ISNA(VLOOKUP(A103,'Données projet'!$A$165:$I$185,3,0)),0,VLOOKUP(A103,'Données projet'!$A$165:$I$185,3,0))</f>
        <v>8</v>
      </c>
      <c r="DW103" s="16">
        <f>IF(ISNA(VLOOKUP(A103,'Données projet'!$A$165:$I$185,4,0)),0,VLOOKUP(A103,'Données projet'!$A$165:$I$185,4,0))</f>
        <v>42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1.1368683772161603E-13</v>
      </c>
      <c r="EK103" s="18">
        <f>EJ103*VLOOKUP('Données projet'!$B$15,Paramètres!$A$1:$I$89,3,0)*VLOOKUP('Données projet'!$B$15,Paramètres!$A$1:$I$89,5,0)</f>
        <v>6.7984728957526396E-14</v>
      </c>
      <c r="EL103" s="14">
        <f t="shared" si="99"/>
        <v>1.0682447123141398E-12</v>
      </c>
      <c r="EM103" s="22">
        <f t="shared" si="73"/>
        <v>1.978932943548152E-12</v>
      </c>
      <c r="EN103" s="60">
        <f t="shared" si="74"/>
        <v>293.3333333333353</v>
      </c>
      <c r="EO103" s="60">
        <f ca="1">AVERAGE(OFFSET($EN$3,0,0,'Données projet'!$E$15+1,1))-AVERAGE(OFFSET($H$3,0,0,'Données projet'!$E$15+1,1))</f>
        <v>269.94948820700841</v>
      </c>
      <c r="EP103" s="60">
        <f t="shared" si="100"/>
        <v>183.45158355135192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1.9606424381499405</v>
      </c>
      <c r="EX103" s="23">
        <f>EXP(-LN(2)/2)*EX102+(1-EXP(-LN(2)/2))/(LN(2)/2)*ER103*EU103*VLOOKUP('Données projet'!$B$15,Paramètres!$A$1:$I$89,3,0)*0.475*44/12</f>
        <v>1.6408831828391951E-10</v>
      </c>
      <c r="EY103" s="24">
        <f t="shared" si="75"/>
        <v>1.9606424383140288</v>
      </c>
      <c r="EZ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>
        <f>FE103*VLOOKUP('Données projet'!$B$16,Paramètres!$A$1:$I$89,3,0)*VLOOKUP('Données projet'!$B$16,Paramètres!$A$1:$I$89,5,0)</f>
        <v>0</v>
      </c>
      <c r="FG103" s="14" t="e">
        <f t="shared" si="101"/>
        <v>#NUM!</v>
      </c>
      <c r="FH103" s="22" t="e">
        <f t="shared" si="76"/>
        <v>#NUM!</v>
      </c>
      <c r="FI103" s="60" t="e">
        <f t="shared" si="77"/>
        <v>#NUM!</v>
      </c>
      <c r="FJ103" s="60">
        <f ca="1">AVERAGE(OFFSET($FI$3,0,0,'Données projet'!$E$16+1,1))-AVERAGE(OFFSET($H$3,0,0,'Données projet'!$E$16+1,1))</f>
        <v>111.24788725253484</v>
      </c>
      <c r="FK103" s="60">
        <f t="shared" si="102"/>
        <v>82.434879813357327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projet'!$B$16,Paramètres!$A$1:$I$89,3,0)*0.475*44/12</f>
        <v>0</v>
      </c>
      <c r="FR103" s="23">
        <f>EXP(-LN(2)/25)*FR102+(1-EXP(-LN(2)/25))/(LN(2)/25)*Calculateur!FM103*Calculateur!FO103*VLOOKUP('Données projet'!$B$16,Paramètres!$A$1:$I$89,3,0)*0.475*44/12</f>
        <v>0</v>
      </c>
      <c r="FS103" s="23">
        <f>EXP(-LN(2)/2)*FS102+(1-EXP(-LN(2)/2))/(LN(2)/2)*FM103*FP103*VLOOKUP('Données projet'!$B$16,Paramètres!$A$1:$I$89,3,0)*0.475*44/12</f>
        <v>0</v>
      </c>
      <c r="FT103" s="24">
        <f t="shared" si="78"/>
        <v>0</v>
      </c>
      <c r="FU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1.0231815394945443E-12</v>
      </c>
      <c r="GA103" s="18">
        <f>FZ103*VLOOKUP('Données projet'!$B$17,Paramètres!$A$1:$I$89,3,0)*VLOOKUP('Données projet'!$B$17,Paramètres!$A$1:$I$89,5,0)</f>
        <v>4.5224624045658859E-13</v>
      </c>
      <c r="GB103" s="14">
        <f t="shared" si="103"/>
        <v>5.6995607121061449E-12</v>
      </c>
      <c r="GC103" s="22">
        <f t="shared" si="79"/>
        <v>1.0714397109046761E-11</v>
      </c>
      <c r="GD103" s="60">
        <f t="shared" si="80"/>
        <v>293.333333333344</v>
      </c>
      <c r="GE103" s="60">
        <f ca="1">AVERAGE(OFFSET($GD$3,0,0,'Données projet'!$E$17+1,1))-AVERAGE(OFFSET($H$3,0,0,'Données projet'!$E$17+1,1))</f>
        <v>323.56667371063662</v>
      </c>
      <c r="GF103" s="60">
        <f t="shared" si="104"/>
        <v>275.70373467723385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>
        <f>EXP(-LN(2)/35)*GL102+(1-EXP(-LN(2)/35))/(LN(2)/35)*GH103*GI103*VLOOKUP('Données projet'!$B$17,Paramètres!$A$1:$I$89,3,0)*0.475*44/12</f>
        <v>0</v>
      </c>
      <c r="GM103" s="23">
        <f>EXP(-LN(2)/25)*GM102+(1-EXP(-LN(2)/25))/(LN(2)/25)*Calculateur!GH103*Calculateur!GJ103*VLOOKUP('Données projet'!$B$17,Paramètres!$A$1:$I$89,3,0)*0.475*44/12</f>
        <v>0</v>
      </c>
      <c r="GN103" s="23">
        <f>EXP(-LN(2)/2)*GN102+(1-EXP(-LN(2)/2))/(LN(2)/2)*GH103*GK103*VLOOKUP('Données projet'!$B$17,Paramètres!$A$1:$I$89,3,0)*0.475*44/12</f>
        <v>0</v>
      </c>
      <c r="GO103" s="23">
        <f t="shared" si="81"/>
        <v>0</v>
      </c>
      <c r="GP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0" t="e">
        <f t="shared" si="83"/>
        <v>#N/A</v>
      </c>
      <c r="GZ103" s="60" t="e">
        <f ca="1">AVERAGE(OFFSET($GY$3,0,0,'Données projet'!$E$18+1,1))-AVERAGE(OFFSET($H$3,0,0,'Données projet'!$E$18+1,1))</f>
        <v>#N/A</v>
      </c>
      <c r="HA103" s="60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4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2">
        <f t="shared" si="86"/>
        <v>15.935065385761003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-1.1368683772161603E-13</v>
      </c>
      <c r="O104" s="14">
        <f>N104*VLOOKUP('Données projet'!$B$9,Paramètres!$A$1:$I$89,3,0)*VLOOKUP('Données projet'!$B$9,Paramètres!$A$1:$I$89,5,0)</f>
        <v>-6.7984728957526396E-14</v>
      </c>
      <c r="P104" s="14" t="e">
        <f t="shared" si="87"/>
        <v>#NUM!</v>
      </c>
      <c r="Q104" s="22" t="e">
        <f t="shared" si="107"/>
        <v>#NUM!</v>
      </c>
      <c r="R104" s="60" t="e">
        <f t="shared" si="55"/>
        <v>#NUM!</v>
      </c>
      <c r="S104" s="60">
        <f ca="1">AVERAGE(OFFSET($R$3,0,0,'Données projet'!$E$9+1,1))-AVERAGE(OFFSET($H$3,0,0,'Données projet'!$E$9+1,1))</f>
        <v>235.63766249714581</v>
      </c>
      <c r="T104" s="60">
        <f t="shared" si="88"/>
        <v>231.3297293785277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2.8121746556025724</v>
      </c>
      <c r="AA104" s="23">
        <f>EXP(-LN(2)/25)*AA103+(1-EXP(-LN(2)/25))/(LN(2)/25)*Calculateur!V104*Calculateur!X104*VLOOKUP('Données projet'!$B$9,Paramètres!$A$1:$I$89,3,0)*0.475*44/12</f>
        <v>2.4145905103300827</v>
      </c>
      <c r="AB104" s="23">
        <f>EXP(-LN(2)/2)*AB103+(1-EXP(-LN(2)/2))/(LN(2)/2)*V104*Y104*VLOOKUP('Données projet'!$B$9,Paramètres!$A$1:$I$89,3,0)*0.475*44/12</f>
        <v>1.4637040977921347E-10</v>
      </c>
      <c r="AC104" s="24">
        <f t="shared" si="57"/>
        <v>5.2267651660790246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4.4000000000000004</v>
      </c>
      <c r="AI104" s="14">
        <f>IF('Données projet'!$A$62&gt;35,AI103+AH104-AQ103,IF(A104&lt;'Données projet'!$A$62,$AF$205^A104,IF(A104='Données projet'!$A$62,'Données projet'!$B$62,AI103+AH104-AQ103)))</f>
        <v>265.39999999999981</v>
      </c>
      <c r="AJ104" s="14">
        <f>AI104*VLOOKUP('Données projet'!$B$10,Paramètres!$A$1:$I$89,3,0)*VLOOKUP('Données projet'!$B$10,Paramètres!$A$1:$I$89,5,0)</f>
        <v>269.1155999999998</v>
      </c>
      <c r="AK104" s="14">
        <f t="shared" si="89"/>
        <v>64.661541462287076</v>
      </c>
      <c r="AL104" s="22">
        <f t="shared" si="58"/>
        <v>581.3285213801496</v>
      </c>
      <c r="AM104" s="60">
        <f t="shared" si="59"/>
        <v>874.66185471348285</v>
      </c>
      <c r="AN104" s="60">
        <f ca="1">AVERAGE(OFFSET($AM$3,0,0,'Données projet'!$E$10+1,1))-AVERAGE(OFFSET($H$3,0,0,'Données projet'!$E$10+1,1))</f>
        <v>350.3652766444938</v>
      </c>
      <c r="AO104" s="60">
        <f t="shared" si="90"/>
        <v>197.04549436738586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6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4.4000000000000004</v>
      </c>
      <c r="BD104" s="13">
        <f>IF('Données projet'!$A$88&gt;35,BD103+BC104-BL103,IF(A104&lt;'Données projet'!$A$88,$BA$205^A104,IF(A104='Données projet'!$A$88,'Données projet'!$B$88,BD103+BC104-BL103)))</f>
        <v>265.39999999999981</v>
      </c>
      <c r="BE104" s="14">
        <f>BD104*VLOOKUP('Données projet'!$B$11,Paramètres!$A$1:$I$89,3,0)*VLOOKUP('Données projet'!$B$11,Paramètres!$A$1:$I$89,5,0)</f>
        <v>256.69487999999984</v>
      </c>
      <c r="BF104" s="14">
        <f t="shared" si="91"/>
        <v>62.017336223177502</v>
      </c>
      <c r="BG104" s="22">
        <f t="shared" si="61"/>
        <v>555.09044325536718</v>
      </c>
      <c r="BH104" s="60">
        <f t="shared" si="62"/>
        <v>848.42377658870055</v>
      </c>
      <c r="BI104" s="60">
        <f ca="1">AVERAGE(OFFSET($BH$3,0,0,'Données projet'!$E$11+1,1))-AVERAGE(OFFSET($H$3,0,0,'Données projet'!$E$11+1,1))</f>
        <v>330.39429528665841</v>
      </c>
      <c r="BJ104" s="60">
        <f t="shared" si="92"/>
        <v>186.45728006007261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3.2051282051282102</v>
      </c>
      <c r="BY104" s="13">
        <f>IF('Données projet'!$A$114&gt;35,BY103+BX104-CG103,IF(A104&lt;'Données projet'!$A$114,$BV$205^A104,IF(A104='Données projet'!$A$114,'Données projet'!$B$114,BY103+BX104-CG103)))</f>
        <v>288.46153846153862</v>
      </c>
      <c r="BZ104" s="14">
        <f>BY104*VLOOKUP('Données projet'!$B$12,Paramètres!$A$1:$I$89,3,0)*VLOOKUP('Données projet'!$B$12,Paramètres!$A$1:$I$89,5,0)</f>
        <v>193.50000000000011</v>
      </c>
      <c r="CA104" s="14">
        <f t="shared" si="93"/>
        <v>48.312929194247467</v>
      </c>
      <c r="CB104" s="22">
        <f t="shared" si="64"/>
        <v>421.15751834664781</v>
      </c>
      <c r="CC104" s="60">
        <f t="shared" si="65"/>
        <v>714.49085167998112</v>
      </c>
      <c r="CD104" s="60">
        <f ca="1">AVERAGE(OFFSET($CC$3,0,0,'Données projet'!$E$12+1,1))-AVERAGE(OFFSET($H$3,0,0,'Données projet'!$E$12+1,1))</f>
        <v>212.33913923444732</v>
      </c>
      <c r="CE104" s="60">
        <f t="shared" si="94"/>
        <v>183.51194426094372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-3.979039320256561E-13</v>
      </c>
      <c r="CU104" s="18">
        <f>CT104*VLOOKUP('Données projet'!$B$13,Paramètres!$A$1:$I$89,3,0)*VLOOKUP('Données projet'!$B$13,Paramètres!$A$1:$I$89,5,0)</f>
        <v>-3.4760887501761321E-13</v>
      </c>
      <c r="CV104" s="14" t="e">
        <f t="shared" si="95"/>
        <v>#NUM!</v>
      </c>
      <c r="CW104" s="22" t="e">
        <f t="shared" si="67"/>
        <v>#NUM!</v>
      </c>
      <c r="CX104" s="60" t="e">
        <f t="shared" si="68"/>
        <v>#NUM!</v>
      </c>
      <c r="CY104" s="60">
        <f ca="1">AVERAGE(OFFSET($CX$3,0,0,'Données projet'!$E$13+1,1))-AVERAGE(OFFSET($H$3,0,0,'Données projet'!$E$13+1,1))</f>
        <v>228.0393346366489</v>
      </c>
      <c r="CZ104" s="60">
        <f t="shared" si="96"/>
        <v>238.591781509447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4.4000000000000004</v>
      </c>
      <c r="DO104" s="13">
        <f>IF('Données projet'!$A$166&gt;35,DO103+DN104-DW103,IF(A104&lt;'Données projet'!$A$166,$DL$205^A104,IF(A104='Données projet'!$A$166,'Données projet'!$B$166,DO103+DN104-DW103)))</f>
        <v>265.39999999999981</v>
      </c>
      <c r="DP104" s="18">
        <f>DO104*VLOOKUP('Données projet'!$B$14,Paramètres!$A$1:$I$89,3,0)*VLOOKUP('Données projet'!$B$14,Paramètres!$A$1:$I$89,5,0)</f>
        <v>240.13391999999982</v>
      </c>
      <c r="DQ104" s="14">
        <f t="shared" si="97"/>
        <v>58.468343087048559</v>
      </c>
      <c r="DR104" s="22">
        <f t="shared" si="70"/>
        <v>520.06560820994252</v>
      </c>
      <c r="DS104" s="60">
        <f t="shared" si="71"/>
        <v>813.3989415432759</v>
      </c>
      <c r="DT104" s="60">
        <f ca="1">AVERAGE(OFFSET($DS$3,0,0,'Données projet'!$E$14+1,1))-AVERAGE(OFFSET($H$3,0,0,'Données projet'!$E$14+1,1))</f>
        <v>303.73499739059076</v>
      </c>
      <c r="DU104" s="60">
        <f t="shared" si="98"/>
        <v>172.32171001882188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1.1368683772161603E-13</v>
      </c>
      <c r="EK104" s="18">
        <f>EJ104*VLOOKUP('Données projet'!$B$15,Paramètres!$A$1:$I$89,3,0)*VLOOKUP('Données projet'!$B$15,Paramètres!$A$1:$I$89,5,0)</f>
        <v>6.7984728957526396E-14</v>
      </c>
      <c r="EL104" s="14">
        <f t="shared" si="99"/>
        <v>1.0682447123141398E-12</v>
      </c>
      <c r="EM104" s="22">
        <f t="shared" si="73"/>
        <v>1.978932943548152E-12</v>
      </c>
      <c r="EN104" s="60">
        <f t="shared" si="74"/>
        <v>293.3333333333353</v>
      </c>
      <c r="EO104" s="60">
        <f ca="1">AVERAGE(OFFSET($EN$3,0,0,'Données projet'!$E$15+1,1))-AVERAGE(OFFSET($H$3,0,0,'Données projet'!$E$15+1,1))</f>
        <v>269.94948820700841</v>
      </c>
      <c r="EP104" s="60">
        <f t="shared" si="100"/>
        <v>183.45158355135192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1.9070285675730256</v>
      </c>
      <c r="EX104" s="23">
        <f>EXP(-LN(2)/2)*EX103+(1-EXP(-LN(2)/2))/(LN(2)/2)*ER104*EU104*VLOOKUP('Données projet'!$B$15,Paramètres!$A$1:$I$89,3,0)*0.475*44/12</f>
        <v>1.1602796257205605E-10</v>
      </c>
      <c r="EY104" s="24">
        <f t="shared" si="75"/>
        <v>1.9070285676890535</v>
      </c>
      <c r="EZ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>
        <f>FE104*VLOOKUP('Données projet'!$B$16,Paramètres!$A$1:$I$89,3,0)*VLOOKUP('Données projet'!$B$16,Paramètres!$A$1:$I$89,5,0)</f>
        <v>0</v>
      </c>
      <c r="FG104" s="14" t="e">
        <f t="shared" si="101"/>
        <v>#NUM!</v>
      </c>
      <c r="FH104" s="22" t="e">
        <f t="shared" si="76"/>
        <v>#NUM!</v>
      </c>
      <c r="FI104" s="60" t="e">
        <f t="shared" si="77"/>
        <v>#NUM!</v>
      </c>
      <c r="FJ104" s="60">
        <f ca="1">AVERAGE(OFFSET($FI$3,0,0,'Données projet'!$E$16+1,1))-AVERAGE(OFFSET($H$3,0,0,'Données projet'!$E$16+1,1))</f>
        <v>111.24788725253484</v>
      </c>
      <c r="FK104" s="60">
        <f t="shared" si="102"/>
        <v>82.434879813357327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projet'!$B$16,Paramètres!$A$1:$I$89,3,0)*0.475*44/12</f>
        <v>0</v>
      </c>
      <c r="FR104" s="23">
        <f>EXP(-LN(2)/25)*FR103+(1-EXP(-LN(2)/25))/(LN(2)/25)*Calculateur!FM104*Calculateur!FO104*VLOOKUP('Données projet'!$B$16,Paramètres!$A$1:$I$89,3,0)*0.475*44/12</f>
        <v>0</v>
      </c>
      <c r="FS104" s="23">
        <f>EXP(-LN(2)/2)*FS103+(1-EXP(-LN(2)/2))/(LN(2)/2)*FM104*FP104*VLOOKUP('Données projet'!$B$16,Paramètres!$A$1:$I$89,3,0)*0.475*44/12</f>
        <v>0</v>
      </c>
      <c r="FT104" s="24">
        <f t="shared" si="78"/>
        <v>0</v>
      </c>
      <c r="FU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1.0231815394945443E-12</v>
      </c>
      <c r="GA104" s="18">
        <f>FZ104*VLOOKUP('Données projet'!$B$17,Paramètres!$A$1:$I$89,3,0)*VLOOKUP('Données projet'!$B$17,Paramètres!$A$1:$I$89,5,0)</f>
        <v>4.5224624045658859E-13</v>
      </c>
      <c r="GB104" s="14">
        <f t="shared" si="103"/>
        <v>5.6995607121061449E-12</v>
      </c>
      <c r="GC104" s="22">
        <f t="shared" si="79"/>
        <v>1.0714397109046761E-11</v>
      </c>
      <c r="GD104" s="60">
        <f t="shared" si="80"/>
        <v>293.333333333344</v>
      </c>
      <c r="GE104" s="60">
        <f ca="1">AVERAGE(OFFSET($GD$3,0,0,'Données projet'!$E$17+1,1))-AVERAGE(OFFSET($H$3,0,0,'Données projet'!$E$17+1,1))</f>
        <v>323.56667371063662</v>
      </c>
      <c r="GF104" s="60">
        <f t="shared" si="104"/>
        <v>275.70373467723385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>
        <f>EXP(-LN(2)/35)*GL103+(1-EXP(-LN(2)/35))/(LN(2)/35)*GH104*GI104*VLOOKUP('Données projet'!$B$17,Paramètres!$A$1:$I$89,3,0)*0.475*44/12</f>
        <v>0</v>
      </c>
      <c r="GM104" s="23">
        <f>EXP(-LN(2)/25)*GM103+(1-EXP(-LN(2)/25))/(LN(2)/25)*Calculateur!GH104*Calculateur!GJ104*VLOOKUP('Données projet'!$B$17,Paramètres!$A$1:$I$89,3,0)*0.475*44/12</f>
        <v>0</v>
      </c>
      <c r="GN104" s="23">
        <f>EXP(-LN(2)/2)*GN103+(1-EXP(-LN(2)/2))/(LN(2)/2)*GH104*GK104*VLOOKUP('Données projet'!$B$17,Paramètres!$A$1:$I$89,3,0)*0.475*44/12</f>
        <v>0</v>
      </c>
      <c r="GO104" s="23">
        <f t="shared" si="81"/>
        <v>0</v>
      </c>
      <c r="GP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0" t="e">
        <f t="shared" si="83"/>
        <v>#N/A</v>
      </c>
      <c r="GZ104" s="60" t="e">
        <f ca="1">AVERAGE(OFFSET($GY$3,0,0,'Données projet'!$E$18+1,1))-AVERAGE(OFFSET($H$3,0,0,'Données projet'!$E$18+1,1))</f>
        <v>#N/A</v>
      </c>
      <c r="HA104" s="60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4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2">
        <f t="shared" si="86"/>
        <v>16.07439350416519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-1.1368683772161603E-13</v>
      </c>
      <c r="O105" s="14">
        <f>N105*VLOOKUP('Données projet'!$B$9,Paramètres!$A$1:$I$89,3,0)*VLOOKUP('Données projet'!$B$9,Paramètres!$A$1:$I$89,5,0)</f>
        <v>-6.7984728957526396E-14</v>
      </c>
      <c r="P105" s="14" t="e">
        <f t="shared" si="87"/>
        <v>#NUM!</v>
      </c>
      <c r="Q105" s="22" t="e">
        <f t="shared" si="107"/>
        <v>#NUM!</v>
      </c>
      <c r="R105" s="60" t="e">
        <f t="shared" si="55"/>
        <v>#NUM!</v>
      </c>
      <c r="S105" s="60">
        <f ca="1">AVERAGE(OFFSET($R$3,0,0,'Données projet'!$E$9+1,1))-AVERAGE(OFFSET($H$3,0,0,'Données projet'!$E$9+1,1))</f>
        <v>235.63766249714581</v>
      </c>
      <c r="T105" s="60">
        <f t="shared" si="88"/>
        <v>231.3297293785277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2.7570296258633782</v>
      </c>
      <c r="AA105" s="23">
        <f>EXP(-LN(2)/25)*AA104+(1-EXP(-LN(2)/25))/(LN(2)/25)*Calculateur!V105*Calculateur!X105*VLOOKUP('Données projet'!$B$9,Paramètres!$A$1:$I$89,3,0)*0.475*44/12</f>
        <v>2.3485634058473104</v>
      </c>
      <c r="AB105" s="23">
        <f>EXP(-LN(2)/2)*AB104+(1-EXP(-LN(2)/2))/(LN(2)/2)*V105*Y105*VLOOKUP('Données projet'!$B$9,Paramètres!$A$1:$I$89,3,0)*0.475*44/12</f>
        <v>1.034995093199356E-10</v>
      </c>
      <c r="AC105" s="24">
        <f t="shared" si="57"/>
        <v>5.1055930318141876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4.4000000000000004</v>
      </c>
      <c r="AI105" s="14">
        <f>IF('Données projet'!$A$62&gt;35,AI104+AH105-AQ104,IF(A105&lt;'Données projet'!$A$62,$AF$205^A105,IF(A105='Données projet'!$A$62,'Données projet'!$B$62,AI104+AH105-AQ104)))</f>
        <v>269.79999999999978</v>
      </c>
      <c r="AJ105" s="14">
        <f>AI105*VLOOKUP('Données projet'!$B$10,Paramètres!$A$1:$I$89,3,0)*VLOOKUP('Données projet'!$B$10,Paramètres!$A$1:$I$89,5,0)</f>
        <v>273.57719999999978</v>
      </c>
      <c r="AK105" s="14">
        <f t="shared" si="89"/>
        <v>65.60785888991505</v>
      </c>
      <c r="AL105" s="22">
        <f t="shared" si="58"/>
        <v>590.74731089993509</v>
      </c>
      <c r="AM105" s="60">
        <f t="shared" si="59"/>
        <v>884.08064423326846</v>
      </c>
      <c r="AN105" s="60">
        <f ca="1">AVERAGE(OFFSET($AM$3,0,0,'Données projet'!$E$10+1,1))-AVERAGE(OFFSET($H$3,0,0,'Données projet'!$E$10+1,1))</f>
        <v>350.3652766444938</v>
      </c>
      <c r="AO105" s="60">
        <f t="shared" si="90"/>
        <v>197.04549436738586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6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4.4000000000000004</v>
      </c>
      <c r="BD105" s="13">
        <f>IF('Données projet'!$A$88&gt;35,BD104+BC105-BL104,IF(A105&lt;'Données projet'!$A$88,$BA$205^A105,IF(A105='Données projet'!$A$88,'Données projet'!$B$88,BD104+BC105-BL104)))</f>
        <v>269.79999999999978</v>
      </c>
      <c r="BE105" s="14">
        <f>BD105*VLOOKUP('Données projet'!$B$11,Paramètres!$A$1:$I$89,3,0)*VLOOKUP('Données projet'!$B$11,Paramètres!$A$1:$I$89,5,0)</f>
        <v>260.95055999999983</v>
      </c>
      <c r="BF105" s="14">
        <f t="shared" si="91"/>
        <v>62.924955880176938</v>
      </c>
      <c r="BG105" s="22">
        <f t="shared" si="61"/>
        <v>564.08319015797451</v>
      </c>
      <c r="BH105" s="60">
        <f t="shared" si="62"/>
        <v>857.41652349130777</v>
      </c>
      <c r="BI105" s="60">
        <f ca="1">AVERAGE(OFFSET($BH$3,0,0,'Données projet'!$E$11+1,1))-AVERAGE(OFFSET($H$3,0,0,'Données projet'!$E$11+1,1))</f>
        <v>330.39429528665841</v>
      </c>
      <c r="BJ105" s="60">
        <f t="shared" si="92"/>
        <v>186.45728006007261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3.2051282051282102</v>
      </c>
      <c r="BY105" s="13">
        <f>IF('Données projet'!$A$114&gt;35,BY104+BX105-CG104,IF(A105&lt;'Données projet'!$A$114,$BV$205^A105,IF(A105='Données projet'!$A$114,'Données projet'!$B$114,BY104+BX105-CG104)))</f>
        <v>291.66666666666686</v>
      </c>
      <c r="BZ105" s="14">
        <f>BY105*VLOOKUP('Données projet'!$B$12,Paramètres!$A$1:$I$89,3,0)*VLOOKUP('Données projet'!$B$12,Paramètres!$A$1:$I$89,5,0)</f>
        <v>195.65000000000012</v>
      </c>
      <c r="CA105" s="14">
        <f t="shared" si="93"/>
        <v>48.786949327182981</v>
      </c>
      <c r="CB105" s="22">
        <f t="shared" si="64"/>
        <v>425.72768674484382</v>
      </c>
      <c r="CC105" s="60">
        <f t="shared" si="65"/>
        <v>719.06102007817708</v>
      </c>
      <c r="CD105" s="60">
        <f ca="1">AVERAGE(OFFSET($CC$3,0,0,'Données projet'!$E$12+1,1))-AVERAGE(OFFSET($H$3,0,0,'Données projet'!$E$12+1,1))</f>
        <v>212.33913923444732</v>
      </c>
      <c r="CE105" s="60">
        <f t="shared" si="94"/>
        <v>183.51194426094372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-3.979039320256561E-13</v>
      </c>
      <c r="CU105" s="18">
        <f>CT105*VLOOKUP('Données projet'!$B$13,Paramètres!$A$1:$I$89,3,0)*VLOOKUP('Données projet'!$B$13,Paramètres!$A$1:$I$89,5,0)</f>
        <v>-3.4760887501761321E-13</v>
      </c>
      <c r="CV105" s="14" t="e">
        <f t="shared" si="95"/>
        <v>#NUM!</v>
      </c>
      <c r="CW105" s="22" t="e">
        <f t="shared" si="67"/>
        <v>#NUM!</v>
      </c>
      <c r="CX105" s="60" t="e">
        <f t="shared" si="68"/>
        <v>#NUM!</v>
      </c>
      <c r="CY105" s="60">
        <f ca="1">AVERAGE(OFFSET($CX$3,0,0,'Données projet'!$E$13+1,1))-AVERAGE(OFFSET($H$3,0,0,'Données projet'!$E$13+1,1))</f>
        <v>228.0393346366489</v>
      </c>
      <c r="CZ105" s="60">
        <f t="shared" si="96"/>
        <v>238.591781509447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4.4000000000000004</v>
      </c>
      <c r="DO105" s="13">
        <f>IF('Données projet'!$A$166&gt;35,DO104+DN105-DW104,IF(A105&lt;'Données projet'!$A$166,$DL$205^A105,IF(A105='Données projet'!$A$166,'Données projet'!$B$166,DO104+DN105-DW104)))</f>
        <v>269.79999999999978</v>
      </c>
      <c r="DP105" s="18">
        <f>DO105*VLOOKUP('Données projet'!$B$14,Paramètres!$A$1:$I$89,3,0)*VLOOKUP('Données projet'!$B$14,Paramètres!$A$1:$I$89,5,0)</f>
        <v>244.11503999999979</v>
      </c>
      <c r="DQ105" s="14">
        <f t="shared" si="97"/>
        <v>59.324023461759012</v>
      </c>
      <c r="DR105" s="22">
        <f t="shared" si="70"/>
        <v>528.48970219589648</v>
      </c>
      <c r="DS105" s="60">
        <f t="shared" si="71"/>
        <v>821.82303552922986</v>
      </c>
      <c r="DT105" s="60">
        <f ca="1">AVERAGE(OFFSET($DS$3,0,0,'Données projet'!$E$14+1,1))-AVERAGE(OFFSET($H$3,0,0,'Données projet'!$E$14+1,1))</f>
        <v>303.73499739059076</v>
      </c>
      <c r="DU105" s="60">
        <f t="shared" si="98"/>
        <v>172.32171001882188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1.1368683772161603E-13</v>
      </c>
      <c r="EK105" s="18">
        <f>EJ105*VLOOKUP('Données projet'!$B$15,Paramètres!$A$1:$I$89,3,0)*VLOOKUP('Données projet'!$B$15,Paramètres!$A$1:$I$89,5,0)</f>
        <v>6.7984728957526396E-14</v>
      </c>
      <c r="EL105" s="14">
        <f t="shared" si="99"/>
        <v>1.0682447123141398E-12</v>
      </c>
      <c r="EM105" s="22">
        <f t="shared" si="73"/>
        <v>1.978932943548152E-12</v>
      </c>
      <c r="EN105" s="60">
        <f t="shared" si="74"/>
        <v>293.3333333333353</v>
      </c>
      <c r="EO105" s="60">
        <f ca="1">AVERAGE(OFFSET($EN$3,0,0,'Données projet'!$E$15+1,1))-AVERAGE(OFFSET($H$3,0,0,'Données projet'!$E$15+1,1))</f>
        <v>269.94948820700841</v>
      </c>
      <c r="EP105" s="60">
        <f t="shared" si="100"/>
        <v>183.45158355135192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1.8548807711064674</v>
      </c>
      <c r="EX105" s="23">
        <f>EXP(-LN(2)/2)*EX104+(1-EXP(-LN(2)/2))/(LN(2)/2)*ER105*EU105*VLOOKUP('Données projet'!$B$15,Paramètres!$A$1:$I$89,3,0)*0.475*44/12</f>
        <v>8.2044159141959766E-11</v>
      </c>
      <c r="EY105" s="24">
        <f t="shared" si="75"/>
        <v>1.8548807711885116</v>
      </c>
      <c r="EZ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>
        <f>FE105*VLOOKUP('Données projet'!$B$16,Paramètres!$A$1:$I$89,3,0)*VLOOKUP('Données projet'!$B$16,Paramètres!$A$1:$I$89,5,0)</f>
        <v>0</v>
      </c>
      <c r="FG105" s="14" t="e">
        <f t="shared" si="101"/>
        <v>#NUM!</v>
      </c>
      <c r="FH105" s="22" t="e">
        <f t="shared" si="76"/>
        <v>#NUM!</v>
      </c>
      <c r="FI105" s="60" t="e">
        <f t="shared" si="77"/>
        <v>#NUM!</v>
      </c>
      <c r="FJ105" s="60">
        <f ca="1">AVERAGE(OFFSET($FI$3,0,0,'Données projet'!$E$16+1,1))-AVERAGE(OFFSET($H$3,0,0,'Données projet'!$E$16+1,1))</f>
        <v>111.24788725253484</v>
      </c>
      <c r="FK105" s="60">
        <f t="shared" si="102"/>
        <v>82.434879813357327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projet'!$B$16,Paramètres!$A$1:$I$89,3,0)*0.475*44/12</f>
        <v>0</v>
      </c>
      <c r="FR105" s="23">
        <f>EXP(-LN(2)/25)*FR104+(1-EXP(-LN(2)/25))/(LN(2)/25)*Calculateur!FM105*Calculateur!FO105*VLOOKUP('Données projet'!$B$16,Paramètres!$A$1:$I$89,3,0)*0.475*44/12</f>
        <v>0</v>
      </c>
      <c r="FS105" s="23">
        <f>EXP(-LN(2)/2)*FS104+(1-EXP(-LN(2)/2))/(LN(2)/2)*FM105*FP105*VLOOKUP('Données projet'!$B$16,Paramètres!$A$1:$I$89,3,0)*0.475*44/12</f>
        <v>0</v>
      </c>
      <c r="FT105" s="24">
        <f t="shared" si="78"/>
        <v>0</v>
      </c>
      <c r="FU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1.0231815394945443E-12</v>
      </c>
      <c r="GA105" s="18">
        <f>FZ105*VLOOKUP('Données projet'!$B$17,Paramètres!$A$1:$I$89,3,0)*VLOOKUP('Données projet'!$B$17,Paramètres!$A$1:$I$89,5,0)</f>
        <v>4.5224624045658859E-13</v>
      </c>
      <c r="GB105" s="14">
        <f t="shared" si="103"/>
        <v>5.6995607121061449E-12</v>
      </c>
      <c r="GC105" s="22">
        <f t="shared" si="79"/>
        <v>1.0714397109046761E-11</v>
      </c>
      <c r="GD105" s="60">
        <f t="shared" si="80"/>
        <v>293.333333333344</v>
      </c>
      <c r="GE105" s="60">
        <f ca="1">AVERAGE(OFFSET($GD$3,0,0,'Données projet'!$E$17+1,1))-AVERAGE(OFFSET($H$3,0,0,'Données projet'!$E$17+1,1))</f>
        <v>323.56667371063662</v>
      </c>
      <c r="GF105" s="60">
        <f t="shared" si="104"/>
        <v>275.70373467723385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>
        <f>EXP(-LN(2)/35)*GL104+(1-EXP(-LN(2)/35))/(LN(2)/35)*GH105*GI105*VLOOKUP('Données projet'!$B$17,Paramètres!$A$1:$I$89,3,0)*0.475*44/12</f>
        <v>0</v>
      </c>
      <c r="GM105" s="23">
        <f>EXP(-LN(2)/25)*GM104+(1-EXP(-LN(2)/25))/(LN(2)/25)*Calculateur!GH105*Calculateur!GJ105*VLOOKUP('Données projet'!$B$17,Paramètres!$A$1:$I$89,3,0)*0.475*44/12</f>
        <v>0</v>
      </c>
      <c r="GN105" s="23">
        <f>EXP(-LN(2)/2)*GN104+(1-EXP(-LN(2)/2))/(LN(2)/2)*GH105*GK105*VLOOKUP('Données projet'!$B$17,Paramètres!$A$1:$I$89,3,0)*0.475*44/12</f>
        <v>0</v>
      </c>
      <c r="GO105" s="23">
        <f t="shared" si="81"/>
        <v>0</v>
      </c>
      <c r="GP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0" t="e">
        <f t="shared" si="83"/>
        <v>#N/A</v>
      </c>
      <c r="GZ105" s="60" t="e">
        <f ca="1">AVERAGE(OFFSET($GY$3,0,0,'Données projet'!$E$18+1,1))-AVERAGE(OFFSET($H$3,0,0,'Données projet'!$E$18+1,1))</f>
        <v>#N/A</v>
      </c>
      <c r="HA105" s="60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4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2">
        <f t="shared" si="86"/>
        <v>16.213562712594495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-1.1368683772161603E-13</v>
      </c>
      <c r="O106" s="14">
        <f>N106*VLOOKUP('Données projet'!$B$9,Paramètres!$A$1:$I$89,3,0)*VLOOKUP('Données projet'!$B$9,Paramètres!$A$1:$I$89,5,0)</f>
        <v>-6.7984728957526396E-14</v>
      </c>
      <c r="P106" s="14" t="e">
        <f t="shared" si="87"/>
        <v>#NUM!</v>
      </c>
      <c r="Q106" s="22" t="e">
        <f t="shared" si="107"/>
        <v>#NUM!</v>
      </c>
      <c r="R106" s="60" t="e">
        <f t="shared" si="55"/>
        <v>#NUM!</v>
      </c>
      <c r="S106" s="60">
        <f ca="1">AVERAGE(OFFSET($R$3,0,0,'Données projet'!$E$9+1,1))-AVERAGE(OFFSET($H$3,0,0,'Données projet'!$E$9+1,1))</f>
        <v>235.63766249714581</v>
      </c>
      <c r="T106" s="60">
        <f t="shared" si="88"/>
        <v>231.3297293785277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2.7029659565222226</v>
      </c>
      <c r="AA106" s="23">
        <f>EXP(-LN(2)/25)*AA105+(1-EXP(-LN(2)/25))/(LN(2)/25)*Calculateur!V106*Calculateur!X106*VLOOKUP('Données projet'!$B$9,Paramètres!$A$1:$I$89,3,0)*0.475*44/12</f>
        <v>2.2843418160088338</v>
      </c>
      <c r="AB106" s="23">
        <f>EXP(-LN(2)/2)*AB105+(1-EXP(-LN(2)/2))/(LN(2)/2)*V106*Y106*VLOOKUP('Données projet'!$B$9,Paramètres!$A$1:$I$89,3,0)*0.475*44/12</f>
        <v>7.3185204889606737E-11</v>
      </c>
      <c r="AC106" s="24">
        <f t="shared" si="57"/>
        <v>4.9873077726042414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4.4000000000000004</v>
      </c>
      <c r="AI106" s="14">
        <f>IF('Données projet'!$A$62&gt;35,AI105+AH106-AQ105,IF(A106&lt;'Données projet'!$A$62,$AF$205^A106,IF(A106='Données projet'!$A$62,'Données projet'!$B$62,AI105+AH106-AQ105)))</f>
        <v>274.19999999999976</v>
      </c>
      <c r="AJ106" s="14">
        <f>AI106*VLOOKUP('Données projet'!$B$10,Paramètres!$A$1:$I$89,3,0)*VLOOKUP('Données projet'!$B$10,Paramètres!$A$1:$I$89,5,0)</f>
        <v>278.03879999999975</v>
      </c>
      <c r="AK106" s="14">
        <f t="shared" si="89"/>
        <v>66.552381547717744</v>
      </c>
      <c r="AL106" s="22">
        <f t="shared" si="58"/>
        <v>600.16297452894128</v>
      </c>
      <c r="AM106" s="60">
        <f t="shared" si="59"/>
        <v>893.49630786227453</v>
      </c>
      <c r="AN106" s="60">
        <f ca="1">AVERAGE(OFFSET($AM$3,0,0,'Données projet'!$E$10+1,1))-AVERAGE(OFFSET($H$3,0,0,'Données projet'!$E$10+1,1))</f>
        <v>350.3652766444938</v>
      </c>
      <c r="AO106" s="60">
        <f t="shared" si="90"/>
        <v>197.04549436738586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6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4.4000000000000004</v>
      </c>
      <c r="BD106" s="13">
        <f>IF('Données projet'!$A$88&gt;35,BD105+BC106-BL105,IF(A106&lt;'Données projet'!$A$88,$BA$205^A106,IF(A106='Données projet'!$A$88,'Données projet'!$B$88,BD105+BC106-BL105)))</f>
        <v>274.19999999999976</v>
      </c>
      <c r="BE106" s="14">
        <f>BD106*VLOOKUP('Données projet'!$B$11,Paramètres!$A$1:$I$89,3,0)*VLOOKUP('Données projet'!$B$11,Paramètres!$A$1:$I$89,5,0)</f>
        <v>265.20623999999975</v>
      </c>
      <c r="BF106" s="14">
        <f t="shared" si="91"/>
        <v>63.830854160896386</v>
      </c>
      <c r="BG106" s="22">
        <f t="shared" si="61"/>
        <v>573.07293899689409</v>
      </c>
      <c r="BH106" s="60">
        <f t="shared" si="62"/>
        <v>866.40627233022747</v>
      </c>
      <c r="BI106" s="60">
        <f ca="1">AVERAGE(OFFSET($BH$3,0,0,'Données projet'!$E$11+1,1))-AVERAGE(OFFSET($H$3,0,0,'Données projet'!$E$11+1,1))</f>
        <v>330.39429528665841</v>
      </c>
      <c r="BJ106" s="60">
        <f t="shared" si="92"/>
        <v>186.45728006007261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3.2051282051282102</v>
      </c>
      <c r="BY106" s="13">
        <f>IF('Données projet'!$A$114&gt;35,BY105+BX106-CG105,IF(A106&lt;'Données projet'!$A$114,$BV$205^A106,IF(A106='Données projet'!$A$114,'Données projet'!$B$114,BY105+BX106-CG105)))</f>
        <v>294.87179487179509</v>
      </c>
      <c r="BZ106" s="14">
        <f>BY106*VLOOKUP('Données projet'!$B$12,Paramètres!$A$1:$I$89,3,0)*VLOOKUP('Données projet'!$B$12,Paramètres!$A$1:$I$89,5,0)</f>
        <v>197.80000000000015</v>
      </c>
      <c r="CA106" s="14">
        <f t="shared" si="93"/>
        <v>49.260363505790551</v>
      </c>
      <c r="CB106" s="22">
        <f t="shared" si="64"/>
        <v>430.29679977258542</v>
      </c>
      <c r="CC106" s="60">
        <f t="shared" si="65"/>
        <v>723.63013310591873</v>
      </c>
      <c r="CD106" s="60">
        <f ca="1">AVERAGE(OFFSET($CC$3,0,0,'Données projet'!$E$12+1,1))-AVERAGE(OFFSET($H$3,0,0,'Données projet'!$E$12+1,1))</f>
        <v>212.33913923444732</v>
      </c>
      <c r="CE106" s="60">
        <f t="shared" si="94"/>
        <v>183.51194426094372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-3.979039320256561E-13</v>
      </c>
      <c r="CU106" s="18">
        <f>CT106*VLOOKUP('Données projet'!$B$13,Paramètres!$A$1:$I$89,3,0)*VLOOKUP('Données projet'!$B$13,Paramètres!$A$1:$I$89,5,0)</f>
        <v>-3.4760887501761321E-13</v>
      </c>
      <c r="CV106" s="14" t="e">
        <f t="shared" si="95"/>
        <v>#NUM!</v>
      </c>
      <c r="CW106" s="22" t="e">
        <f t="shared" si="67"/>
        <v>#NUM!</v>
      </c>
      <c r="CX106" s="60" t="e">
        <f t="shared" si="68"/>
        <v>#NUM!</v>
      </c>
      <c r="CY106" s="60">
        <f ca="1">AVERAGE(OFFSET($CX$3,0,0,'Données projet'!$E$13+1,1))-AVERAGE(OFFSET($H$3,0,0,'Données projet'!$E$13+1,1))</f>
        <v>228.0393346366489</v>
      </c>
      <c r="CZ106" s="60">
        <f t="shared" si="96"/>
        <v>238.591781509447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4.4000000000000004</v>
      </c>
      <c r="DO106" s="13">
        <f>IF('Données projet'!$A$166&gt;35,DO105+DN106-DW105,IF(A106&lt;'Données projet'!$A$166,$DL$205^A106,IF(A106='Données projet'!$A$166,'Données projet'!$B$166,DO105+DN106-DW105)))</f>
        <v>274.19999999999976</v>
      </c>
      <c r="DP106" s="18">
        <f>DO106*VLOOKUP('Données projet'!$B$14,Paramètres!$A$1:$I$89,3,0)*VLOOKUP('Données projet'!$B$14,Paramètres!$A$1:$I$89,5,0)</f>
        <v>248.0961599999998</v>
      </c>
      <c r="DQ106" s="14">
        <f t="shared" si="97"/>
        <v>60.178080967364686</v>
      </c>
      <c r="DR106" s="22">
        <f t="shared" si="70"/>
        <v>536.91096968482657</v>
      </c>
      <c r="DS106" s="60">
        <f t="shared" si="71"/>
        <v>830.24430301815983</v>
      </c>
      <c r="DT106" s="60">
        <f ca="1">AVERAGE(OFFSET($DS$3,0,0,'Données projet'!$E$14+1,1))-AVERAGE(OFFSET($H$3,0,0,'Données projet'!$E$14+1,1))</f>
        <v>303.73499739059076</v>
      </c>
      <c r="DU106" s="60">
        <f t="shared" si="98"/>
        <v>172.32171001882188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1.1368683772161603E-13</v>
      </c>
      <c r="EK106" s="18">
        <f>EJ106*VLOOKUP('Données projet'!$B$15,Paramètres!$A$1:$I$89,3,0)*VLOOKUP('Données projet'!$B$15,Paramètres!$A$1:$I$89,5,0)</f>
        <v>6.7984728957526396E-14</v>
      </c>
      <c r="EL106" s="14">
        <f t="shared" si="99"/>
        <v>1.0682447123141398E-12</v>
      </c>
      <c r="EM106" s="22">
        <f t="shared" si="73"/>
        <v>1.978932943548152E-12</v>
      </c>
      <c r="EN106" s="60">
        <f t="shared" si="74"/>
        <v>293.3333333333353</v>
      </c>
      <c r="EO106" s="60">
        <f ca="1">AVERAGE(OFFSET($EN$3,0,0,'Données projet'!$E$15+1,1))-AVERAGE(OFFSET($H$3,0,0,'Données projet'!$E$15+1,1))</f>
        <v>269.94948820700841</v>
      </c>
      <c r="EP106" s="60">
        <f t="shared" si="100"/>
        <v>183.45158355135192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1.8041589588766207</v>
      </c>
      <c r="EX106" s="23">
        <f>EXP(-LN(2)/2)*EX105+(1-EXP(-LN(2)/2))/(LN(2)/2)*ER106*EU106*VLOOKUP('Données projet'!$B$15,Paramètres!$A$1:$I$89,3,0)*0.475*44/12</f>
        <v>5.801398128602803E-11</v>
      </c>
      <c r="EY106" s="24">
        <f t="shared" si="75"/>
        <v>1.8041589589346347</v>
      </c>
      <c r="EZ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>
        <f>FE106*VLOOKUP('Données projet'!$B$16,Paramètres!$A$1:$I$89,3,0)*VLOOKUP('Données projet'!$B$16,Paramètres!$A$1:$I$89,5,0)</f>
        <v>0</v>
      </c>
      <c r="FG106" s="14" t="e">
        <f t="shared" si="101"/>
        <v>#NUM!</v>
      </c>
      <c r="FH106" s="22" t="e">
        <f t="shared" si="76"/>
        <v>#NUM!</v>
      </c>
      <c r="FI106" s="60" t="e">
        <f t="shared" si="77"/>
        <v>#NUM!</v>
      </c>
      <c r="FJ106" s="60">
        <f ca="1">AVERAGE(OFFSET($FI$3,0,0,'Données projet'!$E$16+1,1))-AVERAGE(OFFSET($H$3,0,0,'Données projet'!$E$16+1,1))</f>
        <v>111.24788725253484</v>
      </c>
      <c r="FK106" s="60">
        <f t="shared" si="102"/>
        <v>82.434879813357327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projet'!$B$16,Paramètres!$A$1:$I$89,3,0)*0.475*44/12</f>
        <v>0</v>
      </c>
      <c r="FR106" s="23">
        <f>EXP(-LN(2)/25)*FR105+(1-EXP(-LN(2)/25))/(LN(2)/25)*Calculateur!FM106*Calculateur!FO106*VLOOKUP('Données projet'!$B$16,Paramètres!$A$1:$I$89,3,0)*0.475*44/12</f>
        <v>0</v>
      </c>
      <c r="FS106" s="23">
        <f>EXP(-LN(2)/2)*FS105+(1-EXP(-LN(2)/2))/(LN(2)/2)*FM106*FP106*VLOOKUP('Données projet'!$B$16,Paramètres!$A$1:$I$89,3,0)*0.475*44/12</f>
        <v>0</v>
      </c>
      <c r="FT106" s="24">
        <f t="shared" si="78"/>
        <v>0</v>
      </c>
      <c r="FU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1.0231815394945443E-12</v>
      </c>
      <c r="GA106" s="18">
        <f>FZ106*VLOOKUP('Données projet'!$B$17,Paramètres!$A$1:$I$89,3,0)*VLOOKUP('Données projet'!$B$17,Paramètres!$A$1:$I$89,5,0)</f>
        <v>4.5224624045658859E-13</v>
      </c>
      <c r="GB106" s="14">
        <f t="shared" si="103"/>
        <v>5.6995607121061449E-12</v>
      </c>
      <c r="GC106" s="22">
        <f t="shared" si="79"/>
        <v>1.0714397109046761E-11</v>
      </c>
      <c r="GD106" s="60">
        <f t="shared" si="80"/>
        <v>293.333333333344</v>
      </c>
      <c r="GE106" s="60">
        <f ca="1">AVERAGE(OFFSET($GD$3,0,0,'Données projet'!$E$17+1,1))-AVERAGE(OFFSET($H$3,0,0,'Données projet'!$E$17+1,1))</f>
        <v>323.56667371063662</v>
      </c>
      <c r="GF106" s="60">
        <f t="shared" si="104"/>
        <v>275.70373467723385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>
        <f>EXP(-LN(2)/35)*GL105+(1-EXP(-LN(2)/35))/(LN(2)/35)*GH106*GI106*VLOOKUP('Données projet'!$B$17,Paramètres!$A$1:$I$89,3,0)*0.475*44/12</f>
        <v>0</v>
      </c>
      <c r="GM106" s="23">
        <f>EXP(-LN(2)/25)*GM105+(1-EXP(-LN(2)/25))/(LN(2)/25)*Calculateur!GH106*Calculateur!GJ106*VLOOKUP('Données projet'!$B$17,Paramètres!$A$1:$I$89,3,0)*0.475*44/12</f>
        <v>0</v>
      </c>
      <c r="GN106" s="23">
        <f>EXP(-LN(2)/2)*GN105+(1-EXP(-LN(2)/2))/(LN(2)/2)*GH106*GK106*VLOOKUP('Données projet'!$B$17,Paramètres!$A$1:$I$89,3,0)*0.475*44/12</f>
        <v>0</v>
      </c>
      <c r="GO106" s="23">
        <f t="shared" si="81"/>
        <v>0</v>
      </c>
      <c r="GP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0" t="e">
        <f t="shared" si="83"/>
        <v>#N/A</v>
      </c>
      <c r="GZ106" s="60" t="e">
        <f ca="1">AVERAGE(OFFSET($GY$3,0,0,'Données projet'!$E$18+1,1))-AVERAGE(OFFSET($H$3,0,0,'Données projet'!$E$18+1,1))</f>
        <v>#N/A</v>
      </c>
      <c r="HA106" s="60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4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2">
        <f t="shared" si="86"/>
        <v>16.352574732529348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-1.1368683772161603E-13</v>
      </c>
      <c r="O107" s="14">
        <f>N107*VLOOKUP('Données projet'!$B$9,Paramètres!$A$1:$I$89,3,0)*VLOOKUP('Données projet'!$B$9,Paramètres!$A$1:$I$89,5,0)</f>
        <v>-6.7984728957526396E-14</v>
      </c>
      <c r="P107" s="14" t="e">
        <f t="shared" si="87"/>
        <v>#NUM!</v>
      </c>
      <c r="Q107" s="22" t="e">
        <f t="shared" si="107"/>
        <v>#NUM!</v>
      </c>
      <c r="R107" s="60" t="e">
        <f t="shared" si="55"/>
        <v>#NUM!</v>
      </c>
      <c r="S107" s="60">
        <f ca="1">AVERAGE(OFFSET($R$3,0,0,'Données projet'!$E$9+1,1))-AVERAGE(OFFSET($H$3,0,0,'Données projet'!$E$9+1,1))</f>
        <v>235.63766249714581</v>
      </c>
      <c r="T107" s="60">
        <f t="shared" si="88"/>
        <v>231.3297293785277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2.6499624427612649</v>
      </c>
      <c r="AA107" s="23">
        <f>EXP(-LN(2)/25)*AA106+(1-EXP(-LN(2)/25))/(LN(2)/25)*Calculateur!V107*Calculateur!X107*VLOOKUP('Données projet'!$B$9,Paramètres!$A$1:$I$89,3,0)*0.475*44/12</f>
        <v>2.2218763689217571</v>
      </c>
      <c r="AB107" s="23">
        <f>EXP(-LN(2)/2)*AB106+(1-EXP(-LN(2)/2))/(LN(2)/2)*V107*Y107*VLOOKUP('Données projet'!$B$9,Paramètres!$A$1:$I$89,3,0)*0.475*44/12</f>
        <v>5.1749754659967799E-11</v>
      </c>
      <c r="AC107" s="24">
        <f t="shared" si="57"/>
        <v>4.8718388117347713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4.4000000000000004</v>
      </c>
      <c r="AI107" s="14">
        <f>IF('Données projet'!$A$62&gt;35,AI106+AH107-AQ106,IF(A107&lt;'Données projet'!$A$62,$AF$205^A107,IF(A107='Données projet'!$A$62,'Données projet'!$B$62,AI106+AH107-AQ106)))</f>
        <v>278.59999999999974</v>
      </c>
      <c r="AJ107" s="14">
        <f>AI107*VLOOKUP('Données projet'!$B$10,Paramètres!$A$1:$I$89,3,0)*VLOOKUP('Données projet'!$B$10,Paramètres!$A$1:$I$89,5,0)</f>
        <v>282.50039999999973</v>
      </c>
      <c r="AK107" s="14">
        <f t="shared" si="89"/>
        <v>67.495141560894311</v>
      </c>
      <c r="AL107" s="22">
        <f t="shared" si="58"/>
        <v>609.57556821855712</v>
      </c>
      <c r="AM107" s="60">
        <f t="shared" si="59"/>
        <v>902.90890155189049</v>
      </c>
      <c r="AN107" s="60">
        <f ca="1">AVERAGE(OFFSET($AM$3,0,0,'Données projet'!$E$10+1,1))-AVERAGE(OFFSET($H$3,0,0,'Données projet'!$E$10+1,1))</f>
        <v>350.3652766444938</v>
      </c>
      <c r="AO107" s="60">
        <f t="shared" si="90"/>
        <v>197.04549436738586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6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4.4000000000000004</v>
      </c>
      <c r="BD107" s="13">
        <f>IF('Données projet'!$A$88&gt;35,BD106+BC107-BL106,IF(A107&lt;'Données projet'!$A$88,$BA$205^A107,IF(A107='Données projet'!$A$88,'Données projet'!$B$88,BD106+BC107-BL106)))</f>
        <v>278.59999999999974</v>
      </c>
      <c r="BE107" s="14">
        <f>BD107*VLOOKUP('Données projet'!$B$11,Paramètres!$A$1:$I$89,3,0)*VLOOKUP('Données projet'!$B$11,Paramètres!$A$1:$I$89,5,0)</f>
        <v>269.46191999999974</v>
      </c>
      <c r="BF107" s="14">
        <f t="shared" si="91"/>
        <v>64.735061876839055</v>
      </c>
      <c r="BG107" s="22">
        <f t="shared" si="61"/>
        <v>582.05974343549417</v>
      </c>
      <c r="BH107" s="60">
        <f t="shared" si="62"/>
        <v>875.39307676882754</v>
      </c>
      <c r="BI107" s="60">
        <f ca="1">AVERAGE(OFFSET($BH$3,0,0,'Données projet'!$E$11+1,1))-AVERAGE(OFFSET($H$3,0,0,'Données projet'!$E$11+1,1))</f>
        <v>330.39429528665841</v>
      </c>
      <c r="BJ107" s="60">
        <f t="shared" si="92"/>
        <v>186.45728006007261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3.2051282051282102</v>
      </c>
      <c r="BY107" s="13">
        <f>IF('Données projet'!$A$114&gt;35,BY106+BX107-CG106,IF(A107&lt;'Données projet'!$A$114,$BV$205^A107,IF(A107='Données projet'!$A$114,'Données projet'!$B$114,BY106+BX107-CG106)))</f>
        <v>298.07692307692332</v>
      </c>
      <c r="BZ107" s="14">
        <f>BY107*VLOOKUP('Données projet'!$B$12,Paramètres!$A$1:$I$89,3,0)*VLOOKUP('Données projet'!$B$12,Paramètres!$A$1:$I$89,5,0)</f>
        <v>199.95000000000016</v>
      </c>
      <c r="CA107" s="14">
        <f t="shared" si="93"/>
        <v>49.733179078835313</v>
      </c>
      <c r="CB107" s="22">
        <f t="shared" si="64"/>
        <v>434.86487022897177</v>
      </c>
      <c r="CC107" s="60">
        <f t="shared" si="65"/>
        <v>728.19820356230503</v>
      </c>
      <c r="CD107" s="60">
        <f ca="1">AVERAGE(OFFSET($CC$3,0,0,'Données projet'!$E$12+1,1))-AVERAGE(OFFSET($H$3,0,0,'Données projet'!$E$12+1,1))</f>
        <v>212.33913923444732</v>
      </c>
      <c r="CE107" s="60">
        <f t="shared" si="94"/>
        <v>183.51194426094372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-3.979039320256561E-13</v>
      </c>
      <c r="CU107" s="18">
        <f>CT107*VLOOKUP('Données projet'!$B$13,Paramètres!$A$1:$I$89,3,0)*VLOOKUP('Données projet'!$B$13,Paramètres!$A$1:$I$89,5,0)</f>
        <v>-3.4760887501761321E-13</v>
      </c>
      <c r="CV107" s="14" t="e">
        <f t="shared" si="95"/>
        <v>#NUM!</v>
      </c>
      <c r="CW107" s="22" t="e">
        <f t="shared" si="67"/>
        <v>#NUM!</v>
      </c>
      <c r="CX107" s="60" t="e">
        <f t="shared" si="68"/>
        <v>#NUM!</v>
      </c>
      <c r="CY107" s="60">
        <f ca="1">AVERAGE(OFFSET($CX$3,0,0,'Données projet'!$E$13+1,1))-AVERAGE(OFFSET($H$3,0,0,'Données projet'!$E$13+1,1))</f>
        <v>228.0393346366489</v>
      </c>
      <c r="CZ107" s="60">
        <f t="shared" si="96"/>
        <v>238.591781509447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4.4000000000000004</v>
      </c>
      <c r="DO107" s="13">
        <f>IF('Données projet'!$A$166&gt;35,DO106+DN107-DW106,IF(A107&lt;'Données projet'!$A$166,$DL$205^A107,IF(A107='Données projet'!$A$166,'Données projet'!$B$166,DO106+DN107-DW106)))</f>
        <v>278.59999999999974</v>
      </c>
      <c r="DP107" s="18">
        <f>DO107*VLOOKUP('Données projet'!$B$14,Paramètres!$A$1:$I$89,3,0)*VLOOKUP('Données projet'!$B$14,Paramètres!$A$1:$I$89,5,0)</f>
        <v>252.07727999999975</v>
      </c>
      <c r="DQ107" s="14">
        <f t="shared" si="97"/>
        <v>61.03054465215493</v>
      </c>
      <c r="DR107" s="22">
        <f t="shared" si="70"/>
        <v>545.32946126916943</v>
      </c>
      <c r="DS107" s="60">
        <f t="shared" si="71"/>
        <v>838.6627946025028</v>
      </c>
      <c r="DT107" s="60">
        <f ca="1">AVERAGE(OFFSET($DS$3,0,0,'Données projet'!$E$14+1,1))-AVERAGE(OFFSET($H$3,0,0,'Données projet'!$E$14+1,1))</f>
        <v>303.73499739059076</v>
      </c>
      <c r="DU107" s="60">
        <f t="shared" si="98"/>
        <v>172.32171001882188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1.1368683772161603E-13</v>
      </c>
      <c r="EK107" s="18">
        <f>EJ107*VLOOKUP('Données projet'!$B$15,Paramètres!$A$1:$I$89,3,0)*VLOOKUP('Données projet'!$B$15,Paramètres!$A$1:$I$89,5,0)</f>
        <v>6.7984728957526396E-14</v>
      </c>
      <c r="EL107" s="14">
        <f t="shared" si="99"/>
        <v>1.0682447123141398E-12</v>
      </c>
      <c r="EM107" s="22">
        <f t="shared" si="73"/>
        <v>1.978932943548152E-12</v>
      </c>
      <c r="EN107" s="60">
        <f t="shared" si="74"/>
        <v>293.3333333333353</v>
      </c>
      <c r="EO107" s="60">
        <f ca="1">AVERAGE(OFFSET($EN$3,0,0,'Données projet'!$E$15+1,1))-AVERAGE(OFFSET($H$3,0,0,'Données projet'!$E$15+1,1))</f>
        <v>269.94948820700841</v>
      </c>
      <c r="EP107" s="60">
        <f t="shared" si="100"/>
        <v>183.45158355135192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1.7548241372695432</v>
      </c>
      <c r="EX107" s="23">
        <f>EXP(-LN(2)/2)*EX106+(1-EXP(-LN(2)/2))/(LN(2)/2)*ER107*EU107*VLOOKUP('Données projet'!$B$15,Paramètres!$A$1:$I$89,3,0)*0.475*44/12</f>
        <v>4.1022079570979889E-11</v>
      </c>
      <c r="EY107" s="24">
        <f t="shared" si="75"/>
        <v>1.7548241373105653</v>
      </c>
      <c r="EZ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>
        <f>FE107*VLOOKUP('Données projet'!$B$16,Paramètres!$A$1:$I$89,3,0)*VLOOKUP('Données projet'!$B$16,Paramètres!$A$1:$I$89,5,0)</f>
        <v>0</v>
      </c>
      <c r="FG107" s="14" t="e">
        <f t="shared" si="101"/>
        <v>#NUM!</v>
      </c>
      <c r="FH107" s="22" t="e">
        <f t="shared" si="76"/>
        <v>#NUM!</v>
      </c>
      <c r="FI107" s="60" t="e">
        <f t="shared" si="77"/>
        <v>#NUM!</v>
      </c>
      <c r="FJ107" s="60">
        <f ca="1">AVERAGE(OFFSET($FI$3,0,0,'Données projet'!$E$16+1,1))-AVERAGE(OFFSET($H$3,0,0,'Données projet'!$E$16+1,1))</f>
        <v>111.24788725253484</v>
      </c>
      <c r="FK107" s="60">
        <f t="shared" si="102"/>
        <v>82.434879813357327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projet'!$B$16,Paramètres!$A$1:$I$89,3,0)*0.475*44/12</f>
        <v>0</v>
      </c>
      <c r="FR107" s="23">
        <f>EXP(-LN(2)/25)*FR106+(1-EXP(-LN(2)/25))/(LN(2)/25)*Calculateur!FM107*Calculateur!FO107*VLOOKUP('Données projet'!$B$16,Paramètres!$A$1:$I$89,3,0)*0.475*44/12</f>
        <v>0</v>
      </c>
      <c r="FS107" s="23">
        <f>EXP(-LN(2)/2)*FS106+(1-EXP(-LN(2)/2))/(LN(2)/2)*FM107*FP107*VLOOKUP('Données projet'!$B$16,Paramètres!$A$1:$I$89,3,0)*0.475*44/12</f>
        <v>0</v>
      </c>
      <c r="FT107" s="24">
        <f t="shared" si="78"/>
        <v>0</v>
      </c>
      <c r="FU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1.0231815394945443E-12</v>
      </c>
      <c r="GA107" s="18">
        <f>FZ107*VLOOKUP('Données projet'!$B$17,Paramètres!$A$1:$I$89,3,0)*VLOOKUP('Données projet'!$B$17,Paramètres!$A$1:$I$89,5,0)</f>
        <v>4.5224624045658859E-13</v>
      </c>
      <c r="GB107" s="14">
        <f t="shared" si="103"/>
        <v>5.6995607121061449E-12</v>
      </c>
      <c r="GC107" s="22">
        <f t="shared" si="79"/>
        <v>1.0714397109046761E-11</v>
      </c>
      <c r="GD107" s="60">
        <f t="shared" si="80"/>
        <v>293.333333333344</v>
      </c>
      <c r="GE107" s="60">
        <f ca="1">AVERAGE(OFFSET($GD$3,0,0,'Données projet'!$E$17+1,1))-AVERAGE(OFFSET($H$3,0,0,'Données projet'!$E$17+1,1))</f>
        <v>323.56667371063662</v>
      </c>
      <c r="GF107" s="60">
        <f t="shared" si="104"/>
        <v>275.70373467723385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>
        <f>EXP(-LN(2)/35)*GL106+(1-EXP(-LN(2)/35))/(LN(2)/35)*GH107*GI107*VLOOKUP('Données projet'!$B$17,Paramètres!$A$1:$I$89,3,0)*0.475*44/12</f>
        <v>0</v>
      </c>
      <c r="GM107" s="23">
        <f>EXP(-LN(2)/25)*GM106+(1-EXP(-LN(2)/25))/(LN(2)/25)*Calculateur!GH107*Calculateur!GJ107*VLOOKUP('Données projet'!$B$17,Paramètres!$A$1:$I$89,3,0)*0.475*44/12</f>
        <v>0</v>
      </c>
      <c r="GN107" s="23">
        <f>EXP(-LN(2)/2)*GN106+(1-EXP(-LN(2)/2))/(LN(2)/2)*GH107*GK107*VLOOKUP('Données projet'!$B$17,Paramètres!$A$1:$I$89,3,0)*0.475*44/12</f>
        <v>0</v>
      </c>
      <c r="GO107" s="23">
        <f t="shared" si="81"/>
        <v>0</v>
      </c>
      <c r="GP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0" t="e">
        <f t="shared" si="83"/>
        <v>#N/A</v>
      </c>
      <c r="GZ107" s="60" t="e">
        <f ca="1">AVERAGE(OFFSET($GY$3,0,0,'Données projet'!$E$18+1,1))-AVERAGE(OFFSET($H$3,0,0,'Données projet'!$E$18+1,1))</f>
        <v>#N/A</v>
      </c>
      <c r="HA107" s="60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4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2">
        <f t="shared" si="86"/>
        <v>16.491431250436072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-1.1368683772161603E-13</v>
      </c>
      <c r="O108" s="14">
        <f>N108*VLOOKUP('Données projet'!$B$9,Paramètres!$A$1:$I$89,3,0)*VLOOKUP('Données projet'!$B$9,Paramètres!$A$1:$I$89,5,0)</f>
        <v>-6.7984728957526396E-14</v>
      </c>
      <c r="P108" s="14" t="e">
        <f t="shared" si="87"/>
        <v>#NUM!</v>
      </c>
      <c r="Q108" s="22" t="e">
        <f t="shared" si="107"/>
        <v>#NUM!</v>
      </c>
      <c r="R108" s="60" t="e">
        <f t="shared" si="55"/>
        <v>#NUM!</v>
      </c>
      <c r="S108" s="60">
        <f ca="1">AVERAGE(OFFSET($R$3,0,0,'Données projet'!$E$9+1,1))-AVERAGE(OFFSET($H$3,0,0,'Données projet'!$E$9+1,1))</f>
        <v>235.63766249714581</v>
      </c>
      <c r="T108" s="60">
        <f t="shared" si="88"/>
        <v>231.3297293785277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2.5979982955762084</v>
      </c>
      <c r="AA108" s="23">
        <f>EXP(-LN(2)/25)*AA107+(1-EXP(-LN(2)/25))/(LN(2)/25)*Calculateur!V108*Calculateur!X108*VLOOKUP('Données projet'!$B$9,Paramètres!$A$1:$I$89,3,0)*0.475*44/12</f>
        <v>2.1611190427701916</v>
      </c>
      <c r="AB108" s="23">
        <f>EXP(-LN(2)/2)*AB107+(1-EXP(-LN(2)/2))/(LN(2)/2)*V108*Y108*VLOOKUP('Données projet'!$B$9,Paramètres!$A$1:$I$89,3,0)*0.475*44/12</f>
        <v>3.6592602444803368E-11</v>
      </c>
      <c r="AC108" s="24">
        <f t="shared" si="57"/>
        <v>4.7591173383829926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4.4000000000000004</v>
      </c>
      <c r="AI108" s="14">
        <f>IF('Données projet'!$A$62&gt;35,AI107+AH108-AQ107,IF(A108&lt;'Données projet'!$A$62,$AF$205^A108,IF(A108='Données projet'!$A$62,'Données projet'!$B$62,AI107+AH108-AQ107)))</f>
        <v>282.99999999999972</v>
      </c>
      <c r="AJ108" s="14">
        <f>AI108*VLOOKUP('Données projet'!$B$10,Paramètres!$A$1:$I$89,3,0)*VLOOKUP('Données projet'!$B$10,Paramètres!$A$1:$I$89,5,0)</f>
        <v>286.9619999999997</v>
      </c>
      <c r="AK108" s="14">
        <f t="shared" si="89"/>
        <v>68.436169981717796</v>
      </c>
      <c r="AL108" s="22">
        <f t="shared" si="58"/>
        <v>618.98514605149137</v>
      </c>
      <c r="AM108" s="60">
        <f t="shared" si="59"/>
        <v>912.31847938482474</v>
      </c>
      <c r="AN108" s="60">
        <f ca="1">AVERAGE(OFFSET($AM$3,0,0,'Données projet'!$E$10+1,1))-AVERAGE(OFFSET($H$3,0,0,'Données projet'!$E$10+1,1))</f>
        <v>350.3652766444938</v>
      </c>
      <c r="AO108" s="60">
        <f t="shared" si="90"/>
        <v>197.04549436738586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6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4.4000000000000004</v>
      </c>
      <c r="BD108" s="13">
        <f>IF('Données projet'!$A$88&gt;35,BD107+BC108-BL107,IF(A108&lt;'Données projet'!$A$88,$BA$205^A108,IF(A108='Données projet'!$A$88,'Données projet'!$B$88,BD107+BC108-BL107)))</f>
        <v>282.99999999999972</v>
      </c>
      <c r="BE108" s="14">
        <f>BD108*VLOOKUP('Données projet'!$B$11,Paramètres!$A$1:$I$89,3,0)*VLOOKUP('Données projet'!$B$11,Paramètres!$A$1:$I$89,5,0)</f>
        <v>273.71759999999972</v>
      </c>
      <c r="BF108" s="14">
        <f t="shared" si="91"/>
        <v>65.637608810456612</v>
      </c>
      <c r="BG108" s="22">
        <f t="shared" si="61"/>
        <v>591.04365534487806</v>
      </c>
      <c r="BH108" s="60">
        <f t="shared" si="62"/>
        <v>884.37698867821132</v>
      </c>
      <c r="BI108" s="60">
        <f ca="1">AVERAGE(OFFSET($BH$3,0,0,'Données projet'!$E$11+1,1))-AVERAGE(OFFSET($H$3,0,0,'Données projet'!$E$11+1,1))</f>
        <v>330.39429528665841</v>
      </c>
      <c r="BJ108" s="60">
        <f t="shared" si="92"/>
        <v>186.45728006007261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>
        <f>VLOOKUP(A108,'Données projet'!$A$113:$I$133,2,0)</f>
        <v>301.28205128205127</v>
      </c>
      <c r="BW108" s="13">
        <f>VLOOKUP(A108,'Données projet'!$A$113:$I$133,9,0)</f>
        <v>3.2051282051282102</v>
      </c>
      <c r="BX108" s="13">
        <f t="array" ref="BX108">INDEX(BW:BW,MIN(IF(ISNUMBER(BW108:BW304),ROW(BW108:BW304),"")))</f>
        <v>3.2051282051282102</v>
      </c>
      <c r="BY108" s="13">
        <f>IF('Données projet'!$A$114&gt;35,BY107+BX108-CG107,IF(A108&lt;'Données projet'!$A$114,$BV$205^A108,IF(A108='Données projet'!$A$114,'Données projet'!$B$114,BY107+BX108-CG107)))</f>
        <v>301.28205128205155</v>
      </c>
      <c r="BZ108" s="14">
        <f>BY108*VLOOKUP('Données projet'!$B$12,Paramètres!$A$1:$I$89,3,0)*VLOOKUP('Données projet'!$B$12,Paramètres!$A$1:$I$89,5,0)</f>
        <v>202.10000000000016</v>
      </c>
      <c r="CA108" s="14">
        <f t="shared" si="93"/>
        <v>50.205403227941737</v>
      </c>
      <c r="CB108" s="22">
        <f t="shared" si="64"/>
        <v>439.43191062199884</v>
      </c>
      <c r="CC108" s="60">
        <f t="shared" si="65"/>
        <v>732.76524395533215</v>
      </c>
      <c r="CD108" s="60">
        <f ca="1">AVERAGE(OFFSET($CC$3,0,0,'Données projet'!$E$12+1,1))-AVERAGE(OFFSET($H$3,0,0,'Données projet'!$E$12+1,1))</f>
        <v>212.33913923444732</v>
      </c>
      <c r="CE108" s="60">
        <f t="shared" si="94"/>
        <v>183.51194426094372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-3.979039320256561E-13</v>
      </c>
      <c r="CU108" s="18">
        <f>CT108*VLOOKUP('Données projet'!$B$13,Paramètres!$A$1:$I$89,3,0)*VLOOKUP('Données projet'!$B$13,Paramètres!$A$1:$I$89,5,0)</f>
        <v>-3.4760887501761321E-13</v>
      </c>
      <c r="CV108" s="14" t="e">
        <f t="shared" si="95"/>
        <v>#NUM!</v>
      </c>
      <c r="CW108" s="22" t="e">
        <f t="shared" si="67"/>
        <v>#NUM!</v>
      </c>
      <c r="CX108" s="60" t="e">
        <f t="shared" si="68"/>
        <v>#NUM!</v>
      </c>
      <c r="CY108" s="60">
        <f ca="1">AVERAGE(OFFSET($CX$3,0,0,'Données projet'!$E$13+1,1))-AVERAGE(OFFSET($H$3,0,0,'Données projet'!$E$13+1,1))</f>
        <v>228.0393346366489</v>
      </c>
      <c r="CZ108" s="60">
        <f t="shared" si="96"/>
        <v>238.591781509447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4.4000000000000004</v>
      </c>
      <c r="DO108" s="13">
        <f>IF('Données projet'!$A$166&gt;35,DO107+DN108-DW107,IF(A108&lt;'Données projet'!$A$166,$DL$205^A108,IF(A108='Données projet'!$A$166,'Données projet'!$B$166,DO107+DN108-DW107)))</f>
        <v>282.99999999999972</v>
      </c>
      <c r="DP108" s="18">
        <f>DO108*VLOOKUP('Données projet'!$B$14,Paramètres!$A$1:$I$89,3,0)*VLOOKUP('Données projet'!$B$14,Paramètres!$A$1:$I$89,5,0)</f>
        <v>256.05839999999972</v>
      </c>
      <c r="DQ108" s="14">
        <f t="shared" si="97"/>
        <v>61.881442594256434</v>
      </c>
      <c r="DR108" s="22">
        <f t="shared" si="70"/>
        <v>553.74522585166278</v>
      </c>
      <c r="DS108" s="60">
        <f t="shared" si="71"/>
        <v>847.07855918499604</v>
      </c>
      <c r="DT108" s="60">
        <f ca="1">AVERAGE(OFFSET($DS$3,0,0,'Données projet'!$E$14+1,1))-AVERAGE(OFFSET($H$3,0,0,'Données projet'!$E$14+1,1))</f>
        <v>303.73499739059076</v>
      </c>
      <c r="DU108" s="60">
        <f t="shared" si="98"/>
        <v>172.32171001882188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1.1368683772161603E-13</v>
      </c>
      <c r="EK108" s="18">
        <f>EJ108*VLOOKUP('Données projet'!$B$15,Paramètres!$A$1:$I$89,3,0)*VLOOKUP('Données projet'!$B$15,Paramètres!$A$1:$I$89,5,0)</f>
        <v>6.7984728957526396E-14</v>
      </c>
      <c r="EL108" s="14">
        <f t="shared" si="99"/>
        <v>1.0682447123141398E-12</v>
      </c>
      <c r="EM108" s="22">
        <f t="shared" si="73"/>
        <v>1.978932943548152E-12</v>
      </c>
      <c r="EN108" s="60">
        <f t="shared" si="74"/>
        <v>293.3333333333353</v>
      </c>
      <c r="EO108" s="60">
        <f ca="1">AVERAGE(OFFSET($EN$3,0,0,'Données projet'!$E$15+1,1))-AVERAGE(OFFSET($H$3,0,0,'Données projet'!$E$15+1,1))</f>
        <v>269.94948820700841</v>
      </c>
      <c r="EP108" s="60">
        <f t="shared" si="100"/>
        <v>183.45158355135192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1.7068383789537169</v>
      </c>
      <c r="EX108" s="23">
        <f>EXP(-LN(2)/2)*EX107+(1-EXP(-LN(2)/2))/(LN(2)/2)*ER108*EU108*VLOOKUP('Données projet'!$B$15,Paramètres!$A$1:$I$89,3,0)*0.475*44/12</f>
        <v>2.9006990643014022E-11</v>
      </c>
      <c r="EY108" s="24">
        <f t="shared" si="75"/>
        <v>1.7068383789827239</v>
      </c>
      <c r="EZ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>
        <f>FE108*VLOOKUP('Données projet'!$B$16,Paramètres!$A$1:$I$89,3,0)*VLOOKUP('Données projet'!$B$16,Paramètres!$A$1:$I$89,5,0)</f>
        <v>0</v>
      </c>
      <c r="FG108" s="14" t="e">
        <f t="shared" si="101"/>
        <v>#NUM!</v>
      </c>
      <c r="FH108" s="22" t="e">
        <f t="shared" si="76"/>
        <v>#NUM!</v>
      </c>
      <c r="FI108" s="60" t="e">
        <f t="shared" si="77"/>
        <v>#NUM!</v>
      </c>
      <c r="FJ108" s="60">
        <f ca="1">AVERAGE(OFFSET($FI$3,0,0,'Données projet'!$E$16+1,1))-AVERAGE(OFFSET($H$3,0,0,'Données projet'!$E$16+1,1))</f>
        <v>111.24788725253484</v>
      </c>
      <c r="FK108" s="60">
        <f t="shared" si="102"/>
        <v>82.434879813357327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projet'!$B$16,Paramètres!$A$1:$I$89,3,0)*0.475*44/12</f>
        <v>0</v>
      </c>
      <c r="FR108" s="23">
        <f>EXP(-LN(2)/25)*FR107+(1-EXP(-LN(2)/25))/(LN(2)/25)*Calculateur!FM108*Calculateur!FO108*VLOOKUP('Données projet'!$B$16,Paramètres!$A$1:$I$89,3,0)*0.475*44/12</f>
        <v>0</v>
      </c>
      <c r="FS108" s="23">
        <f>EXP(-LN(2)/2)*FS107+(1-EXP(-LN(2)/2))/(LN(2)/2)*FM108*FP108*VLOOKUP('Données projet'!$B$16,Paramètres!$A$1:$I$89,3,0)*0.475*44/12</f>
        <v>0</v>
      </c>
      <c r="FT108" s="24">
        <f t="shared" si="78"/>
        <v>0</v>
      </c>
      <c r="FU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1.0231815394945443E-12</v>
      </c>
      <c r="GA108" s="18">
        <f>FZ108*VLOOKUP('Données projet'!$B$17,Paramètres!$A$1:$I$89,3,0)*VLOOKUP('Données projet'!$B$17,Paramètres!$A$1:$I$89,5,0)</f>
        <v>4.5224624045658859E-13</v>
      </c>
      <c r="GB108" s="14">
        <f t="shared" si="103"/>
        <v>5.6995607121061449E-12</v>
      </c>
      <c r="GC108" s="22">
        <f t="shared" si="79"/>
        <v>1.0714397109046761E-11</v>
      </c>
      <c r="GD108" s="60">
        <f t="shared" si="80"/>
        <v>293.333333333344</v>
      </c>
      <c r="GE108" s="60">
        <f ca="1">AVERAGE(OFFSET($GD$3,0,0,'Données projet'!$E$17+1,1))-AVERAGE(OFFSET($H$3,0,0,'Données projet'!$E$17+1,1))</f>
        <v>323.56667371063662</v>
      </c>
      <c r="GF108" s="60">
        <f t="shared" si="104"/>
        <v>275.70373467723385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>
        <f>EXP(-LN(2)/35)*GL107+(1-EXP(-LN(2)/35))/(LN(2)/35)*GH108*GI108*VLOOKUP('Données projet'!$B$17,Paramètres!$A$1:$I$89,3,0)*0.475*44/12</f>
        <v>0</v>
      </c>
      <c r="GM108" s="23">
        <f>EXP(-LN(2)/25)*GM107+(1-EXP(-LN(2)/25))/(LN(2)/25)*Calculateur!GH108*Calculateur!GJ108*VLOOKUP('Données projet'!$B$17,Paramètres!$A$1:$I$89,3,0)*0.475*44/12</f>
        <v>0</v>
      </c>
      <c r="GN108" s="23">
        <f>EXP(-LN(2)/2)*GN107+(1-EXP(-LN(2)/2))/(LN(2)/2)*GH108*GK108*VLOOKUP('Données projet'!$B$17,Paramètres!$A$1:$I$89,3,0)*0.475*44/12</f>
        <v>0</v>
      </c>
      <c r="GO108" s="23">
        <f t="shared" si="81"/>
        <v>0</v>
      </c>
      <c r="GP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0" t="e">
        <f t="shared" si="83"/>
        <v>#N/A</v>
      </c>
      <c r="GZ108" s="60" t="e">
        <f ca="1">AVERAGE(OFFSET($GY$3,0,0,'Données projet'!$E$18+1,1))-AVERAGE(OFFSET($H$3,0,0,'Données projet'!$E$18+1,1))</f>
        <v>#N/A</v>
      </c>
      <c r="HA108" s="60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4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2">
        <f t="shared" si="86"/>
        <v>16.630133918805559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-1.1368683772161603E-13</v>
      </c>
      <c r="O109" s="14">
        <f>N109*VLOOKUP('Données projet'!$B$9,Paramètres!$A$1:$I$89,3,0)*VLOOKUP('Données projet'!$B$9,Paramètres!$A$1:$I$89,5,0)</f>
        <v>-6.7984728957526396E-14</v>
      </c>
      <c r="P109" s="14" t="e">
        <f t="shared" si="87"/>
        <v>#NUM!</v>
      </c>
      <c r="Q109" s="22" t="e">
        <f t="shared" si="107"/>
        <v>#NUM!</v>
      </c>
      <c r="R109" s="60" t="e">
        <f t="shared" si="55"/>
        <v>#NUM!</v>
      </c>
      <c r="S109" s="60">
        <f ca="1">AVERAGE(OFFSET($R$3,0,0,'Données projet'!$E$9+1,1))-AVERAGE(OFFSET($H$3,0,0,'Données projet'!$E$9+1,1))</f>
        <v>235.63766249714581</v>
      </c>
      <c r="T109" s="60">
        <f t="shared" si="88"/>
        <v>231.3297293785277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2.5470531336224509</v>
      </c>
      <c r="AA109" s="23">
        <f>EXP(-LN(2)/25)*AA108+(1-EXP(-LN(2)/25))/(LN(2)/25)*Calculateur!V109*Calculateur!X109*VLOOKUP('Données projet'!$B$9,Paramètres!$A$1:$I$89,3,0)*0.475*44/12</f>
        <v>2.1020231288973297</v>
      </c>
      <c r="AB109" s="23">
        <f>EXP(-LN(2)/2)*AB108+(1-EXP(-LN(2)/2))/(LN(2)/2)*V109*Y109*VLOOKUP('Données projet'!$B$9,Paramètres!$A$1:$I$89,3,0)*0.475*44/12</f>
        <v>2.5874877329983899E-11</v>
      </c>
      <c r="AC109" s="24">
        <f t="shared" si="57"/>
        <v>4.6490762625456563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4.4000000000000004</v>
      </c>
      <c r="AI109" s="14">
        <f>IF('Données projet'!$A$62&gt;35,AI108+AH109-AQ108,IF(A109&lt;'Données projet'!$A$62,$AF$205^A109,IF(A109='Données projet'!$A$62,'Données projet'!$B$62,AI108+AH109-AQ108)))</f>
        <v>287.39999999999969</v>
      </c>
      <c r="AJ109" s="14">
        <f>AI109*VLOOKUP('Données projet'!$B$10,Paramètres!$A$1:$I$89,3,0)*VLOOKUP('Données projet'!$B$10,Paramètres!$A$1:$I$89,5,0)</f>
        <v>291.42359999999968</v>
      </c>
      <c r="AK109" s="14">
        <f t="shared" si="89"/>
        <v>69.375496841482104</v>
      </c>
      <c r="AL109" s="22">
        <f t="shared" si="58"/>
        <v>628.39176033224737</v>
      </c>
      <c r="AM109" s="60">
        <f t="shared" si="59"/>
        <v>921.72509366558074</v>
      </c>
      <c r="AN109" s="60">
        <f ca="1">AVERAGE(OFFSET($AM$3,0,0,'Données projet'!$E$10+1,1))-AVERAGE(OFFSET($H$3,0,0,'Données projet'!$E$10+1,1))</f>
        <v>350.3652766444938</v>
      </c>
      <c r="AO109" s="60">
        <f t="shared" si="90"/>
        <v>197.04549436738586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6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4.4000000000000004</v>
      </c>
      <c r="BD109" s="13">
        <f>IF('Données projet'!$A$88&gt;35,BD108+BC109-BL108,IF(A109&lt;'Données projet'!$A$88,$BA$205^A109,IF(A109='Données projet'!$A$88,'Données projet'!$B$88,BD108+BC109-BL108)))</f>
        <v>287.39999999999969</v>
      </c>
      <c r="BE109" s="14">
        <f>BD109*VLOOKUP('Données projet'!$B$11,Paramètres!$A$1:$I$89,3,0)*VLOOKUP('Données projet'!$B$11,Paramètres!$A$1:$I$89,5,0)</f>
        <v>277.9732799999997</v>
      </c>
      <c r="BF109" s="14">
        <f t="shared" si="91"/>
        <v>66.538523764973135</v>
      </c>
      <c r="BG109" s="22">
        <f t="shared" si="61"/>
        <v>600.0247248906611</v>
      </c>
      <c r="BH109" s="60">
        <f t="shared" si="62"/>
        <v>893.35805822399448</v>
      </c>
      <c r="BI109" s="60">
        <f ca="1">AVERAGE(OFFSET($BH$3,0,0,'Données projet'!$E$11+1,1))-AVERAGE(OFFSET($H$3,0,0,'Données projet'!$E$11+1,1))</f>
        <v>330.39429528665841</v>
      </c>
      <c r="BJ109" s="60">
        <f t="shared" si="92"/>
        <v>186.45728006007261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3.333333333333337</v>
      </c>
      <c r="BY109" s="13">
        <f>IF('Données projet'!$A$114&gt;35,BY108+BX109-CG108,IF(A109&lt;'Données projet'!$A$114,$BV$205^A109,IF(A109='Données projet'!$A$114,'Données projet'!$B$114,BY108+BX109-CG108)))</f>
        <v>304.61538461538487</v>
      </c>
      <c r="BZ109" s="14">
        <f>BY109*VLOOKUP('Données projet'!$B$12,Paramètres!$A$1:$I$89,3,0)*VLOOKUP('Données projet'!$B$12,Paramètres!$A$1:$I$89,5,0)</f>
        <v>204.33600000000018</v>
      </c>
      <c r="CA109" s="14">
        <f t="shared" si="93"/>
        <v>50.695896504938347</v>
      </c>
      <c r="CB109" s="22">
        <f t="shared" si="64"/>
        <v>444.18055307943456</v>
      </c>
      <c r="CC109" s="60">
        <f t="shared" si="65"/>
        <v>737.51388641276787</v>
      </c>
      <c r="CD109" s="60">
        <f ca="1">AVERAGE(OFFSET($CC$3,0,0,'Données projet'!$E$12+1,1))-AVERAGE(OFFSET($H$3,0,0,'Données projet'!$E$12+1,1))</f>
        <v>212.33913923444732</v>
      </c>
      <c r="CE109" s="60">
        <f t="shared" si="94"/>
        <v>183.51194426094372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-3.979039320256561E-13</v>
      </c>
      <c r="CU109" s="18">
        <f>CT109*VLOOKUP('Données projet'!$B$13,Paramètres!$A$1:$I$89,3,0)*VLOOKUP('Données projet'!$B$13,Paramètres!$A$1:$I$89,5,0)</f>
        <v>-3.4760887501761321E-13</v>
      </c>
      <c r="CV109" s="14" t="e">
        <f t="shared" si="95"/>
        <v>#NUM!</v>
      </c>
      <c r="CW109" s="22" t="e">
        <f t="shared" si="67"/>
        <v>#NUM!</v>
      </c>
      <c r="CX109" s="60" t="e">
        <f t="shared" si="68"/>
        <v>#NUM!</v>
      </c>
      <c r="CY109" s="60">
        <f ca="1">AVERAGE(OFFSET($CX$3,0,0,'Données projet'!$E$13+1,1))-AVERAGE(OFFSET($H$3,0,0,'Données projet'!$E$13+1,1))</f>
        <v>228.0393346366489</v>
      </c>
      <c r="CZ109" s="60">
        <f t="shared" si="96"/>
        <v>238.591781509447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4.4000000000000004</v>
      </c>
      <c r="DO109" s="13">
        <f>IF('Données projet'!$A$166&gt;35,DO108+DN109-DW108,IF(A109&lt;'Données projet'!$A$166,$DL$205^A109,IF(A109='Données projet'!$A$166,'Données projet'!$B$166,DO108+DN109-DW108)))</f>
        <v>287.39999999999969</v>
      </c>
      <c r="DP109" s="18">
        <f>DO109*VLOOKUP('Données projet'!$B$14,Paramètres!$A$1:$I$89,3,0)*VLOOKUP('Données projet'!$B$14,Paramètres!$A$1:$I$89,5,0)</f>
        <v>260.0395199999997</v>
      </c>
      <c r="DQ109" s="14">
        <f t="shared" si="97"/>
        <v>62.730801948604821</v>
      </c>
      <c r="DR109" s="22">
        <f t="shared" si="70"/>
        <v>562.15831072715287</v>
      </c>
      <c r="DS109" s="60">
        <f t="shared" si="71"/>
        <v>855.49164406048612</v>
      </c>
      <c r="DT109" s="60">
        <f ca="1">AVERAGE(OFFSET($DS$3,0,0,'Données projet'!$E$14+1,1))-AVERAGE(OFFSET($H$3,0,0,'Données projet'!$E$14+1,1))</f>
        <v>303.73499739059076</v>
      </c>
      <c r="DU109" s="60">
        <f t="shared" si="98"/>
        <v>172.32171001882188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1.1368683772161603E-13</v>
      </c>
      <c r="EK109" s="18">
        <f>EJ109*VLOOKUP('Données projet'!$B$15,Paramètres!$A$1:$I$89,3,0)*VLOOKUP('Données projet'!$B$15,Paramètres!$A$1:$I$89,5,0)</f>
        <v>6.7984728957526396E-14</v>
      </c>
      <c r="EL109" s="14">
        <f t="shared" si="99"/>
        <v>1.0682447123141398E-12</v>
      </c>
      <c r="EM109" s="22">
        <f t="shared" si="73"/>
        <v>1.978932943548152E-12</v>
      </c>
      <c r="EN109" s="60">
        <f t="shared" si="74"/>
        <v>293.3333333333353</v>
      </c>
      <c r="EO109" s="60">
        <f ca="1">AVERAGE(OFFSET($EN$3,0,0,'Données projet'!$E$15+1,1))-AVERAGE(OFFSET($H$3,0,0,'Données projet'!$E$15+1,1))</f>
        <v>269.94948820700841</v>
      </c>
      <c r="EP109" s="60">
        <f t="shared" si="100"/>
        <v>183.45158355135192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1.6601647937224981</v>
      </c>
      <c r="EX109" s="23">
        <f>EXP(-LN(2)/2)*EX108+(1-EXP(-LN(2)/2))/(LN(2)/2)*ER109*EU109*VLOOKUP('Données projet'!$B$15,Paramètres!$A$1:$I$89,3,0)*0.475*44/12</f>
        <v>2.0511039785489948E-11</v>
      </c>
      <c r="EY109" s="24">
        <f t="shared" si="75"/>
        <v>1.6601647937430093</v>
      </c>
      <c r="EZ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>
        <f>FE109*VLOOKUP('Données projet'!$B$16,Paramètres!$A$1:$I$89,3,0)*VLOOKUP('Données projet'!$B$16,Paramètres!$A$1:$I$89,5,0)</f>
        <v>0</v>
      </c>
      <c r="FG109" s="14" t="e">
        <f t="shared" si="101"/>
        <v>#NUM!</v>
      </c>
      <c r="FH109" s="22" t="e">
        <f t="shared" si="76"/>
        <v>#NUM!</v>
      </c>
      <c r="FI109" s="60" t="e">
        <f t="shared" si="77"/>
        <v>#NUM!</v>
      </c>
      <c r="FJ109" s="60">
        <f ca="1">AVERAGE(OFFSET($FI$3,0,0,'Données projet'!$E$16+1,1))-AVERAGE(OFFSET($H$3,0,0,'Données projet'!$E$16+1,1))</f>
        <v>111.24788725253484</v>
      </c>
      <c r="FK109" s="60">
        <f t="shared" si="102"/>
        <v>82.434879813357327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projet'!$B$16,Paramètres!$A$1:$I$89,3,0)*0.475*44/12</f>
        <v>0</v>
      </c>
      <c r="FR109" s="23">
        <f>EXP(-LN(2)/25)*FR108+(1-EXP(-LN(2)/25))/(LN(2)/25)*Calculateur!FM109*Calculateur!FO109*VLOOKUP('Données projet'!$B$16,Paramètres!$A$1:$I$89,3,0)*0.475*44/12</f>
        <v>0</v>
      </c>
      <c r="FS109" s="23">
        <f>EXP(-LN(2)/2)*FS108+(1-EXP(-LN(2)/2))/(LN(2)/2)*FM109*FP109*VLOOKUP('Données projet'!$B$16,Paramètres!$A$1:$I$89,3,0)*0.475*44/12</f>
        <v>0</v>
      </c>
      <c r="FT109" s="24">
        <f t="shared" si="78"/>
        <v>0</v>
      </c>
      <c r="FU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1.0231815394945443E-12</v>
      </c>
      <c r="GA109" s="18">
        <f>FZ109*VLOOKUP('Données projet'!$B$17,Paramètres!$A$1:$I$89,3,0)*VLOOKUP('Données projet'!$B$17,Paramètres!$A$1:$I$89,5,0)</f>
        <v>4.5224624045658859E-13</v>
      </c>
      <c r="GB109" s="14">
        <f t="shared" si="103"/>
        <v>5.6995607121061449E-12</v>
      </c>
      <c r="GC109" s="22">
        <f t="shared" si="79"/>
        <v>1.0714397109046761E-11</v>
      </c>
      <c r="GD109" s="60">
        <f t="shared" si="80"/>
        <v>293.333333333344</v>
      </c>
      <c r="GE109" s="60">
        <f ca="1">AVERAGE(OFFSET($GD$3,0,0,'Données projet'!$E$17+1,1))-AVERAGE(OFFSET($H$3,0,0,'Données projet'!$E$17+1,1))</f>
        <v>323.56667371063662</v>
      </c>
      <c r="GF109" s="60">
        <f t="shared" si="104"/>
        <v>275.70373467723385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>
        <f>EXP(-LN(2)/35)*GL108+(1-EXP(-LN(2)/35))/(LN(2)/35)*GH109*GI109*VLOOKUP('Données projet'!$B$17,Paramètres!$A$1:$I$89,3,0)*0.475*44/12</f>
        <v>0</v>
      </c>
      <c r="GM109" s="23">
        <f>EXP(-LN(2)/25)*GM108+(1-EXP(-LN(2)/25))/(LN(2)/25)*Calculateur!GH109*Calculateur!GJ109*VLOOKUP('Données projet'!$B$17,Paramètres!$A$1:$I$89,3,0)*0.475*44/12</f>
        <v>0</v>
      </c>
      <c r="GN109" s="23">
        <f>EXP(-LN(2)/2)*GN108+(1-EXP(-LN(2)/2))/(LN(2)/2)*GH109*GK109*VLOOKUP('Données projet'!$B$17,Paramètres!$A$1:$I$89,3,0)*0.475*44/12</f>
        <v>0</v>
      </c>
      <c r="GO109" s="23">
        <f t="shared" si="81"/>
        <v>0</v>
      </c>
      <c r="GP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0" t="e">
        <f t="shared" si="83"/>
        <v>#N/A</v>
      </c>
      <c r="GZ109" s="60" t="e">
        <f ca="1">AVERAGE(OFFSET($GY$3,0,0,'Données projet'!$E$18+1,1))-AVERAGE(OFFSET($H$3,0,0,'Données projet'!$E$18+1,1))</f>
        <v>#N/A</v>
      </c>
      <c r="HA109" s="60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4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2">
        <f t="shared" si="86"/>
        <v>16.768684357151628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-1.1368683772161603E-13</v>
      </c>
      <c r="O110" s="14">
        <f>N110*VLOOKUP('Données projet'!$B$9,Paramètres!$A$1:$I$89,3,0)*VLOOKUP('Données projet'!$B$9,Paramètres!$A$1:$I$89,5,0)</f>
        <v>-6.7984728957526396E-14</v>
      </c>
      <c r="P110" s="14" t="e">
        <f t="shared" si="87"/>
        <v>#NUM!</v>
      </c>
      <c r="Q110" s="22" t="e">
        <f t="shared" si="107"/>
        <v>#NUM!</v>
      </c>
      <c r="R110" s="60" t="e">
        <f t="shared" si="55"/>
        <v>#NUM!</v>
      </c>
      <c r="S110" s="60">
        <f ca="1">AVERAGE(OFFSET($R$3,0,0,'Données projet'!$E$9+1,1))-AVERAGE(OFFSET($H$3,0,0,'Données projet'!$E$9+1,1))</f>
        <v>235.63766249714581</v>
      </c>
      <c r="T110" s="60">
        <f t="shared" si="88"/>
        <v>231.3297293785277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2.4971069752211261</v>
      </c>
      <c r="AA110" s="23">
        <f>EXP(-LN(2)/25)*AA109+(1-EXP(-LN(2)/25))/(LN(2)/25)*Calculateur!V110*Calculateur!X110*VLOOKUP('Données projet'!$B$9,Paramètres!$A$1:$I$89,3,0)*0.475*44/12</f>
        <v>2.0445431958970399</v>
      </c>
      <c r="AB110" s="23">
        <f>EXP(-LN(2)/2)*AB109+(1-EXP(-LN(2)/2))/(LN(2)/2)*V110*Y110*VLOOKUP('Données projet'!$B$9,Paramètres!$A$1:$I$89,3,0)*0.475*44/12</f>
        <v>1.8296301222401684E-11</v>
      </c>
      <c r="AC110" s="24">
        <f t="shared" si="57"/>
        <v>4.5416501711364621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4.4000000000000004</v>
      </c>
      <c r="AI110" s="14">
        <f>IF('Données projet'!$A$62&gt;35,AI109+AH110-AQ109,IF(A110&lt;'Données projet'!$A$62,$AF$205^A110,IF(A110='Données projet'!$A$62,'Données projet'!$B$62,AI109+AH110-AQ109)))</f>
        <v>291.79999999999967</v>
      </c>
      <c r="AJ110" s="14">
        <f>AI110*VLOOKUP('Données projet'!$B$10,Paramètres!$A$1:$I$89,3,0)*VLOOKUP('Données projet'!$B$10,Paramètres!$A$1:$I$89,5,0)</f>
        <v>295.88519999999966</v>
      </c>
      <c r="AK110" s="14">
        <f t="shared" si="89"/>
        <v>70.313151199178748</v>
      </c>
      <c r="AL110" s="22">
        <f t="shared" si="58"/>
        <v>637.79546167190244</v>
      </c>
      <c r="AM110" s="60">
        <f t="shared" si="59"/>
        <v>931.12879500523582</v>
      </c>
      <c r="AN110" s="60">
        <f ca="1">AVERAGE(OFFSET($AM$3,0,0,'Données projet'!$E$10+1,1))-AVERAGE(OFFSET($H$3,0,0,'Données projet'!$E$10+1,1))</f>
        <v>350.3652766444938</v>
      </c>
      <c r="AO110" s="60">
        <f t="shared" si="90"/>
        <v>197.04549436738586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6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4.4000000000000004</v>
      </c>
      <c r="BD110" s="13">
        <f>IF('Données projet'!$A$88&gt;35,BD109+BC110-BL109,IF(A110&lt;'Données projet'!$A$88,$BA$205^A110,IF(A110='Données projet'!$A$88,'Données projet'!$B$88,BD109+BC110-BL109)))</f>
        <v>291.79999999999967</v>
      </c>
      <c r="BE110" s="14">
        <f>BD110*VLOOKUP('Données projet'!$B$11,Paramètres!$A$1:$I$89,3,0)*VLOOKUP('Données projet'!$B$11,Paramètres!$A$1:$I$89,5,0)</f>
        <v>282.22895999999969</v>
      </c>
      <c r="BF110" s="14">
        <f t="shared" si="91"/>
        <v>67.437834611070301</v>
      </c>
      <c r="BG110" s="22">
        <f t="shared" si="61"/>
        <v>609.00300061428027</v>
      </c>
      <c r="BH110" s="60">
        <f t="shared" si="62"/>
        <v>902.33633394761364</v>
      </c>
      <c r="BI110" s="60">
        <f ca="1">AVERAGE(OFFSET($BH$3,0,0,'Données projet'!$E$11+1,1))-AVERAGE(OFFSET($H$3,0,0,'Données projet'!$E$11+1,1))</f>
        <v>330.39429528665841</v>
      </c>
      <c r="BJ110" s="60">
        <f t="shared" si="92"/>
        <v>186.45728006007261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3.333333333333337</v>
      </c>
      <c r="BY110" s="13">
        <f>IF('Données projet'!$A$114&gt;35,BY109+BX110-CG109,IF(A110&lt;'Données projet'!$A$114,$BV$205^A110,IF(A110='Données projet'!$A$114,'Données projet'!$B$114,BY109+BX110-CG109)))</f>
        <v>307.94871794871818</v>
      </c>
      <c r="BZ110" s="14">
        <f>BY110*VLOOKUP('Données projet'!$B$12,Paramètres!$A$1:$I$89,3,0)*VLOOKUP('Données projet'!$B$12,Paramètres!$A$1:$I$89,5,0)</f>
        <v>206.57200000000014</v>
      </c>
      <c r="CA110" s="14">
        <f t="shared" si="93"/>
        <v>51.185765406859268</v>
      </c>
      <c r="CB110" s="22">
        <f t="shared" si="64"/>
        <v>448.92810808361338</v>
      </c>
      <c r="CC110" s="60">
        <f t="shared" si="65"/>
        <v>742.2614414169467</v>
      </c>
      <c r="CD110" s="60">
        <f ca="1">AVERAGE(OFFSET($CC$3,0,0,'Données projet'!$E$12+1,1))-AVERAGE(OFFSET($H$3,0,0,'Données projet'!$E$12+1,1))</f>
        <v>212.33913923444732</v>
      </c>
      <c r="CE110" s="60">
        <f t="shared" si="94"/>
        <v>183.51194426094372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-3.979039320256561E-13</v>
      </c>
      <c r="CU110" s="18">
        <f>CT110*VLOOKUP('Données projet'!$B$13,Paramètres!$A$1:$I$89,3,0)*VLOOKUP('Données projet'!$B$13,Paramètres!$A$1:$I$89,5,0)</f>
        <v>-3.4760887501761321E-13</v>
      </c>
      <c r="CV110" s="14" t="e">
        <f t="shared" si="95"/>
        <v>#NUM!</v>
      </c>
      <c r="CW110" s="22" t="e">
        <f t="shared" si="67"/>
        <v>#NUM!</v>
      </c>
      <c r="CX110" s="60" t="e">
        <f t="shared" si="68"/>
        <v>#NUM!</v>
      </c>
      <c r="CY110" s="60">
        <f ca="1">AVERAGE(OFFSET($CX$3,0,0,'Données projet'!$E$13+1,1))-AVERAGE(OFFSET($H$3,0,0,'Données projet'!$E$13+1,1))</f>
        <v>228.0393346366489</v>
      </c>
      <c r="CZ110" s="60">
        <f t="shared" si="96"/>
        <v>238.591781509447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4.4000000000000004</v>
      </c>
      <c r="DO110" s="13">
        <f>IF('Données projet'!$A$166&gt;35,DO109+DN110-DW109,IF(A110&lt;'Données projet'!$A$166,$DL$205^A110,IF(A110='Données projet'!$A$166,'Données projet'!$B$166,DO109+DN110-DW109)))</f>
        <v>291.79999999999967</v>
      </c>
      <c r="DP110" s="18">
        <f>DO110*VLOOKUP('Données projet'!$B$14,Paramètres!$A$1:$I$89,3,0)*VLOOKUP('Données projet'!$B$14,Paramètres!$A$1:$I$89,5,0)</f>
        <v>264.02063999999967</v>
      </c>
      <c r="DQ110" s="14">
        <f t="shared" si="97"/>
        <v>63.57864899095906</v>
      </c>
      <c r="DR110" s="22">
        <f t="shared" si="70"/>
        <v>570.56876165925303</v>
      </c>
      <c r="DS110" s="60">
        <f t="shared" si="71"/>
        <v>863.9020949925864</v>
      </c>
      <c r="DT110" s="60">
        <f ca="1">AVERAGE(OFFSET($DS$3,0,0,'Données projet'!$E$14+1,1))-AVERAGE(OFFSET($H$3,0,0,'Données projet'!$E$14+1,1))</f>
        <v>303.73499739059076</v>
      </c>
      <c r="DU110" s="60">
        <f t="shared" si="98"/>
        <v>172.32171001882188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1.1368683772161603E-13</v>
      </c>
      <c r="EK110" s="18">
        <f>EJ110*VLOOKUP('Données projet'!$B$15,Paramètres!$A$1:$I$89,3,0)*VLOOKUP('Données projet'!$B$15,Paramètres!$A$1:$I$89,5,0)</f>
        <v>6.7984728957526396E-14</v>
      </c>
      <c r="EL110" s="14">
        <f t="shared" si="99"/>
        <v>1.0682447123141398E-12</v>
      </c>
      <c r="EM110" s="22">
        <f t="shared" si="73"/>
        <v>1.978932943548152E-12</v>
      </c>
      <c r="EN110" s="60">
        <f t="shared" si="74"/>
        <v>293.3333333333353</v>
      </c>
      <c r="EO110" s="60">
        <f ca="1">AVERAGE(OFFSET($EN$3,0,0,'Données projet'!$E$15+1,1))-AVERAGE(OFFSET($H$3,0,0,'Données projet'!$E$15+1,1))</f>
        <v>269.94948820700841</v>
      </c>
      <c r="EP110" s="60">
        <f t="shared" si="100"/>
        <v>183.45158355135192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1.6147675001338844</v>
      </c>
      <c r="EX110" s="23">
        <f>EXP(-LN(2)/2)*EX109+(1-EXP(-LN(2)/2))/(LN(2)/2)*ER110*EU110*VLOOKUP('Données projet'!$B$15,Paramètres!$A$1:$I$89,3,0)*0.475*44/12</f>
        <v>1.4503495321507012E-11</v>
      </c>
      <c r="EY110" s="24">
        <f t="shared" si="75"/>
        <v>1.6147675001483879</v>
      </c>
      <c r="EZ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>
        <f>FE110*VLOOKUP('Données projet'!$B$16,Paramètres!$A$1:$I$89,3,0)*VLOOKUP('Données projet'!$B$16,Paramètres!$A$1:$I$89,5,0)</f>
        <v>0</v>
      </c>
      <c r="FG110" s="14" t="e">
        <f t="shared" si="101"/>
        <v>#NUM!</v>
      </c>
      <c r="FH110" s="22" t="e">
        <f t="shared" si="76"/>
        <v>#NUM!</v>
      </c>
      <c r="FI110" s="60" t="e">
        <f t="shared" si="77"/>
        <v>#NUM!</v>
      </c>
      <c r="FJ110" s="60">
        <f ca="1">AVERAGE(OFFSET($FI$3,0,0,'Données projet'!$E$16+1,1))-AVERAGE(OFFSET($H$3,0,0,'Données projet'!$E$16+1,1))</f>
        <v>111.24788725253484</v>
      </c>
      <c r="FK110" s="60">
        <f t="shared" si="102"/>
        <v>82.434879813357327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projet'!$B$16,Paramètres!$A$1:$I$89,3,0)*0.475*44/12</f>
        <v>0</v>
      </c>
      <c r="FR110" s="23">
        <f>EXP(-LN(2)/25)*FR109+(1-EXP(-LN(2)/25))/(LN(2)/25)*Calculateur!FM110*Calculateur!FO110*VLOOKUP('Données projet'!$B$16,Paramètres!$A$1:$I$89,3,0)*0.475*44/12</f>
        <v>0</v>
      </c>
      <c r="FS110" s="23">
        <f>EXP(-LN(2)/2)*FS109+(1-EXP(-LN(2)/2))/(LN(2)/2)*FM110*FP110*VLOOKUP('Données projet'!$B$16,Paramètres!$A$1:$I$89,3,0)*0.475*44/12</f>
        <v>0</v>
      </c>
      <c r="FT110" s="24">
        <f t="shared" si="78"/>
        <v>0</v>
      </c>
      <c r="FU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1.0231815394945443E-12</v>
      </c>
      <c r="GA110" s="18">
        <f>FZ110*VLOOKUP('Données projet'!$B$17,Paramètres!$A$1:$I$89,3,0)*VLOOKUP('Données projet'!$B$17,Paramètres!$A$1:$I$89,5,0)</f>
        <v>4.5224624045658859E-13</v>
      </c>
      <c r="GB110" s="14">
        <f t="shared" si="103"/>
        <v>5.6995607121061449E-12</v>
      </c>
      <c r="GC110" s="22">
        <f t="shared" si="79"/>
        <v>1.0714397109046761E-11</v>
      </c>
      <c r="GD110" s="60">
        <f t="shared" si="80"/>
        <v>293.333333333344</v>
      </c>
      <c r="GE110" s="60">
        <f ca="1">AVERAGE(OFFSET($GD$3,0,0,'Données projet'!$E$17+1,1))-AVERAGE(OFFSET($H$3,0,0,'Données projet'!$E$17+1,1))</f>
        <v>323.56667371063662</v>
      </c>
      <c r="GF110" s="60">
        <f t="shared" si="104"/>
        <v>275.70373467723385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>
        <f>EXP(-LN(2)/35)*GL109+(1-EXP(-LN(2)/35))/(LN(2)/35)*GH110*GI110*VLOOKUP('Données projet'!$B$17,Paramètres!$A$1:$I$89,3,0)*0.475*44/12</f>
        <v>0</v>
      </c>
      <c r="GM110" s="23">
        <f>EXP(-LN(2)/25)*GM109+(1-EXP(-LN(2)/25))/(LN(2)/25)*Calculateur!GH110*Calculateur!GJ110*VLOOKUP('Données projet'!$B$17,Paramètres!$A$1:$I$89,3,0)*0.475*44/12</f>
        <v>0</v>
      </c>
      <c r="GN110" s="23">
        <f>EXP(-LN(2)/2)*GN109+(1-EXP(-LN(2)/2))/(LN(2)/2)*GH110*GK110*VLOOKUP('Données projet'!$B$17,Paramètres!$A$1:$I$89,3,0)*0.475*44/12</f>
        <v>0</v>
      </c>
      <c r="GO110" s="23">
        <f t="shared" si="81"/>
        <v>0</v>
      </c>
      <c r="GP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0" t="e">
        <f t="shared" si="83"/>
        <v>#N/A</v>
      </c>
      <c r="GZ110" s="60" t="e">
        <f ca="1">AVERAGE(OFFSET($GY$3,0,0,'Données projet'!$E$18+1,1))-AVERAGE(OFFSET($H$3,0,0,'Données projet'!$E$18+1,1))</f>
        <v>#N/A</v>
      </c>
      <c r="HA110" s="60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4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2">
        <f t="shared" si="86"/>
        <v>16.907084152971102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-1.1368683772161603E-13</v>
      </c>
      <c r="O111" s="14">
        <f>N111*VLOOKUP('Données projet'!$B$9,Paramètres!$A$1:$I$89,3,0)*VLOOKUP('Données projet'!$B$9,Paramètres!$A$1:$I$89,5,0)</f>
        <v>-6.7984728957526396E-14</v>
      </c>
      <c r="P111" s="14" t="e">
        <f t="shared" si="87"/>
        <v>#NUM!</v>
      </c>
      <c r="Q111" s="22" t="e">
        <f t="shared" si="107"/>
        <v>#NUM!</v>
      </c>
      <c r="R111" s="60" t="e">
        <f t="shared" si="55"/>
        <v>#NUM!</v>
      </c>
      <c r="S111" s="60">
        <f ca="1">AVERAGE(OFFSET($R$3,0,0,'Données projet'!$E$9+1,1))-AVERAGE(OFFSET($H$3,0,0,'Données projet'!$E$9+1,1))</f>
        <v>235.63766249714581</v>
      </c>
      <c r="T111" s="60">
        <f t="shared" si="88"/>
        <v>231.3297293785277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2.4481402305219024</v>
      </c>
      <c r="AA111" s="23">
        <f>EXP(-LN(2)/25)*AA110+(1-EXP(-LN(2)/25))/(LN(2)/25)*Calculateur!V111*Calculateur!X111*VLOOKUP('Données projet'!$B$9,Paramètres!$A$1:$I$89,3,0)*0.475*44/12</f>
        <v>1.9886350546873817</v>
      </c>
      <c r="AB111" s="23">
        <f>EXP(-LN(2)/2)*AB110+(1-EXP(-LN(2)/2))/(LN(2)/2)*V111*Y111*VLOOKUP('Données projet'!$B$9,Paramètres!$A$1:$I$89,3,0)*0.475*44/12</f>
        <v>1.293743866499195E-11</v>
      </c>
      <c r="AC111" s="24">
        <f t="shared" si="57"/>
        <v>4.4367752852222218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4.4000000000000004</v>
      </c>
      <c r="AI111" s="14">
        <f>IF('Données projet'!$A$62&gt;35,AI110+AH111-AQ110,IF(A111&lt;'Données projet'!$A$62,$AF$205^A111,IF(A111='Données projet'!$A$62,'Données projet'!$B$62,AI110+AH111-AQ110)))</f>
        <v>296.19999999999965</v>
      </c>
      <c r="AJ111" s="14">
        <f>AI111*VLOOKUP('Données projet'!$B$10,Paramètres!$A$1:$I$89,3,0)*VLOOKUP('Données projet'!$B$10,Paramètres!$A$1:$I$89,5,0)</f>
        <v>300.34679999999963</v>
      </c>
      <c r="AK111" s="14">
        <f t="shared" si="89"/>
        <v>71.249161187153291</v>
      </c>
      <c r="AL111" s="22">
        <f t="shared" si="58"/>
        <v>647.19629906762464</v>
      </c>
      <c r="AM111" s="60">
        <f t="shared" si="59"/>
        <v>940.52963240095801</v>
      </c>
      <c r="AN111" s="60">
        <f ca="1">AVERAGE(OFFSET($AM$3,0,0,'Données projet'!$E$10+1,1))-AVERAGE(OFFSET($H$3,0,0,'Données projet'!$E$10+1,1))</f>
        <v>350.3652766444938</v>
      </c>
      <c r="AO111" s="60">
        <f t="shared" si="90"/>
        <v>197.04549436738586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6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4.4000000000000004</v>
      </c>
      <c r="BD111" s="13">
        <f>IF('Données projet'!$A$88&gt;35,BD110+BC111-BL110,IF(A111&lt;'Données projet'!$A$88,$BA$205^A111,IF(A111='Données projet'!$A$88,'Données projet'!$B$88,BD110+BC111-BL110)))</f>
        <v>296.19999999999965</v>
      </c>
      <c r="BE111" s="14">
        <f>BD111*VLOOKUP('Données projet'!$B$11,Paramètres!$A$1:$I$89,3,0)*VLOOKUP('Données projet'!$B$11,Paramètres!$A$1:$I$89,5,0)</f>
        <v>286.48463999999967</v>
      </c>
      <c r="BF111" s="14">
        <f t="shared" si="91"/>
        <v>68.335568330677432</v>
      </c>
      <c r="BG111" s="22">
        <f t="shared" si="61"/>
        <v>617.97852950926267</v>
      </c>
      <c r="BH111" s="60">
        <f t="shared" si="62"/>
        <v>911.31186284259593</v>
      </c>
      <c r="BI111" s="60">
        <f ca="1">AVERAGE(OFFSET($BH$3,0,0,'Données projet'!$E$11+1,1))-AVERAGE(OFFSET($H$3,0,0,'Données projet'!$E$11+1,1))</f>
        <v>330.39429528665841</v>
      </c>
      <c r="BJ111" s="60">
        <f t="shared" si="92"/>
        <v>186.45728006007261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3.333333333333337</v>
      </c>
      <c r="BY111" s="13">
        <f>IF('Données projet'!$A$114&gt;35,BY110+BX111-CG110,IF(A111&lt;'Données projet'!$A$114,$BV$205^A111,IF(A111='Données projet'!$A$114,'Données projet'!$B$114,BY110+BX111-CG110)))</f>
        <v>311.2820512820515</v>
      </c>
      <c r="BZ111" s="14">
        <f>BY111*VLOOKUP('Données projet'!$B$12,Paramètres!$A$1:$I$89,3,0)*VLOOKUP('Données projet'!$B$12,Paramètres!$A$1:$I$89,5,0)</f>
        <v>208.80800000000013</v>
      </c>
      <c r="CA111" s="14">
        <f t="shared" si="93"/>
        <v>51.675017474362051</v>
      </c>
      <c r="CB111" s="22">
        <f t="shared" si="64"/>
        <v>453.67458876784752</v>
      </c>
      <c r="CC111" s="60">
        <f t="shared" si="65"/>
        <v>747.00792210118084</v>
      </c>
      <c r="CD111" s="60">
        <f ca="1">AVERAGE(OFFSET($CC$3,0,0,'Données projet'!$E$12+1,1))-AVERAGE(OFFSET($H$3,0,0,'Données projet'!$E$12+1,1))</f>
        <v>212.33913923444732</v>
      </c>
      <c r="CE111" s="60">
        <f t="shared" si="94"/>
        <v>183.51194426094372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-3.979039320256561E-13</v>
      </c>
      <c r="CU111" s="18">
        <f>CT111*VLOOKUP('Données projet'!$B$13,Paramètres!$A$1:$I$89,3,0)*VLOOKUP('Données projet'!$B$13,Paramètres!$A$1:$I$89,5,0)</f>
        <v>-3.4760887501761321E-13</v>
      </c>
      <c r="CV111" s="14" t="e">
        <f t="shared" si="95"/>
        <v>#NUM!</v>
      </c>
      <c r="CW111" s="22" t="e">
        <f t="shared" si="67"/>
        <v>#NUM!</v>
      </c>
      <c r="CX111" s="60" t="e">
        <f t="shared" si="68"/>
        <v>#NUM!</v>
      </c>
      <c r="CY111" s="60">
        <f ca="1">AVERAGE(OFFSET($CX$3,0,0,'Données projet'!$E$13+1,1))-AVERAGE(OFFSET($H$3,0,0,'Données projet'!$E$13+1,1))</f>
        <v>228.0393346366489</v>
      </c>
      <c r="CZ111" s="60">
        <f t="shared" si="96"/>
        <v>238.591781509447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4.4000000000000004</v>
      </c>
      <c r="DO111" s="13">
        <f>IF('Données projet'!$A$166&gt;35,DO110+DN111-DW110,IF(A111&lt;'Données projet'!$A$166,$DL$205^A111,IF(A111='Données projet'!$A$166,'Données projet'!$B$166,DO110+DN111-DW110)))</f>
        <v>296.19999999999965</v>
      </c>
      <c r="DP111" s="18">
        <f>DO111*VLOOKUP('Données projet'!$B$14,Paramètres!$A$1:$I$89,3,0)*VLOOKUP('Données projet'!$B$14,Paramètres!$A$1:$I$89,5,0)</f>
        <v>268.00175999999971</v>
      </c>
      <c r="DQ111" s="14">
        <f t="shared" si="97"/>
        <v>64.425009159185521</v>
      </c>
      <c r="DR111" s="22">
        <f t="shared" si="70"/>
        <v>578.97662295224757</v>
      </c>
      <c r="DS111" s="60">
        <f t="shared" si="71"/>
        <v>872.30995628558094</v>
      </c>
      <c r="DT111" s="60">
        <f ca="1">AVERAGE(OFFSET($DS$3,0,0,'Données projet'!$E$14+1,1))-AVERAGE(OFFSET($H$3,0,0,'Données projet'!$E$14+1,1))</f>
        <v>303.73499739059076</v>
      </c>
      <c r="DU111" s="60">
        <f t="shared" si="98"/>
        <v>172.32171001882188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1.1368683772161603E-13</v>
      </c>
      <c r="EK111" s="18">
        <f>EJ111*VLOOKUP('Données projet'!$B$15,Paramètres!$A$1:$I$89,3,0)*VLOOKUP('Données projet'!$B$15,Paramètres!$A$1:$I$89,5,0)</f>
        <v>6.7984728957526396E-14</v>
      </c>
      <c r="EL111" s="14">
        <f t="shared" si="99"/>
        <v>1.0682447123141398E-12</v>
      </c>
      <c r="EM111" s="22">
        <f t="shared" si="73"/>
        <v>1.978932943548152E-12</v>
      </c>
      <c r="EN111" s="60">
        <f t="shared" si="74"/>
        <v>293.3333333333353</v>
      </c>
      <c r="EO111" s="60">
        <f ca="1">AVERAGE(OFFSET($EN$3,0,0,'Données projet'!$E$15+1,1))-AVERAGE(OFFSET($H$3,0,0,'Données projet'!$E$15+1,1))</f>
        <v>269.94948820700841</v>
      </c>
      <c r="EP111" s="60">
        <f t="shared" si="100"/>
        <v>183.45158355135192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1.5706115979257911</v>
      </c>
      <c r="EX111" s="23">
        <f>EXP(-LN(2)/2)*EX110+(1-EXP(-LN(2)/2))/(LN(2)/2)*ER111*EU111*VLOOKUP('Données projet'!$B$15,Paramètres!$A$1:$I$89,3,0)*0.475*44/12</f>
        <v>1.0255519892744976E-11</v>
      </c>
      <c r="EY111" s="24">
        <f t="shared" si="75"/>
        <v>1.5706115979360467</v>
      </c>
      <c r="EZ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>
        <f>FE111*VLOOKUP('Données projet'!$B$16,Paramètres!$A$1:$I$89,3,0)*VLOOKUP('Données projet'!$B$16,Paramètres!$A$1:$I$89,5,0)</f>
        <v>0</v>
      </c>
      <c r="FG111" s="14" t="e">
        <f t="shared" si="101"/>
        <v>#NUM!</v>
      </c>
      <c r="FH111" s="22" t="e">
        <f t="shared" si="76"/>
        <v>#NUM!</v>
      </c>
      <c r="FI111" s="60" t="e">
        <f t="shared" si="77"/>
        <v>#NUM!</v>
      </c>
      <c r="FJ111" s="60">
        <f ca="1">AVERAGE(OFFSET($FI$3,0,0,'Données projet'!$E$16+1,1))-AVERAGE(OFFSET($H$3,0,0,'Données projet'!$E$16+1,1))</f>
        <v>111.24788725253484</v>
      </c>
      <c r="FK111" s="60">
        <f t="shared" si="102"/>
        <v>82.434879813357327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projet'!$B$16,Paramètres!$A$1:$I$89,3,0)*0.475*44/12</f>
        <v>0</v>
      </c>
      <c r="FR111" s="23">
        <f>EXP(-LN(2)/25)*FR110+(1-EXP(-LN(2)/25))/(LN(2)/25)*Calculateur!FM111*Calculateur!FO111*VLOOKUP('Données projet'!$B$16,Paramètres!$A$1:$I$89,3,0)*0.475*44/12</f>
        <v>0</v>
      </c>
      <c r="FS111" s="23">
        <f>EXP(-LN(2)/2)*FS110+(1-EXP(-LN(2)/2))/(LN(2)/2)*FM111*FP111*VLOOKUP('Données projet'!$B$16,Paramètres!$A$1:$I$89,3,0)*0.475*44/12</f>
        <v>0</v>
      </c>
      <c r="FT111" s="24">
        <f t="shared" si="78"/>
        <v>0</v>
      </c>
      <c r="FU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1.0231815394945443E-12</v>
      </c>
      <c r="GA111" s="18">
        <f>FZ111*VLOOKUP('Données projet'!$B$17,Paramètres!$A$1:$I$89,3,0)*VLOOKUP('Données projet'!$B$17,Paramètres!$A$1:$I$89,5,0)</f>
        <v>4.5224624045658859E-13</v>
      </c>
      <c r="GB111" s="14">
        <f t="shared" si="103"/>
        <v>5.6995607121061449E-12</v>
      </c>
      <c r="GC111" s="22">
        <f t="shared" si="79"/>
        <v>1.0714397109046761E-11</v>
      </c>
      <c r="GD111" s="60">
        <f t="shared" si="80"/>
        <v>293.333333333344</v>
      </c>
      <c r="GE111" s="60">
        <f ca="1">AVERAGE(OFFSET($GD$3,0,0,'Données projet'!$E$17+1,1))-AVERAGE(OFFSET($H$3,0,0,'Données projet'!$E$17+1,1))</f>
        <v>323.56667371063662</v>
      </c>
      <c r="GF111" s="60">
        <f t="shared" si="104"/>
        <v>275.70373467723385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>
        <f>EXP(-LN(2)/35)*GL110+(1-EXP(-LN(2)/35))/(LN(2)/35)*GH111*GI111*VLOOKUP('Données projet'!$B$17,Paramètres!$A$1:$I$89,3,0)*0.475*44/12</f>
        <v>0</v>
      </c>
      <c r="GM111" s="23">
        <f>EXP(-LN(2)/25)*GM110+(1-EXP(-LN(2)/25))/(LN(2)/25)*Calculateur!GH111*Calculateur!GJ111*VLOOKUP('Données projet'!$B$17,Paramètres!$A$1:$I$89,3,0)*0.475*44/12</f>
        <v>0</v>
      </c>
      <c r="GN111" s="23">
        <f>EXP(-LN(2)/2)*GN110+(1-EXP(-LN(2)/2))/(LN(2)/2)*GH111*GK111*VLOOKUP('Données projet'!$B$17,Paramètres!$A$1:$I$89,3,0)*0.475*44/12</f>
        <v>0</v>
      </c>
      <c r="GO111" s="23">
        <f t="shared" si="81"/>
        <v>0</v>
      </c>
      <c r="GP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0" t="e">
        <f t="shared" si="83"/>
        <v>#N/A</v>
      </c>
      <c r="GZ111" s="60" t="e">
        <f ca="1">AVERAGE(OFFSET($GY$3,0,0,'Données projet'!$E$18+1,1))-AVERAGE(OFFSET($H$3,0,0,'Données projet'!$E$18+1,1))</f>
        <v>#N/A</v>
      </c>
      <c r="HA111" s="60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4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2">
        <f t="shared" si="86"/>
        <v>17.045334862667175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-1.1368683772161603E-13</v>
      </c>
      <c r="O112" s="14">
        <f>N112*VLOOKUP('Données projet'!$B$9,Paramètres!$A$1:$I$89,3,0)*VLOOKUP('Données projet'!$B$9,Paramètres!$A$1:$I$89,5,0)</f>
        <v>-6.7984728957526396E-14</v>
      </c>
      <c r="P112" s="14" t="e">
        <f t="shared" si="87"/>
        <v>#NUM!</v>
      </c>
      <c r="Q112" s="22" t="e">
        <f t="shared" si="107"/>
        <v>#NUM!</v>
      </c>
      <c r="R112" s="60" t="e">
        <f t="shared" si="55"/>
        <v>#NUM!</v>
      </c>
      <c r="S112" s="60">
        <f ca="1">AVERAGE(OFFSET($R$3,0,0,'Données projet'!$E$9+1,1))-AVERAGE(OFFSET($H$3,0,0,'Données projet'!$E$9+1,1))</f>
        <v>235.63766249714581</v>
      </c>
      <c r="T112" s="60">
        <f t="shared" si="88"/>
        <v>231.3297293785277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2.4001336938194657</v>
      </c>
      <c r="AA112" s="23">
        <f>EXP(-LN(2)/25)*AA111+(1-EXP(-LN(2)/25))/(LN(2)/25)*Calculateur!V112*Calculateur!X112*VLOOKUP('Données projet'!$B$9,Paramètres!$A$1:$I$89,3,0)*0.475*44/12</f>
        <v>1.9342557245391827</v>
      </c>
      <c r="AB112" s="23">
        <f>EXP(-LN(2)/2)*AB111+(1-EXP(-LN(2)/2))/(LN(2)/2)*V112*Y112*VLOOKUP('Données projet'!$B$9,Paramètres!$A$1:$I$89,3,0)*0.475*44/12</f>
        <v>9.1481506112008421E-12</v>
      </c>
      <c r="AC112" s="24">
        <f t="shared" si="57"/>
        <v>4.3343894183677971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4.4000000000000004</v>
      </c>
      <c r="AI112" s="14">
        <f>IF('Données projet'!$A$62&gt;35,AI111+AH112-AQ111,IF(A112&lt;'Données projet'!$A$62,$AF$205^A112,IF(A112='Données projet'!$A$62,'Données projet'!$B$62,AI111+AH112-AQ111)))</f>
        <v>300.59999999999962</v>
      </c>
      <c r="AJ112" s="14">
        <f>AI112*VLOOKUP('Données projet'!$B$10,Paramètres!$A$1:$I$89,3,0)*VLOOKUP('Données projet'!$B$10,Paramètres!$A$1:$I$89,5,0)</f>
        <v>304.80839999999961</v>
      </c>
      <c r="AK112" s="14">
        <f t="shared" si="89"/>
        <v>72.183554053972728</v>
      </c>
      <c r="AL112" s="22">
        <f t="shared" si="58"/>
        <v>656.59431997733509</v>
      </c>
      <c r="AM112" s="60">
        <f t="shared" si="59"/>
        <v>949.92765331066835</v>
      </c>
      <c r="AN112" s="60">
        <f ca="1">AVERAGE(OFFSET($AM$3,0,0,'Données projet'!$E$10+1,1))-AVERAGE(OFFSET($H$3,0,0,'Données projet'!$E$10+1,1))</f>
        <v>350.3652766444938</v>
      </c>
      <c r="AO112" s="60">
        <f t="shared" si="90"/>
        <v>197.04549436738586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6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4.4000000000000004</v>
      </c>
      <c r="BD112" s="13">
        <f>IF('Données projet'!$A$88&gt;35,BD111+BC112-BL111,IF(A112&lt;'Données projet'!$A$88,$BA$205^A112,IF(A112='Données projet'!$A$88,'Données projet'!$B$88,BD111+BC112-BL111)))</f>
        <v>300.59999999999962</v>
      </c>
      <c r="BE112" s="14">
        <f>BD112*VLOOKUP('Données projet'!$B$11,Paramètres!$A$1:$I$89,3,0)*VLOOKUP('Données projet'!$B$11,Paramètres!$A$1:$I$89,5,0)</f>
        <v>290.74031999999966</v>
      </c>
      <c r="BF112" s="14">
        <f t="shared" si="91"/>
        <v>69.231751058085507</v>
      </c>
      <c r="BG112" s="22">
        <f t="shared" si="61"/>
        <v>626.95135709283159</v>
      </c>
      <c r="BH112" s="60">
        <f t="shared" si="62"/>
        <v>920.28469042616484</v>
      </c>
      <c r="BI112" s="60">
        <f ca="1">AVERAGE(OFFSET($BH$3,0,0,'Données projet'!$E$11+1,1))-AVERAGE(OFFSET($H$3,0,0,'Données projet'!$E$11+1,1))</f>
        <v>330.39429528665841</v>
      </c>
      <c r="BJ112" s="60">
        <f t="shared" si="92"/>
        <v>186.45728006007261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3.333333333333337</v>
      </c>
      <c r="BY112" s="13">
        <f>IF('Données projet'!$A$114&gt;35,BY111+BX112-CG111,IF(A112&lt;'Données projet'!$A$114,$BV$205^A112,IF(A112='Données projet'!$A$114,'Données projet'!$B$114,BY111+BX112-CG111)))</f>
        <v>314.61538461538481</v>
      </c>
      <c r="BZ112" s="14">
        <f>BY112*VLOOKUP('Données projet'!$B$12,Paramètres!$A$1:$I$89,3,0)*VLOOKUP('Données projet'!$B$12,Paramètres!$A$1:$I$89,5,0)</f>
        <v>211.04400000000015</v>
      </c>
      <c r="CA112" s="14">
        <f t="shared" si="93"/>
        <v>52.163660077304868</v>
      </c>
      <c r="CB112" s="22">
        <f t="shared" si="64"/>
        <v>458.42000796797294</v>
      </c>
      <c r="CC112" s="60">
        <f t="shared" si="65"/>
        <v>751.75334130130625</v>
      </c>
      <c r="CD112" s="60">
        <f ca="1">AVERAGE(OFFSET($CC$3,0,0,'Données projet'!$E$12+1,1))-AVERAGE(OFFSET($H$3,0,0,'Données projet'!$E$12+1,1))</f>
        <v>212.33913923444732</v>
      </c>
      <c r="CE112" s="60">
        <f t="shared" si="94"/>
        <v>183.51194426094372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-3.979039320256561E-13</v>
      </c>
      <c r="CU112" s="18">
        <f>CT112*VLOOKUP('Données projet'!$B$13,Paramètres!$A$1:$I$89,3,0)*VLOOKUP('Données projet'!$B$13,Paramètres!$A$1:$I$89,5,0)</f>
        <v>-3.4760887501761321E-13</v>
      </c>
      <c r="CV112" s="14" t="e">
        <f t="shared" si="95"/>
        <v>#NUM!</v>
      </c>
      <c r="CW112" s="22" t="e">
        <f t="shared" si="67"/>
        <v>#NUM!</v>
      </c>
      <c r="CX112" s="60" t="e">
        <f t="shared" si="68"/>
        <v>#NUM!</v>
      </c>
      <c r="CY112" s="60">
        <f ca="1">AVERAGE(OFFSET($CX$3,0,0,'Données projet'!$E$13+1,1))-AVERAGE(OFFSET($H$3,0,0,'Données projet'!$E$13+1,1))</f>
        <v>228.0393346366489</v>
      </c>
      <c r="CZ112" s="60">
        <f t="shared" si="96"/>
        <v>238.591781509447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4.4000000000000004</v>
      </c>
      <c r="DO112" s="13">
        <f>IF('Données projet'!$A$166&gt;35,DO111+DN112-DW111,IF(A112&lt;'Données projet'!$A$166,$DL$205^A112,IF(A112='Données projet'!$A$166,'Données projet'!$B$166,DO111+DN112-DW111)))</f>
        <v>300.59999999999962</v>
      </c>
      <c r="DP112" s="18">
        <f>DO112*VLOOKUP('Données projet'!$B$14,Paramètres!$A$1:$I$89,3,0)*VLOOKUP('Données projet'!$B$14,Paramètres!$A$1:$I$89,5,0)</f>
        <v>271.98287999999962</v>
      </c>
      <c r="DQ112" s="14">
        <f t="shared" si="97"/>
        <v>65.269907092018684</v>
      </c>
      <c r="DR112" s="22">
        <f t="shared" si="70"/>
        <v>587.38193751859842</v>
      </c>
      <c r="DS112" s="60">
        <f t="shared" si="71"/>
        <v>880.71527085193179</v>
      </c>
      <c r="DT112" s="60">
        <f ca="1">AVERAGE(OFFSET($DS$3,0,0,'Données projet'!$E$14+1,1))-AVERAGE(OFFSET($H$3,0,0,'Données projet'!$E$14+1,1))</f>
        <v>303.73499739059076</v>
      </c>
      <c r="DU112" s="60">
        <f t="shared" si="98"/>
        <v>172.32171001882188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1.1368683772161603E-13</v>
      </c>
      <c r="EK112" s="18">
        <f>EJ112*VLOOKUP('Données projet'!$B$15,Paramètres!$A$1:$I$89,3,0)*VLOOKUP('Données projet'!$B$15,Paramètres!$A$1:$I$89,5,0)</f>
        <v>6.7984728957526396E-14</v>
      </c>
      <c r="EL112" s="14">
        <f t="shared" si="99"/>
        <v>1.0682447123141398E-12</v>
      </c>
      <c r="EM112" s="22">
        <f t="shared" si="73"/>
        <v>1.978932943548152E-12</v>
      </c>
      <c r="EN112" s="60">
        <f t="shared" si="74"/>
        <v>293.3333333333353</v>
      </c>
      <c r="EO112" s="60">
        <f ca="1">AVERAGE(OFFSET($EN$3,0,0,'Données projet'!$E$15+1,1))-AVERAGE(OFFSET($H$3,0,0,'Données projet'!$E$15+1,1))</f>
        <v>269.94948820700841</v>
      </c>
      <c r="EP112" s="60">
        <f t="shared" si="100"/>
        <v>183.45158355135192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1.5276631411856361</v>
      </c>
      <c r="EX112" s="23">
        <f>EXP(-LN(2)/2)*EX111+(1-EXP(-LN(2)/2))/(LN(2)/2)*ER112*EU112*VLOOKUP('Données projet'!$B$15,Paramètres!$A$1:$I$89,3,0)*0.475*44/12</f>
        <v>7.251747660753507E-12</v>
      </c>
      <c r="EY112" s="24">
        <f t="shared" si="75"/>
        <v>1.5276631411928878</v>
      </c>
      <c r="EZ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>
        <f>FE112*VLOOKUP('Données projet'!$B$16,Paramètres!$A$1:$I$89,3,0)*VLOOKUP('Données projet'!$B$16,Paramètres!$A$1:$I$89,5,0)</f>
        <v>0</v>
      </c>
      <c r="FG112" s="14" t="e">
        <f t="shared" si="101"/>
        <v>#NUM!</v>
      </c>
      <c r="FH112" s="22" t="e">
        <f t="shared" si="76"/>
        <v>#NUM!</v>
      </c>
      <c r="FI112" s="60" t="e">
        <f t="shared" si="77"/>
        <v>#NUM!</v>
      </c>
      <c r="FJ112" s="60">
        <f ca="1">AVERAGE(OFFSET($FI$3,0,0,'Données projet'!$E$16+1,1))-AVERAGE(OFFSET($H$3,0,0,'Données projet'!$E$16+1,1))</f>
        <v>111.24788725253484</v>
      </c>
      <c r="FK112" s="60">
        <f t="shared" si="102"/>
        <v>82.434879813357327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projet'!$B$16,Paramètres!$A$1:$I$89,3,0)*0.475*44/12</f>
        <v>0</v>
      </c>
      <c r="FR112" s="23">
        <f>EXP(-LN(2)/25)*FR111+(1-EXP(-LN(2)/25))/(LN(2)/25)*Calculateur!FM112*Calculateur!FO112*VLOOKUP('Données projet'!$B$16,Paramètres!$A$1:$I$89,3,0)*0.475*44/12</f>
        <v>0</v>
      </c>
      <c r="FS112" s="23">
        <f>EXP(-LN(2)/2)*FS111+(1-EXP(-LN(2)/2))/(LN(2)/2)*FM112*FP112*VLOOKUP('Données projet'!$B$16,Paramètres!$A$1:$I$89,3,0)*0.475*44/12</f>
        <v>0</v>
      </c>
      <c r="FT112" s="24">
        <f t="shared" si="78"/>
        <v>0</v>
      </c>
      <c r="FU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1.0231815394945443E-12</v>
      </c>
      <c r="GA112" s="18">
        <f>FZ112*VLOOKUP('Données projet'!$B$17,Paramètres!$A$1:$I$89,3,0)*VLOOKUP('Données projet'!$B$17,Paramètres!$A$1:$I$89,5,0)</f>
        <v>4.5224624045658859E-13</v>
      </c>
      <c r="GB112" s="14">
        <f t="shared" si="103"/>
        <v>5.6995607121061449E-12</v>
      </c>
      <c r="GC112" s="22">
        <f t="shared" si="79"/>
        <v>1.0714397109046761E-11</v>
      </c>
      <c r="GD112" s="60">
        <f t="shared" si="80"/>
        <v>293.333333333344</v>
      </c>
      <c r="GE112" s="60">
        <f ca="1">AVERAGE(OFFSET($GD$3,0,0,'Données projet'!$E$17+1,1))-AVERAGE(OFFSET($H$3,0,0,'Données projet'!$E$17+1,1))</f>
        <v>323.56667371063662</v>
      </c>
      <c r="GF112" s="60">
        <f t="shared" si="104"/>
        <v>275.70373467723385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>
        <f>EXP(-LN(2)/35)*GL111+(1-EXP(-LN(2)/35))/(LN(2)/35)*GH112*GI112*VLOOKUP('Données projet'!$B$17,Paramètres!$A$1:$I$89,3,0)*0.475*44/12</f>
        <v>0</v>
      </c>
      <c r="GM112" s="23">
        <f>EXP(-LN(2)/25)*GM111+(1-EXP(-LN(2)/25))/(LN(2)/25)*Calculateur!GH112*Calculateur!GJ112*VLOOKUP('Données projet'!$B$17,Paramètres!$A$1:$I$89,3,0)*0.475*44/12</f>
        <v>0</v>
      </c>
      <c r="GN112" s="23">
        <f>EXP(-LN(2)/2)*GN111+(1-EXP(-LN(2)/2))/(LN(2)/2)*GH112*GK112*VLOOKUP('Données projet'!$B$17,Paramètres!$A$1:$I$89,3,0)*0.475*44/12</f>
        <v>0</v>
      </c>
      <c r="GO112" s="23">
        <f t="shared" si="81"/>
        <v>0</v>
      </c>
      <c r="GP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0" t="e">
        <f t="shared" si="83"/>
        <v>#N/A</v>
      </c>
      <c r="GZ112" s="60" t="e">
        <f ca="1">AVERAGE(OFFSET($GY$3,0,0,'Données projet'!$E$18+1,1))-AVERAGE(OFFSET($H$3,0,0,'Données projet'!$E$18+1,1))</f>
        <v>#N/A</v>
      </c>
      <c r="HA112" s="60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4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2">
        <f t="shared" si="86"/>
        <v>17.183438012437954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-1.1368683772161603E-13</v>
      </c>
      <c r="O113" s="14">
        <f>N113*VLOOKUP('Données projet'!$B$9,Paramètres!$A$1:$I$89,3,0)*VLOOKUP('Données projet'!$B$9,Paramètres!$A$1:$I$89,5,0)</f>
        <v>-6.7984728957526396E-14</v>
      </c>
      <c r="P113" s="14" t="e">
        <f t="shared" si="87"/>
        <v>#NUM!</v>
      </c>
      <c r="Q113" s="22" t="e">
        <f t="shared" si="107"/>
        <v>#NUM!</v>
      </c>
      <c r="R113" s="60" t="e">
        <f t="shared" si="55"/>
        <v>#NUM!</v>
      </c>
      <c r="S113" s="60">
        <f ca="1">AVERAGE(OFFSET($R$3,0,0,'Données projet'!$E$9+1,1))-AVERAGE(OFFSET($H$3,0,0,'Données projet'!$E$9+1,1))</f>
        <v>235.63766249714581</v>
      </c>
      <c r="T113" s="60">
        <f t="shared" si="88"/>
        <v>231.3297293785277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2.3530685360206673</v>
      </c>
      <c r="AA113" s="23">
        <f>EXP(-LN(2)/25)*AA112+(1-EXP(-LN(2)/25))/(LN(2)/25)*Calculateur!V113*Calculateur!X113*VLOOKUP('Données projet'!$B$9,Paramètres!$A$1:$I$89,3,0)*0.475*44/12</f>
        <v>1.8813634000335711</v>
      </c>
      <c r="AB113" s="23">
        <f>EXP(-LN(2)/2)*AB112+(1-EXP(-LN(2)/2))/(LN(2)/2)*V113*Y113*VLOOKUP('Données projet'!$B$9,Paramètres!$A$1:$I$89,3,0)*0.475*44/12</f>
        <v>6.4687193324959749E-12</v>
      </c>
      <c r="AC113" s="24">
        <f t="shared" si="57"/>
        <v>4.234431936060707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305</v>
      </c>
      <c r="AG113" s="13">
        <f>VLOOKUP(A113,'Données projet'!$A$61:$I$81,9,0)</f>
        <v>4.4000000000000004</v>
      </c>
      <c r="AH113" s="13">
        <f t="array" ref="AH113">INDEX(AG:AG,MIN(IF(ISNUMBER(AG113:AG309),ROW(AG113:AG309),"")))</f>
        <v>4.4000000000000004</v>
      </c>
      <c r="AI113" s="14">
        <f>IF('Données projet'!$A$62&gt;35,AI112+AH113-AQ112,IF(A113&lt;'Données projet'!$A$62,$AF$205^A113,IF(A113='Données projet'!$A$62,'Données projet'!$B$62,AI112+AH113-AQ112)))</f>
        <v>304.9999999999996</v>
      </c>
      <c r="AJ113" s="14">
        <f>AI113*VLOOKUP('Données projet'!$B$10,Paramètres!$A$1:$I$89,3,0)*VLOOKUP('Données projet'!$B$10,Paramètres!$A$1:$I$89,5,0)</f>
        <v>309.26999999999958</v>
      </c>
      <c r="AK113" s="14">
        <f t="shared" si="89"/>
        <v>73.116356204710968</v>
      </c>
      <c r="AL113" s="22">
        <f t="shared" si="58"/>
        <v>665.98957038987078</v>
      </c>
      <c r="AM113" s="60">
        <f t="shared" si="59"/>
        <v>959.32290372320404</v>
      </c>
      <c r="AN113" s="60">
        <f ca="1">AVERAGE(OFFSET($AM$3,0,0,'Données projet'!$E$10+1,1))-AVERAGE(OFFSET($H$3,0,0,'Données projet'!$E$10+1,1))</f>
        <v>350.3652766444938</v>
      </c>
      <c r="AO113" s="60">
        <f t="shared" si="90"/>
        <v>197.04549436738586</v>
      </c>
      <c r="AP113" s="16">
        <f>IF(ISNA(VLOOKUP(A113,'Données projet'!$A$61:$I$81,3,0)),0,VLOOKUP(A113,'Données projet'!$A$61:$I$81,3,0))</f>
        <v>9</v>
      </c>
      <c r="AQ113" s="16">
        <f>IF(ISNA(VLOOKUP(A113,'Données projet'!$A$61:$I$81,4,0)),0,VLOOKUP(A113,'Données projet'!$A$61:$I$81,4,0))</f>
        <v>39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6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305</v>
      </c>
      <c r="BB113" s="13">
        <f>VLOOKUP(A113,'Données projet'!$A$87:$I$107,9,0)</f>
        <v>4.4000000000000004</v>
      </c>
      <c r="BC113" s="13">
        <f t="array" ref="BC113">INDEX(BB:BB,MIN(IF(ISNUMBER(BB113:BB309),ROW(BB113:BB309),"")))</f>
        <v>4.4000000000000004</v>
      </c>
      <c r="BD113" s="13">
        <f>IF('Données projet'!$A$88&gt;35,BD112+BC113-BL112,IF(A113&lt;'Données projet'!$A$88,$BA$205^A113,IF(A113='Données projet'!$A$88,'Données projet'!$B$88,BD112+BC113-BL112)))</f>
        <v>304.9999999999996</v>
      </c>
      <c r="BE113" s="14">
        <f>BD113*VLOOKUP('Données projet'!$B$11,Paramètres!$A$1:$I$89,3,0)*VLOOKUP('Données projet'!$B$11,Paramètres!$A$1:$I$89,5,0)</f>
        <v>294.99599999999958</v>
      </c>
      <c r="BF113" s="14">
        <f t="shared" si="91"/>
        <v>70.126408118585317</v>
      </c>
      <c r="BG113" s="22">
        <f t="shared" si="61"/>
        <v>635.92152747320199</v>
      </c>
      <c r="BH113" s="60">
        <f t="shared" si="62"/>
        <v>929.25486080653536</v>
      </c>
      <c r="BI113" s="60">
        <f ca="1">AVERAGE(OFFSET($BH$3,0,0,'Données projet'!$E$11+1,1))-AVERAGE(OFFSET($H$3,0,0,'Données projet'!$E$11+1,1))</f>
        <v>330.39429528665841</v>
      </c>
      <c r="BJ113" s="60">
        <f t="shared" si="92"/>
        <v>186.45728006007261</v>
      </c>
      <c r="BK113" s="16">
        <f>IF(ISNA(VLOOKUP(A113,'Données projet'!$A$87:$I$107,3,0)),0,VLOOKUP(A113,'Données projet'!$A$87:$I$107,3,0))</f>
        <v>9</v>
      </c>
      <c r="BL113" s="16">
        <f>IF(ISNA(VLOOKUP(A113,'Données projet'!$A$87:$I$107,4,0)),0,VLOOKUP(A113,'Données projet'!$A$87:$I$107,4,0))</f>
        <v>39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>
        <f>VLOOKUP(A113,'Données projet'!$A$113:$I$133,2,0)</f>
        <v>317.94871794871796</v>
      </c>
      <c r="BW113" s="13">
        <f>VLOOKUP(A113,'Données projet'!$A$113:$I$133,9,0)</f>
        <v>3.333333333333337</v>
      </c>
      <c r="BX113" s="13">
        <f t="array" ref="BX113">INDEX(BW:BW,MIN(IF(ISNUMBER(BW113:BW309),ROW(BW113:BW309),"")))</f>
        <v>3.333333333333337</v>
      </c>
      <c r="BY113" s="13">
        <f>IF('Données projet'!$A$114&gt;35,BY112+BX113-CG112,IF(A113&lt;'Données projet'!$A$114,$BV$205^A113,IF(A113='Données projet'!$A$114,'Données projet'!$B$114,BY112+BX113-CG112)))</f>
        <v>317.94871794871813</v>
      </c>
      <c r="BZ113" s="14">
        <f>BY113*VLOOKUP('Données projet'!$B$12,Paramètres!$A$1:$I$89,3,0)*VLOOKUP('Données projet'!$B$12,Paramètres!$A$1:$I$89,5,0)</f>
        <v>213.28000000000011</v>
      </c>
      <c r="CA113" s="14">
        <f t="shared" si="93"/>
        <v>52.651700420383257</v>
      </c>
      <c r="CB113" s="22">
        <f t="shared" si="64"/>
        <v>463.16437823216773</v>
      </c>
      <c r="CC113" s="60">
        <f t="shared" si="65"/>
        <v>756.49771156550105</v>
      </c>
      <c r="CD113" s="60">
        <f ca="1">AVERAGE(OFFSET($CC$3,0,0,'Données projet'!$E$12+1,1))-AVERAGE(OFFSET($H$3,0,0,'Données projet'!$E$12+1,1))</f>
        <v>212.33913923444732</v>
      </c>
      <c r="CE113" s="60">
        <f t="shared" si="94"/>
        <v>183.51194426094372</v>
      </c>
      <c r="CF113" s="16">
        <f>IF(ISNA(VLOOKUP(A113,'Données projet'!$A$113:$I$133,3,0)),0,VLOOKUP(A113,'Données projet'!$A$113:$I$133,3,0))</f>
        <v>10</v>
      </c>
      <c r="CG113" s="16">
        <f>IF(ISNA(VLOOKUP(A113,'Données projet'!$A$113:$I$133,4,0)),0,VLOOKUP(A113,'Données projet'!$A$113:$I$133,4,0))</f>
        <v>317.94871794871796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-3.979039320256561E-13</v>
      </c>
      <c r="CU113" s="18">
        <f>CT113*VLOOKUP('Données projet'!$B$13,Paramètres!$A$1:$I$89,3,0)*VLOOKUP('Données projet'!$B$13,Paramètres!$A$1:$I$89,5,0)</f>
        <v>-3.4760887501761321E-13</v>
      </c>
      <c r="CV113" s="14" t="e">
        <f t="shared" si="95"/>
        <v>#NUM!</v>
      </c>
      <c r="CW113" s="22" t="e">
        <f t="shared" si="67"/>
        <v>#NUM!</v>
      </c>
      <c r="CX113" s="60" t="e">
        <f t="shared" si="68"/>
        <v>#NUM!</v>
      </c>
      <c r="CY113" s="60">
        <f ca="1">AVERAGE(OFFSET($CX$3,0,0,'Données projet'!$E$13+1,1))-AVERAGE(OFFSET($H$3,0,0,'Données projet'!$E$13+1,1))</f>
        <v>228.0393346366489</v>
      </c>
      <c r="CZ113" s="60">
        <f t="shared" si="96"/>
        <v>238.591781509447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>
        <f>VLOOKUP(A113,'Données projet'!$A$165:$I$185,2,0)</f>
        <v>305</v>
      </c>
      <c r="DM113" s="13">
        <f>VLOOKUP(A113,'Données projet'!$A$165:$I$185,9,0)</f>
        <v>4.4000000000000004</v>
      </c>
      <c r="DN113" s="13">
        <f t="array" ref="DN113">INDEX(DM:DM,MIN(IF(ISNUMBER(DM113:DM309),ROW(DM113:DM309),"")))</f>
        <v>4.4000000000000004</v>
      </c>
      <c r="DO113" s="13">
        <f>IF('Données projet'!$A$166&gt;35,DO112+DN113-DW112,IF(A113&lt;'Données projet'!$A$166,$DL$205^A113,IF(A113='Données projet'!$A$166,'Données projet'!$B$166,DO112+DN113-DW112)))</f>
        <v>304.9999999999996</v>
      </c>
      <c r="DP113" s="18">
        <f>DO113*VLOOKUP('Données projet'!$B$14,Paramètres!$A$1:$I$89,3,0)*VLOOKUP('Données projet'!$B$14,Paramètres!$A$1:$I$89,5,0)</f>
        <v>275.9639999999996</v>
      </c>
      <c r="DQ113" s="14">
        <f t="shared" si="97"/>
        <v>66.113366665488797</v>
      </c>
      <c r="DR113" s="22">
        <f t="shared" si="70"/>
        <v>595.7847469423923</v>
      </c>
      <c r="DS113" s="60">
        <f t="shared" si="71"/>
        <v>889.11808027572556</v>
      </c>
      <c r="DT113" s="60">
        <f ca="1">AVERAGE(OFFSET($DS$3,0,0,'Données projet'!$E$14+1,1))-AVERAGE(OFFSET($H$3,0,0,'Données projet'!$E$14+1,1))</f>
        <v>303.73499739059076</v>
      </c>
      <c r="DU113" s="60">
        <f t="shared" si="98"/>
        <v>172.32171001882188</v>
      </c>
      <c r="DV113" s="16">
        <f>IF(ISNA(VLOOKUP(A113,'Données projet'!$A$165:$I$185,3,0)),0,VLOOKUP(A113,'Données projet'!$A$165:$I$185,3,0))</f>
        <v>9</v>
      </c>
      <c r="DW113" s="16">
        <f>IF(ISNA(VLOOKUP(A113,'Données projet'!$A$165:$I$185,4,0)),0,VLOOKUP(A113,'Données projet'!$A$165:$I$185,4,0))</f>
        <v>39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1.1368683772161603E-13</v>
      </c>
      <c r="EK113" s="18">
        <f>EJ113*VLOOKUP('Données projet'!$B$15,Paramètres!$A$1:$I$89,3,0)*VLOOKUP('Données projet'!$B$15,Paramètres!$A$1:$I$89,5,0)</f>
        <v>6.7984728957526396E-14</v>
      </c>
      <c r="EL113" s="14">
        <f t="shared" si="99"/>
        <v>1.0682447123141398E-12</v>
      </c>
      <c r="EM113" s="22">
        <f t="shared" si="73"/>
        <v>1.978932943548152E-12</v>
      </c>
      <c r="EN113" s="60">
        <f t="shared" si="74"/>
        <v>293.3333333333353</v>
      </c>
      <c r="EO113" s="60">
        <f ca="1">AVERAGE(OFFSET($EN$3,0,0,'Données projet'!$E$15+1,1))-AVERAGE(OFFSET($H$3,0,0,'Données projet'!$E$15+1,1))</f>
        <v>269.94948820700841</v>
      </c>
      <c r="EP113" s="60">
        <f t="shared" si="100"/>
        <v>183.45158355135192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1.4858891122536018</v>
      </c>
      <c r="EX113" s="23">
        <f>EXP(-LN(2)/2)*EX112+(1-EXP(-LN(2)/2))/(LN(2)/2)*ER113*EU113*VLOOKUP('Données projet'!$B$15,Paramètres!$A$1:$I$89,3,0)*0.475*44/12</f>
        <v>5.1277599463724886E-12</v>
      </c>
      <c r="EY113" s="24">
        <f t="shared" si="75"/>
        <v>1.4858891122587294</v>
      </c>
      <c r="EZ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>
        <f>FE113*VLOOKUP('Données projet'!$B$16,Paramètres!$A$1:$I$89,3,0)*VLOOKUP('Données projet'!$B$16,Paramètres!$A$1:$I$89,5,0)</f>
        <v>0</v>
      </c>
      <c r="FG113" s="14" t="e">
        <f t="shared" si="101"/>
        <v>#NUM!</v>
      </c>
      <c r="FH113" s="22" t="e">
        <f t="shared" si="76"/>
        <v>#NUM!</v>
      </c>
      <c r="FI113" s="60" t="e">
        <f t="shared" si="77"/>
        <v>#NUM!</v>
      </c>
      <c r="FJ113" s="60">
        <f ca="1">AVERAGE(OFFSET($FI$3,0,0,'Données projet'!$E$16+1,1))-AVERAGE(OFFSET($H$3,0,0,'Données projet'!$E$16+1,1))</f>
        <v>111.24788725253484</v>
      </c>
      <c r="FK113" s="60">
        <f t="shared" si="102"/>
        <v>82.434879813357327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projet'!$B$16,Paramètres!$A$1:$I$89,3,0)*0.475*44/12</f>
        <v>0</v>
      </c>
      <c r="FR113" s="23">
        <f>EXP(-LN(2)/25)*FR112+(1-EXP(-LN(2)/25))/(LN(2)/25)*Calculateur!FM113*Calculateur!FO113*VLOOKUP('Données projet'!$B$16,Paramètres!$A$1:$I$89,3,0)*0.475*44/12</f>
        <v>0</v>
      </c>
      <c r="FS113" s="23">
        <f>EXP(-LN(2)/2)*FS112+(1-EXP(-LN(2)/2))/(LN(2)/2)*FM113*FP113*VLOOKUP('Données projet'!$B$16,Paramètres!$A$1:$I$89,3,0)*0.475*44/12</f>
        <v>0</v>
      </c>
      <c r="FT113" s="24">
        <f t="shared" si="78"/>
        <v>0</v>
      </c>
      <c r="FU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1.0231815394945443E-12</v>
      </c>
      <c r="GA113" s="18">
        <f>FZ113*VLOOKUP('Données projet'!$B$17,Paramètres!$A$1:$I$89,3,0)*VLOOKUP('Données projet'!$B$17,Paramètres!$A$1:$I$89,5,0)</f>
        <v>4.5224624045658859E-13</v>
      </c>
      <c r="GB113" s="14">
        <f t="shared" si="103"/>
        <v>5.6995607121061449E-12</v>
      </c>
      <c r="GC113" s="22">
        <f t="shared" si="79"/>
        <v>1.0714397109046761E-11</v>
      </c>
      <c r="GD113" s="60">
        <f t="shared" si="80"/>
        <v>293.333333333344</v>
      </c>
      <c r="GE113" s="60">
        <f ca="1">AVERAGE(OFFSET($GD$3,0,0,'Données projet'!$E$17+1,1))-AVERAGE(OFFSET($H$3,0,0,'Données projet'!$E$17+1,1))</f>
        <v>323.56667371063662</v>
      </c>
      <c r="GF113" s="60">
        <f t="shared" si="104"/>
        <v>275.70373467723385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>
        <f>EXP(-LN(2)/35)*GL112+(1-EXP(-LN(2)/35))/(LN(2)/35)*GH113*GI113*VLOOKUP('Données projet'!$B$17,Paramètres!$A$1:$I$89,3,0)*0.475*44/12</f>
        <v>0</v>
      </c>
      <c r="GM113" s="23">
        <f>EXP(-LN(2)/25)*GM112+(1-EXP(-LN(2)/25))/(LN(2)/25)*Calculateur!GH113*Calculateur!GJ113*VLOOKUP('Données projet'!$B$17,Paramètres!$A$1:$I$89,3,0)*0.475*44/12</f>
        <v>0</v>
      </c>
      <c r="GN113" s="23">
        <f>EXP(-LN(2)/2)*GN112+(1-EXP(-LN(2)/2))/(LN(2)/2)*GH113*GK113*VLOOKUP('Données projet'!$B$17,Paramètres!$A$1:$I$89,3,0)*0.475*44/12</f>
        <v>0</v>
      </c>
      <c r="GO113" s="23">
        <f t="shared" si="81"/>
        <v>0</v>
      </c>
      <c r="GP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0" t="e">
        <f t="shared" si="83"/>
        <v>#N/A</v>
      </c>
      <c r="GZ113" s="60" t="e">
        <f ca="1">AVERAGE(OFFSET($GY$3,0,0,'Données projet'!$E$18+1,1))-AVERAGE(OFFSET($H$3,0,0,'Données projet'!$E$18+1,1))</f>
        <v>#N/A</v>
      </c>
      <c r="HA113" s="60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4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2">
        <f t="shared" si="86"/>
        <v>17.32139509913188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-1.1368683772161603E-13</v>
      </c>
      <c r="O114" s="14">
        <f>N114*VLOOKUP('Données projet'!$B$9,Paramètres!$A$1:$I$89,3,0)*VLOOKUP('Données projet'!$B$9,Paramètres!$A$1:$I$89,5,0)</f>
        <v>-6.7984728957526396E-14</v>
      </c>
      <c r="P114" s="14" t="e">
        <f t="shared" si="87"/>
        <v>#NUM!</v>
      </c>
      <c r="Q114" s="22" t="e">
        <f t="shared" si="107"/>
        <v>#NUM!</v>
      </c>
      <c r="R114" s="60" t="e">
        <f t="shared" si="55"/>
        <v>#NUM!</v>
      </c>
      <c r="S114" s="60">
        <f ca="1">AVERAGE(OFFSET($R$3,0,0,'Données projet'!$E$9+1,1))-AVERAGE(OFFSET($H$3,0,0,'Données projet'!$E$9+1,1))</f>
        <v>235.63766249714581</v>
      </c>
      <c r="T114" s="60">
        <f t="shared" si="88"/>
        <v>231.3297293785277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2.306926297259392</v>
      </c>
      <c r="AA114" s="23">
        <f>EXP(-LN(2)/25)*AA113+(1-EXP(-LN(2)/25))/(LN(2)/25)*Calculateur!V114*Calculateur!X114*VLOOKUP('Données projet'!$B$9,Paramètres!$A$1:$I$89,3,0)*0.475*44/12</f>
        <v>1.8299174189230518</v>
      </c>
      <c r="AB114" s="23">
        <f>EXP(-LN(2)/2)*AB113+(1-EXP(-LN(2)/2))/(LN(2)/2)*V114*Y114*VLOOKUP('Données projet'!$B$9,Paramètres!$A$1:$I$89,3,0)*0.475*44/12</f>
        <v>4.574075305600421E-12</v>
      </c>
      <c r="AC114" s="24">
        <f t="shared" si="57"/>
        <v>4.136843716187018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3.7</v>
      </c>
      <c r="AI114" s="14">
        <f>IF('Données projet'!$A$62&gt;35,AI113+AH114-AQ113,IF(A114&lt;'Données projet'!$A$62,$AF$205^A114,IF(A114='Données projet'!$A$62,'Données projet'!$B$62,AI113+AH114-AQ113)))</f>
        <v>269.69999999999959</v>
      </c>
      <c r="AJ114" s="14">
        <f>AI114*VLOOKUP('Données projet'!$B$10,Paramètres!$A$1:$I$89,3,0)*VLOOKUP('Données projet'!$B$10,Paramètres!$A$1:$I$89,5,0)</f>
        <v>273.47579999999959</v>
      </c>
      <c r="AK114" s="14">
        <f t="shared" si="89"/>
        <v>65.586371730977532</v>
      </c>
      <c r="AL114" s="22">
        <f t="shared" si="58"/>
        <v>590.53328243145177</v>
      </c>
      <c r="AM114" s="60">
        <f t="shared" si="59"/>
        <v>883.86661576478514</v>
      </c>
      <c r="AN114" s="60">
        <f ca="1">AVERAGE(OFFSET($AM$3,0,0,'Données projet'!$E$10+1,1))-AVERAGE(OFFSET($H$3,0,0,'Données projet'!$E$10+1,1))</f>
        <v>350.3652766444938</v>
      </c>
      <c r="AO114" s="60">
        <f t="shared" si="90"/>
        <v>197.04549436738586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6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3.7</v>
      </c>
      <c r="BD114" s="13">
        <f>IF('Données projet'!$A$88&gt;35,BD113+BC114-BL113,IF(A114&lt;'Données projet'!$A$88,$BA$205^A114,IF(A114='Données projet'!$A$88,'Données projet'!$B$88,BD113+BC114-BL113)))</f>
        <v>269.69999999999959</v>
      </c>
      <c r="BE114" s="14">
        <f>BD114*VLOOKUP('Données projet'!$B$11,Paramètres!$A$1:$I$89,3,0)*VLOOKUP('Données projet'!$B$11,Paramètres!$A$1:$I$89,5,0)</f>
        <v>260.85383999999959</v>
      </c>
      <c r="BF114" s="14">
        <f t="shared" si="91"/>
        <v>62.904347395903649</v>
      </c>
      <c r="BG114" s="22">
        <f t="shared" si="61"/>
        <v>563.87884304786473</v>
      </c>
      <c r="BH114" s="60">
        <f t="shared" si="62"/>
        <v>857.21217638119811</v>
      </c>
      <c r="BI114" s="60">
        <f ca="1">AVERAGE(OFFSET($BH$3,0,0,'Données projet'!$E$11+1,1))-AVERAGE(OFFSET($H$3,0,0,'Données projet'!$E$11+1,1))</f>
        <v>330.39429528665841</v>
      </c>
      <c r="BJ114" s="60">
        <f t="shared" si="92"/>
        <v>186.45728006007261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1.7053025658242404E-13</v>
      </c>
      <c r="BZ114" s="14">
        <f>BY114*VLOOKUP('Données projet'!$B$12,Paramètres!$A$1:$I$89,3,0)*VLOOKUP('Données projet'!$B$12,Paramètres!$A$1:$I$89,5,0)</f>
        <v>1.1439169611549005E-13</v>
      </c>
      <c r="CA114" s="14">
        <f t="shared" si="93"/>
        <v>1.6918016515029816E-12</v>
      </c>
      <c r="CB114" s="22">
        <f t="shared" si="64"/>
        <v>3.1457867471021712E-12</v>
      </c>
      <c r="CC114" s="60">
        <f t="shared" si="65"/>
        <v>293.33333333333644</v>
      </c>
      <c r="CD114" s="60">
        <f ca="1">AVERAGE(OFFSET($CC$3,0,0,'Données projet'!$E$12+1,1))-AVERAGE(OFFSET($H$3,0,0,'Données projet'!$E$12+1,1))</f>
        <v>212.33913923444732</v>
      </c>
      <c r="CE114" s="60">
        <f t="shared" si="94"/>
        <v>183.51194426094372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-3.979039320256561E-13</v>
      </c>
      <c r="CU114" s="18">
        <f>CT114*VLOOKUP('Données projet'!$B$13,Paramètres!$A$1:$I$89,3,0)*VLOOKUP('Données projet'!$B$13,Paramètres!$A$1:$I$89,5,0)</f>
        <v>-3.4760887501761321E-13</v>
      </c>
      <c r="CV114" s="14" t="e">
        <f t="shared" si="95"/>
        <v>#NUM!</v>
      </c>
      <c r="CW114" s="22" t="e">
        <f t="shared" si="67"/>
        <v>#NUM!</v>
      </c>
      <c r="CX114" s="60" t="e">
        <f t="shared" si="68"/>
        <v>#NUM!</v>
      </c>
      <c r="CY114" s="60">
        <f ca="1">AVERAGE(OFFSET($CX$3,0,0,'Données projet'!$E$13+1,1))-AVERAGE(OFFSET($H$3,0,0,'Données projet'!$E$13+1,1))</f>
        <v>228.0393346366489</v>
      </c>
      <c r="CZ114" s="60">
        <f t="shared" si="96"/>
        <v>238.591781509447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3.7</v>
      </c>
      <c r="DO114" s="13">
        <f>IF('Données projet'!$A$166&gt;35,DO113+DN114-DW113,IF(A114&lt;'Données projet'!$A$166,$DL$205^A114,IF(A114='Données projet'!$A$166,'Données projet'!$B$166,DO113+DN114-DW113)))</f>
        <v>269.69999999999959</v>
      </c>
      <c r="DP114" s="18">
        <f>DO114*VLOOKUP('Données projet'!$B$14,Paramètres!$A$1:$I$89,3,0)*VLOOKUP('Données projet'!$B$14,Paramètres!$A$1:$I$89,5,0)</f>
        <v>244.02455999999964</v>
      </c>
      <c r="DQ114" s="14">
        <f t="shared" si="97"/>
        <v>59.304594314969229</v>
      </c>
      <c r="DR114" s="22">
        <f t="shared" si="70"/>
        <v>528.29827709857079</v>
      </c>
      <c r="DS114" s="60">
        <f t="shared" si="71"/>
        <v>821.63161043190416</v>
      </c>
      <c r="DT114" s="60">
        <f ca="1">AVERAGE(OFFSET($DS$3,0,0,'Données projet'!$E$14+1,1))-AVERAGE(OFFSET($H$3,0,0,'Données projet'!$E$14+1,1))</f>
        <v>303.73499739059076</v>
      </c>
      <c r="DU114" s="60">
        <f t="shared" si="98"/>
        <v>172.32171001882188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1.1368683772161603E-13</v>
      </c>
      <c r="EK114" s="18">
        <f>EJ114*VLOOKUP('Données projet'!$B$15,Paramètres!$A$1:$I$89,3,0)*VLOOKUP('Données projet'!$B$15,Paramètres!$A$1:$I$89,5,0)</f>
        <v>6.7984728957526396E-14</v>
      </c>
      <c r="EL114" s="14">
        <f t="shared" si="99"/>
        <v>1.0682447123141398E-12</v>
      </c>
      <c r="EM114" s="22">
        <f t="shared" si="73"/>
        <v>1.978932943548152E-12</v>
      </c>
      <c r="EN114" s="60">
        <f t="shared" si="74"/>
        <v>293.3333333333353</v>
      </c>
      <c r="EO114" s="60">
        <f ca="1">AVERAGE(OFFSET($EN$3,0,0,'Données projet'!$E$15+1,1))-AVERAGE(OFFSET($H$3,0,0,'Données projet'!$E$15+1,1))</f>
        <v>269.94948820700841</v>
      </c>
      <c r="EP114" s="60">
        <f t="shared" si="100"/>
        <v>183.45158355135192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1.4452573963395146</v>
      </c>
      <c r="EX114" s="23">
        <f>EXP(-LN(2)/2)*EX113+(1-EXP(-LN(2)/2))/(LN(2)/2)*ER114*EU114*VLOOKUP('Données projet'!$B$15,Paramètres!$A$1:$I$89,3,0)*0.475*44/12</f>
        <v>3.6258738303767543E-12</v>
      </c>
      <c r="EY114" s="24">
        <f t="shared" si="75"/>
        <v>1.4452573963431403</v>
      </c>
      <c r="EZ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>
        <f>FE114*VLOOKUP('Données projet'!$B$16,Paramètres!$A$1:$I$89,3,0)*VLOOKUP('Données projet'!$B$16,Paramètres!$A$1:$I$89,5,0)</f>
        <v>0</v>
      </c>
      <c r="FG114" s="14" t="e">
        <f t="shared" si="101"/>
        <v>#NUM!</v>
      </c>
      <c r="FH114" s="22" t="e">
        <f t="shared" si="76"/>
        <v>#NUM!</v>
      </c>
      <c r="FI114" s="60" t="e">
        <f t="shared" si="77"/>
        <v>#NUM!</v>
      </c>
      <c r="FJ114" s="60">
        <f ca="1">AVERAGE(OFFSET($FI$3,0,0,'Données projet'!$E$16+1,1))-AVERAGE(OFFSET($H$3,0,0,'Données projet'!$E$16+1,1))</f>
        <v>111.24788725253484</v>
      </c>
      <c r="FK114" s="60">
        <f t="shared" si="102"/>
        <v>82.434879813357327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projet'!$B$16,Paramètres!$A$1:$I$89,3,0)*0.475*44/12</f>
        <v>0</v>
      </c>
      <c r="FR114" s="23">
        <f>EXP(-LN(2)/25)*FR113+(1-EXP(-LN(2)/25))/(LN(2)/25)*Calculateur!FM114*Calculateur!FO114*VLOOKUP('Données projet'!$B$16,Paramètres!$A$1:$I$89,3,0)*0.475*44/12</f>
        <v>0</v>
      </c>
      <c r="FS114" s="23">
        <f>EXP(-LN(2)/2)*FS113+(1-EXP(-LN(2)/2))/(LN(2)/2)*FM114*FP114*VLOOKUP('Données projet'!$B$16,Paramètres!$A$1:$I$89,3,0)*0.475*44/12</f>
        <v>0</v>
      </c>
      <c r="FT114" s="24">
        <f t="shared" si="78"/>
        <v>0</v>
      </c>
      <c r="FU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1.0231815394945443E-12</v>
      </c>
      <c r="GA114" s="18">
        <f>FZ114*VLOOKUP('Données projet'!$B$17,Paramètres!$A$1:$I$89,3,0)*VLOOKUP('Données projet'!$B$17,Paramètres!$A$1:$I$89,5,0)</f>
        <v>4.5224624045658859E-13</v>
      </c>
      <c r="GB114" s="14">
        <f t="shared" si="103"/>
        <v>5.6995607121061449E-12</v>
      </c>
      <c r="GC114" s="22">
        <f t="shared" si="79"/>
        <v>1.0714397109046761E-11</v>
      </c>
      <c r="GD114" s="60">
        <f t="shared" si="80"/>
        <v>293.333333333344</v>
      </c>
      <c r="GE114" s="60">
        <f ca="1">AVERAGE(OFFSET($GD$3,0,0,'Données projet'!$E$17+1,1))-AVERAGE(OFFSET($H$3,0,0,'Données projet'!$E$17+1,1))</f>
        <v>323.56667371063662</v>
      </c>
      <c r="GF114" s="60">
        <f t="shared" si="104"/>
        <v>275.70373467723385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>
        <f>EXP(-LN(2)/35)*GL113+(1-EXP(-LN(2)/35))/(LN(2)/35)*GH114*GI114*VLOOKUP('Données projet'!$B$17,Paramètres!$A$1:$I$89,3,0)*0.475*44/12</f>
        <v>0</v>
      </c>
      <c r="GM114" s="23">
        <f>EXP(-LN(2)/25)*GM113+(1-EXP(-LN(2)/25))/(LN(2)/25)*Calculateur!GH114*Calculateur!GJ114*VLOOKUP('Données projet'!$B$17,Paramètres!$A$1:$I$89,3,0)*0.475*44/12</f>
        <v>0</v>
      </c>
      <c r="GN114" s="23">
        <f>EXP(-LN(2)/2)*GN113+(1-EXP(-LN(2)/2))/(LN(2)/2)*GH114*GK114*VLOOKUP('Données projet'!$B$17,Paramètres!$A$1:$I$89,3,0)*0.475*44/12</f>
        <v>0</v>
      </c>
      <c r="GO114" s="23">
        <f t="shared" si="81"/>
        <v>0</v>
      </c>
      <c r="GP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0" t="e">
        <f t="shared" si="83"/>
        <v>#N/A</v>
      </c>
      <c r="GZ114" s="60" t="e">
        <f ca="1">AVERAGE(OFFSET($GY$3,0,0,'Données projet'!$E$18+1,1))-AVERAGE(OFFSET($H$3,0,0,'Données projet'!$E$18+1,1))</f>
        <v>#N/A</v>
      </c>
      <c r="HA114" s="60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4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2">
        <f t="shared" si="86"/>
        <v>17.459207591071241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-1.1368683772161603E-13</v>
      </c>
      <c r="O115" s="14">
        <f>N115*VLOOKUP('Données projet'!$B$9,Paramètres!$A$1:$I$89,3,0)*VLOOKUP('Données projet'!$B$9,Paramètres!$A$1:$I$89,5,0)</f>
        <v>-6.7984728957526396E-14</v>
      </c>
      <c r="P115" s="14" t="e">
        <f t="shared" si="87"/>
        <v>#NUM!</v>
      </c>
      <c r="Q115" s="22" t="e">
        <f t="shared" si="107"/>
        <v>#NUM!</v>
      </c>
      <c r="R115" s="60" t="e">
        <f t="shared" si="55"/>
        <v>#NUM!</v>
      </c>
      <c r="S115" s="60">
        <f ca="1">AVERAGE(OFFSET($R$3,0,0,'Données projet'!$E$9+1,1))-AVERAGE(OFFSET($H$3,0,0,'Données projet'!$E$9+1,1))</f>
        <v>235.63766249714581</v>
      </c>
      <c r="T115" s="60">
        <f t="shared" si="88"/>
        <v>231.3297293785277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2.2616888796562384</v>
      </c>
      <c r="AA115" s="23">
        <f>EXP(-LN(2)/25)*AA114+(1-EXP(-LN(2)/25))/(LN(2)/25)*Calculateur!V115*Calculateur!X115*VLOOKUP('Données projet'!$B$9,Paramètres!$A$1:$I$89,3,0)*0.475*44/12</f>
        <v>1.7798782308714263</v>
      </c>
      <c r="AB115" s="23">
        <f>EXP(-LN(2)/2)*AB114+(1-EXP(-LN(2)/2))/(LN(2)/2)*V115*Y115*VLOOKUP('Données projet'!$B$9,Paramètres!$A$1:$I$89,3,0)*0.475*44/12</f>
        <v>3.2343596662479874E-12</v>
      </c>
      <c r="AC115" s="24">
        <f t="shared" si="57"/>
        <v>4.0415671105308997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3.7</v>
      </c>
      <c r="AI115" s="14">
        <f>IF('Données projet'!$A$62&gt;35,AI114+AH115-AQ114,IF(A115&lt;'Données projet'!$A$62,$AF$205^A115,IF(A115='Données projet'!$A$62,'Données projet'!$B$62,AI114+AH115-AQ114)))</f>
        <v>273.39999999999958</v>
      </c>
      <c r="AJ115" s="14">
        <f>AI115*VLOOKUP('Données projet'!$B$10,Paramètres!$A$1:$I$89,3,0)*VLOOKUP('Données projet'!$B$10,Paramètres!$A$1:$I$89,5,0)</f>
        <v>277.2275999999996</v>
      </c>
      <c r="AK115" s="14">
        <f t="shared" si="89"/>
        <v>66.380782187895392</v>
      </c>
      <c r="AL115" s="22">
        <f t="shared" si="58"/>
        <v>598.45126564391705</v>
      </c>
      <c r="AM115" s="60">
        <f t="shared" si="59"/>
        <v>891.78459897725043</v>
      </c>
      <c r="AN115" s="60">
        <f ca="1">AVERAGE(OFFSET($AM$3,0,0,'Données projet'!$E$10+1,1))-AVERAGE(OFFSET($H$3,0,0,'Données projet'!$E$10+1,1))</f>
        <v>350.3652766444938</v>
      </c>
      <c r="AO115" s="60">
        <f t="shared" si="90"/>
        <v>197.04549436738586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6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3.7</v>
      </c>
      <c r="BD115" s="13">
        <f>IF('Données projet'!$A$88&gt;35,BD114+BC115-BL114,IF(A115&lt;'Données projet'!$A$88,$BA$205^A115,IF(A115='Données projet'!$A$88,'Données projet'!$B$88,BD114+BC115-BL114)))</f>
        <v>273.39999999999958</v>
      </c>
      <c r="BE115" s="14">
        <f>BD115*VLOOKUP('Données projet'!$B$11,Paramètres!$A$1:$I$89,3,0)*VLOOKUP('Données projet'!$B$11,Paramètres!$A$1:$I$89,5,0)</f>
        <v>264.4324799999996</v>
      </c>
      <c r="BF115" s="14">
        <f t="shared" si="91"/>
        <v>63.666272015882292</v>
      </c>
      <c r="BG115" s="22">
        <f t="shared" si="61"/>
        <v>571.43865976099426</v>
      </c>
      <c r="BH115" s="60">
        <f t="shared" si="62"/>
        <v>864.77199309432763</v>
      </c>
      <c r="BI115" s="60">
        <f ca="1">AVERAGE(OFFSET($BH$3,0,0,'Données projet'!$E$11+1,1))-AVERAGE(OFFSET($H$3,0,0,'Données projet'!$E$11+1,1))</f>
        <v>330.39429528665841</v>
      </c>
      <c r="BJ115" s="60">
        <f t="shared" si="92"/>
        <v>186.45728006007261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1.7053025658242404E-13</v>
      </c>
      <c r="BZ115" s="14">
        <f>BY115*VLOOKUP('Données projet'!$B$12,Paramètres!$A$1:$I$89,3,0)*VLOOKUP('Données projet'!$B$12,Paramètres!$A$1:$I$89,5,0)</f>
        <v>1.1439169611549005E-13</v>
      </c>
      <c r="CA115" s="14">
        <f t="shared" si="93"/>
        <v>1.6918016515029816E-12</v>
      </c>
      <c r="CB115" s="22">
        <f t="shared" si="64"/>
        <v>3.1457867471021712E-12</v>
      </c>
      <c r="CC115" s="60">
        <f t="shared" si="65"/>
        <v>293.33333333333644</v>
      </c>
      <c r="CD115" s="60">
        <f ca="1">AVERAGE(OFFSET($CC$3,0,0,'Données projet'!$E$12+1,1))-AVERAGE(OFFSET($H$3,0,0,'Données projet'!$E$12+1,1))</f>
        <v>212.33913923444732</v>
      </c>
      <c r="CE115" s="60">
        <f t="shared" si="94"/>
        <v>183.51194426094372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-3.979039320256561E-13</v>
      </c>
      <c r="CU115" s="18">
        <f>CT115*VLOOKUP('Données projet'!$B$13,Paramètres!$A$1:$I$89,3,0)*VLOOKUP('Données projet'!$B$13,Paramètres!$A$1:$I$89,5,0)</f>
        <v>-3.4760887501761321E-13</v>
      </c>
      <c r="CV115" s="14" t="e">
        <f t="shared" si="95"/>
        <v>#NUM!</v>
      </c>
      <c r="CW115" s="22" t="e">
        <f t="shared" si="67"/>
        <v>#NUM!</v>
      </c>
      <c r="CX115" s="60" t="e">
        <f t="shared" si="68"/>
        <v>#NUM!</v>
      </c>
      <c r="CY115" s="60">
        <f ca="1">AVERAGE(OFFSET($CX$3,0,0,'Données projet'!$E$13+1,1))-AVERAGE(OFFSET($H$3,0,0,'Données projet'!$E$13+1,1))</f>
        <v>228.0393346366489</v>
      </c>
      <c r="CZ115" s="60">
        <f t="shared" si="96"/>
        <v>238.591781509447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3.7</v>
      </c>
      <c r="DO115" s="13">
        <f>IF('Données projet'!$A$166&gt;35,DO114+DN115-DW114,IF(A115&lt;'Données projet'!$A$166,$DL$205^A115,IF(A115='Données projet'!$A$166,'Données projet'!$B$166,DO114+DN115-DW114)))</f>
        <v>273.39999999999958</v>
      </c>
      <c r="DP115" s="18">
        <f>DO115*VLOOKUP('Données projet'!$B$14,Paramètres!$A$1:$I$89,3,0)*VLOOKUP('Données projet'!$B$14,Paramètres!$A$1:$I$89,5,0)</f>
        <v>247.3723199999996</v>
      </c>
      <c r="DQ115" s="14">
        <f t="shared" si="97"/>
        <v>60.022917171130942</v>
      </c>
      <c r="DR115" s="22">
        <f t="shared" si="70"/>
        <v>535.38003807305233</v>
      </c>
      <c r="DS115" s="60">
        <f t="shared" si="71"/>
        <v>828.7133714063857</v>
      </c>
      <c r="DT115" s="60">
        <f ca="1">AVERAGE(OFFSET($DS$3,0,0,'Données projet'!$E$14+1,1))-AVERAGE(OFFSET($H$3,0,0,'Données projet'!$E$14+1,1))</f>
        <v>303.73499739059076</v>
      </c>
      <c r="DU115" s="60">
        <f t="shared" si="98"/>
        <v>172.32171001882188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1.1368683772161603E-13</v>
      </c>
      <c r="EK115" s="18">
        <f>EJ115*VLOOKUP('Données projet'!$B$15,Paramètres!$A$1:$I$89,3,0)*VLOOKUP('Données projet'!$B$15,Paramètres!$A$1:$I$89,5,0)</f>
        <v>6.7984728957526396E-14</v>
      </c>
      <c r="EL115" s="14">
        <f t="shared" si="99"/>
        <v>1.0682447123141398E-12</v>
      </c>
      <c r="EM115" s="22">
        <f t="shared" si="73"/>
        <v>1.978932943548152E-12</v>
      </c>
      <c r="EN115" s="60">
        <f t="shared" si="74"/>
        <v>293.3333333333353</v>
      </c>
      <c r="EO115" s="60">
        <f ca="1">AVERAGE(OFFSET($EN$3,0,0,'Données projet'!$E$15+1,1))-AVERAGE(OFFSET($H$3,0,0,'Données projet'!$E$15+1,1))</f>
        <v>269.94948820700841</v>
      </c>
      <c r="EP115" s="60">
        <f t="shared" si="100"/>
        <v>183.45158355135192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1.4057367568338273</v>
      </c>
      <c r="EX115" s="23">
        <f>EXP(-LN(2)/2)*EX114+(1-EXP(-LN(2)/2))/(LN(2)/2)*ER115*EU115*VLOOKUP('Données projet'!$B$15,Paramètres!$A$1:$I$89,3,0)*0.475*44/12</f>
        <v>2.5638799731862447E-12</v>
      </c>
      <c r="EY115" s="24">
        <f t="shared" si="75"/>
        <v>1.4057367568363912</v>
      </c>
      <c r="EZ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>
        <f>FE115*VLOOKUP('Données projet'!$B$16,Paramètres!$A$1:$I$89,3,0)*VLOOKUP('Données projet'!$B$16,Paramètres!$A$1:$I$89,5,0)</f>
        <v>0</v>
      </c>
      <c r="FG115" s="14" t="e">
        <f t="shared" si="101"/>
        <v>#NUM!</v>
      </c>
      <c r="FH115" s="22" t="e">
        <f t="shared" si="76"/>
        <v>#NUM!</v>
      </c>
      <c r="FI115" s="60" t="e">
        <f t="shared" si="77"/>
        <v>#NUM!</v>
      </c>
      <c r="FJ115" s="60">
        <f ca="1">AVERAGE(OFFSET($FI$3,0,0,'Données projet'!$E$16+1,1))-AVERAGE(OFFSET($H$3,0,0,'Données projet'!$E$16+1,1))</f>
        <v>111.24788725253484</v>
      </c>
      <c r="FK115" s="60">
        <f t="shared" si="102"/>
        <v>82.434879813357327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projet'!$B$16,Paramètres!$A$1:$I$89,3,0)*0.475*44/12</f>
        <v>0</v>
      </c>
      <c r="FR115" s="23">
        <f>EXP(-LN(2)/25)*FR114+(1-EXP(-LN(2)/25))/(LN(2)/25)*Calculateur!FM115*Calculateur!FO115*VLOOKUP('Données projet'!$B$16,Paramètres!$A$1:$I$89,3,0)*0.475*44/12</f>
        <v>0</v>
      </c>
      <c r="FS115" s="23">
        <f>EXP(-LN(2)/2)*FS114+(1-EXP(-LN(2)/2))/(LN(2)/2)*FM115*FP115*VLOOKUP('Données projet'!$B$16,Paramètres!$A$1:$I$89,3,0)*0.475*44/12</f>
        <v>0</v>
      </c>
      <c r="FT115" s="24">
        <f t="shared" si="78"/>
        <v>0</v>
      </c>
      <c r="FU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1.0231815394945443E-12</v>
      </c>
      <c r="GA115" s="18">
        <f>FZ115*VLOOKUP('Données projet'!$B$17,Paramètres!$A$1:$I$89,3,0)*VLOOKUP('Données projet'!$B$17,Paramètres!$A$1:$I$89,5,0)</f>
        <v>4.5224624045658859E-13</v>
      </c>
      <c r="GB115" s="14">
        <f t="shared" si="103"/>
        <v>5.6995607121061449E-12</v>
      </c>
      <c r="GC115" s="22">
        <f t="shared" si="79"/>
        <v>1.0714397109046761E-11</v>
      </c>
      <c r="GD115" s="60">
        <f t="shared" si="80"/>
        <v>293.333333333344</v>
      </c>
      <c r="GE115" s="60">
        <f ca="1">AVERAGE(OFFSET($GD$3,0,0,'Données projet'!$E$17+1,1))-AVERAGE(OFFSET($H$3,0,0,'Données projet'!$E$17+1,1))</f>
        <v>323.56667371063662</v>
      </c>
      <c r="GF115" s="60">
        <f t="shared" si="104"/>
        <v>275.70373467723385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>
        <f>EXP(-LN(2)/35)*GL114+(1-EXP(-LN(2)/35))/(LN(2)/35)*GH115*GI115*VLOOKUP('Données projet'!$B$17,Paramètres!$A$1:$I$89,3,0)*0.475*44/12</f>
        <v>0</v>
      </c>
      <c r="GM115" s="23">
        <f>EXP(-LN(2)/25)*GM114+(1-EXP(-LN(2)/25))/(LN(2)/25)*Calculateur!GH115*Calculateur!GJ115*VLOOKUP('Données projet'!$B$17,Paramètres!$A$1:$I$89,3,0)*0.475*44/12</f>
        <v>0</v>
      </c>
      <c r="GN115" s="23">
        <f>EXP(-LN(2)/2)*GN114+(1-EXP(-LN(2)/2))/(LN(2)/2)*GH115*GK115*VLOOKUP('Données projet'!$B$17,Paramètres!$A$1:$I$89,3,0)*0.475*44/12</f>
        <v>0</v>
      </c>
      <c r="GO115" s="23">
        <f t="shared" si="81"/>
        <v>0</v>
      </c>
      <c r="GP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0" t="e">
        <f t="shared" si="83"/>
        <v>#N/A</v>
      </c>
      <c r="GZ115" s="60" t="e">
        <f ca="1">AVERAGE(OFFSET($GY$3,0,0,'Données projet'!$E$18+1,1))-AVERAGE(OFFSET($H$3,0,0,'Données projet'!$E$18+1,1))</f>
        <v>#N/A</v>
      </c>
      <c r="HA115" s="60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4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2">
        <f t="shared" si="86"/>
        <v>17.596876928845635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-1.1368683772161603E-13</v>
      </c>
      <c r="O116" s="14">
        <f>N116*VLOOKUP('Données projet'!$B$9,Paramètres!$A$1:$I$89,3,0)*VLOOKUP('Données projet'!$B$9,Paramètres!$A$1:$I$89,5,0)</f>
        <v>-6.7984728957526396E-14</v>
      </c>
      <c r="P116" s="14" t="e">
        <f t="shared" si="87"/>
        <v>#NUM!</v>
      </c>
      <c r="Q116" s="22" t="e">
        <f t="shared" si="107"/>
        <v>#NUM!</v>
      </c>
      <c r="R116" s="60" t="e">
        <f t="shared" si="55"/>
        <v>#NUM!</v>
      </c>
      <c r="S116" s="60">
        <f ca="1">AVERAGE(OFFSET($R$3,0,0,'Données projet'!$E$9+1,1))-AVERAGE(OFFSET($H$3,0,0,'Données projet'!$E$9+1,1))</f>
        <v>235.63766249714581</v>
      </c>
      <c r="T116" s="60">
        <f t="shared" si="88"/>
        <v>231.3297293785277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2.2173385402201826</v>
      </c>
      <c r="AA116" s="23">
        <f>EXP(-LN(2)/25)*AA115+(1-EXP(-LN(2)/25))/(LN(2)/25)*Calculateur!V116*Calculateur!X116*VLOOKUP('Données projet'!$B$9,Paramètres!$A$1:$I$89,3,0)*0.475*44/12</f>
        <v>1.7312073670485189</v>
      </c>
      <c r="AB116" s="23">
        <f>EXP(-LN(2)/2)*AB115+(1-EXP(-LN(2)/2))/(LN(2)/2)*V116*Y116*VLOOKUP('Données projet'!$B$9,Paramètres!$A$1:$I$89,3,0)*0.475*44/12</f>
        <v>2.2870376528002105E-12</v>
      </c>
      <c r="AC116" s="24">
        <f t="shared" si="57"/>
        <v>3.9485459072709883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3.7</v>
      </c>
      <c r="AI116" s="14">
        <f>IF('Données projet'!$A$62&gt;35,AI115+AH116-AQ115,IF(A116&lt;'Données projet'!$A$62,$AF$205^A116,IF(A116='Données projet'!$A$62,'Données projet'!$B$62,AI115+AH116-AQ115)))</f>
        <v>277.09999999999957</v>
      </c>
      <c r="AJ116" s="14">
        <f>AI116*VLOOKUP('Données projet'!$B$10,Paramètres!$A$1:$I$89,3,0)*VLOOKUP('Données projet'!$B$10,Paramètres!$A$1:$I$89,5,0)</f>
        <v>280.9793999999996</v>
      </c>
      <c r="AK116" s="14">
        <f t="shared" si="89"/>
        <v>67.173942175199358</v>
      </c>
      <c r="AL116" s="22">
        <f t="shared" si="58"/>
        <v>606.36707095513827</v>
      </c>
      <c r="AM116" s="60">
        <f t="shared" si="59"/>
        <v>899.70040428847165</v>
      </c>
      <c r="AN116" s="60">
        <f ca="1">AVERAGE(OFFSET($AM$3,0,0,'Données projet'!$E$10+1,1))-AVERAGE(OFFSET($H$3,0,0,'Données projet'!$E$10+1,1))</f>
        <v>350.3652766444938</v>
      </c>
      <c r="AO116" s="60">
        <f t="shared" si="90"/>
        <v>197.04549436738586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6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3.7</v>
      </c>
      <c r="BD116" s="13">
        <f>IF('Données projet'!$A$88&gt;35,BD115+BC116-BL115,IF(A116&lt;'Données projet'!$A$88,$BA$205^A116,IF(A116='Données projet'!$A$88,'Données projet'!$B$88,BD115+BC116-BL115)))</f>
        <v>277.09999999999957</v>
      </c>
      <c r="BE116" s="14">
        <f>BD116*VLOOKUP('Données projet'!$B$11,Paramètres!$A$1:$I$89,3,0)*VLOOKUP('Données projet'!$B$11,Paramètres!$A$1:$I$89,5,0)</f>
        <v>268.01111999999961</v>
      </c>
      <c r="BF116" s="14">
        <f t="shared" si="91"/>
        <v>64.426997301716796</v>
      </c>
      <c r="BG116" s="22">
        <f t="shared" si="61"/>
        <v>578.99638763382268</v>
      </c>
      <c r="BH116" s="60">
        <f t="shared" si="62"/>
        <v>872.32972096715594</v>
      </c>
      <c r="BI116" s="60">
        <f ca="1">AVERAGE(OFFSET($BH$3,0,0,'Données projet'!$E$11+1,1))-AVERAGE(OFFSET($H$3,0,0,'Données projet'!$E$11+1,1))</f>
        <v>330.39429528665841</v>
      </c>
      <c r="BJ116" s="60">
        <f t="shared" si="92"/>
        <v>186.45728006007261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1.7053025658242404E-13</v>
      </c>
      <c r="BZ116" s="14">
        <f>BY116*VLOOKUP('Données projet'!$B$12,Paramètres!$A$1:$I$89,3,0)*VLOOKUP('Données projet'!$B$12,Paramètres!$A$1:$I$89,5,0)</f>
        <v>1.1439169611549005E-13</v>
      </c>
      <c r="CA116" s="14">
        <f t="shared" si="93"/>
        <v>1.6918016515029816E-12</v>
      </c>
      <c r="CB116" s="22">
        <f t="shared" si="64"/>
        <v>3.1457867471021712E-12</v>
      </c>
      <c r="CC116" s="60">
        <f t="shared" si="65"/>
        <v>293.33333333333644</v>
      </c>
      <c r="CD116" s="60">
        <f ca="1">AVERAGE(OFFSET($CC$3,0,0,'Données projet'!$E$12+1,1))-AVERAGE(OFFSET($H$3,0,0,'Données projet'!$E$12+1,1))</f>
        <v>212.33913923444732</v>
      </c>
      <c r="CE116" s="60">
        <f t="shared" si="94"/>
        <v>183.51194426094372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-3.979039320256561E-13</v>
      </c>
      <c r="CU116" s="18">
        <f>CT116*VLOOKUP('Données projet'!$B$13,Paramètres!$A$1:$I$89,3,0)*VLOOKUP('Données projet'!$B$13,Paramètres!$A$1:$I$89,5,0)</f>
        <v>-3.4760887501761321E-13</v>
      </c>
      <c r="CV116" s="14" t="e">
        <f t="shared" si="95"/>
        <v>#NUM!</v>
      </c>
      <c r="CW116" s="22" t="e">
        <f t="shared" si="67"/>
        <v>#NUM!</v>
      </c>
      <c r="CX116" s="60" t="e">
        <f t="shared" si="68"/>
        <v>#NUM!</v>
      </c>
      <c r="CY116" s="60">
        <f ca="1">AVERAGE(OFFSET($CX$3,0,0,'Données projet'!$E$13+1,1))-AVERAGE(OFFSET($H$3,0,0,'Données projet'!$E$13+1,1))</f>
        <v>228.0393346366489</v>
      </c>
      <c r="CZ116" s="60">
        <f t="shared" si="96"/>
        <v>238.591781509447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3.7</v>
      </c>
      <c r="DO116" s="13">
        <f>IF('Données projet'!$A$166&gt;35,DO115+DN116-DW115,IF(A116&lt;'Données projet'!$A$166,$DL$205^A116,IF(A116='Données projet'!$A$166,'Données projet'!$B$166,DO115+DN116-DW115)))</f>
        <v>277.09999999999957</v>
      </c>
      <c r="DP116" s="18">
        <f>DO116*VLOOKUP('Données projet'!$B$14,Paramètres!$A$1:$I$89,3,0)*VLOOKUP('Données projet'!$B$14,Paramètres!$A$1:$I$89,5,0)</f>
        <v>250.7200799999996</v>
      </c>
      <c r="DQ116" s="14">
        <f t="shared" si="97"/>
        <v>60.740109326032709</v>
      </c>
      <c r="DR116" s="22">
        <f t="shared" si="70"/>
        <v>542.45982974283959</v>
      </c>
      <c r="DS116" s="60">
        <f t="shared" si="71"/>
        <v>835.79316307617296</v>
      </c>
      <c r="DT116" s="60">
        <f ca="1">AVERAGE(OFFSET($DS$3,0,0,'Données projet'!$E$14+1,1))-AVERAGE(OFFSET($H$3,0,0,'Données projet'!$E$14+1,1))</f>
        <v>303.73499739059076</v>
      </c>
      <c r="DU116" s="60">
        <f t="shared" si="98"/>
        <v>172.32171001882188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1.1368683772161603E-13</v>
      </c>
      <c r="EK116" s="18">
        <f>EJ116*VLOOKUP('Données projet'!$B$15,Paramètres!$A$1:$I$89,3,0)*VLOOKUP('Données projet'!$B$15,Paramètres!$A$1:$I$89,5,0)</f>
        <v>6.7984728957526396E-14</v>
      </c>
      <c r="EL116" s="14">
        <f t="shared" si="99"/>
        <v>1.0682447123141398E-12</v>
      </c>
      <c r="EM116" s="22">
        <f t="shared" si="73"/>
        <v>1.978932943548152E-12</v>
      </c>
      <c r="EN116" s="60">
        <f t="shared" si="74"/>
        <v>293.3333333333353</v>
      </c>
      <c r="EO116" s="60">
        <f ca="1">AVERAGE(OFFSET($EN$3,0,0,'Données projet'!$E$15+1,1))-AVERAGE(OFFSET($H$3,0,0,'Données projet'!$E$15+1,1))</f>
        <v>269.94948820700841</v>
      </c>
      <c r="EP116" s="60">
        <f t="shared" si="100"/>
        <v>183.45158355135192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1.3672968112937232</v>
      </c>
      <c r="EX116" s="23">
        <f>EXP(-LN(2)/2)*EX115+(1-EXP(-LN(2)/2))/(LN(2)/2)*ER116*EU116*VLOOKUP('Données projet'!$B$15,Paramètres!$A$1:$I$89,3,0)*0.475*44/12</f>
        <v>1.8129369151883774E-12</v>
      </c>
      <c r="EY116" s="24">
        <f t="shared" si="75"/>
        <v>1.3672968112955362</v>
      </c>
      <c r="EZ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>
        <f>FE116*VLOOKUP('Données projet'!$B$16,Paramètres!$A$1:$I$89,3,0)*VLOOKUP('Données projet'!$B$16,Paramètres!$A$1:$I$89,5,0)</f>
        <v>0</v>
      </c>
      <c r="FG116" s="14" t="e">
        <f t="shared" si="101"/>
        <v>#NUM!</v>
      </c>
      <c r="FH116" s="22" t="e">
        <f t="shared" si="76"/>
        <v>#NUM!</v>
      </c>
      <c r="FI116" s="60" t="e">
        <f t="shared" si="77"/>
        <v>#NUM!</v>
      </c>
      <c r="FJ116" s="60">
        <f ca="1">AVERAGE(OFFSET($FI$3,0,0,'Données projet'!$E$16+1,1))-AVERAGE(OFFSET($H$3,0,0,'Données projet'!$E$16+1,1))</f>
        <v>111.24788725253484</v>
      </c>
      <c r="FK116" s="60">
        <f t="shared" si="102"/>
        <v>82.434879813357327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projet'!$B$16,Paramètres!$A$1:$I$89,3,0)*0.475*44/12</f>
        <v>0</v>
      </c>
      <c r="FR116" s="23">
        <f>EXP(-LN(2)/25)*FR115+(1-EXP(-LN(2)/25))/(LN(2)/25)*Calculateur!FM116*Calculateur!FO116*VLOOKUP('Données projet'!$B$16,Paramètres!$A$1:$I$89,3,0)*0.475*44/12</f>
        <v>0</v>
      </c>
      <c r="FS116" s="23">
        <f>EXP(-LN(2)/2)*FS115+(1-EXP(-LN(2)/2))/(LN(2)/2)*FM116*FP116*VLOOKUP('Données projet'!$B$16,Paramètres!$A$1:$I$89,3,0)*0.475*44/12</f>
        <v>0</v>
      </c>
      <c r="FT116" s="24">
        <f t="shared" si="78"/>
        <v>0</v>
      </c>
      <c r="FU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1.0231815394945443E-12</v>
      </c>
      <c r="GA116" s="18">
        <f>FZ116*VLOOKUP('Données projet'!$B$17,Paramètres!$A$1:$I$89,3,0)*VLOOKUP('Données projet'!$B$17,Paramètres!$A$1:$I$89,5,0)</f>
        <v>4.5224624045658859E-13</v>
      </c>
      <c r="GB116" s="14">
        <f t="shared" si="103"/>
        <v>5.6995607121061449E-12</v>
      </c>
      <c r="GC116" s="22">
        <f t="shared" si="79"/>
        <v>1.0714397109046761E-11</v>
      </c>
      <c r="GD116" s="60">
        <f t="shared" si="80"/>
        <v>293.333333333344</v>
      </c>
      <c r="GE116" s="60">
        <f ca="1">AVERAGE(OFFSET($GD$3,0,0,'Données projet'!$E$17+1,1))-AVERAGE(OFFSET($H$3,0,0,'Données projet'!$E$17+1,1))</f>
        <v>323.56667371063662</v>
      </c>
      <c r="GF116" s="60">
        <f t="shared" si="104"/>
        <v>275.70373467723385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>
        <f>EXP(-LN(2)/35)*GL115+(1-EXP(-LN(2)/35))/(LN(2)/35)*GH116*GI116*VLOOKUP('Données projet'!$B$17,Paramètres!$A$1:$I$89,3,0)*0.475*44/12</f>
        <v>0</v>
      </c>
      <c r="GM116" s="23">
        <f>EXP(-LN(2)/25)*GM115+(1-EXP(-LN(2)/25))/(LN(2)/25)*Calculateur!GH116*Calculateur!GJ116*VLOOKUP('Données projet'!$B$17,Paramètres!$A$1:$I$89,3,0)*0.475*44/12</f>
        <v>0</v>
      </c>
      <c r="GN116" s="23">
        <f>EXP(-LN(2)/2)*GN115+(1-EXP(-LN(2)/2))/(LN(2)/2)*GH116*GK116*VLOOKUP('Données projet'!$B$17,Paramètres!$A$1:$I$89,3,0)*0.475*44/12</f>
        <v>0</v>
      </c>
      <c r="GO116" s="23">
        <f t="shared" si="81"/>
        <v>0</v>
      </c>
      <c r="GP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0" t="e">
        <f t="shared" si="83"/>
        <v>#N/A</v>
      </c>
      <c r="GZ116" s="60" t="e">
        <f ca="1">AVERAGE(OFFSET($GY$3,0,0,'Données projet'!$E$18+1,1))-AVERAGE(OFFSET($H$3,0,0,'Données projet'!$E$18+1,1))</f>
        <v>#N/A</v>
      </c>
      <c r="HA116" s="60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4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2">
        <f t="shared" si="86"/>
        <v>17.734404526076418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-1.1368683772161603E-13</v>
      </c>
      <c r="O117" s="14">
        <f>N117*VLOOKUP('Données projet'!$B$9,Paramètres!$A$1:$I$89,3,0)*VLOOKUP('Données projet'!$B$9,Paramètres!$A$1:$I$89,5,0)</f>
        <v>-6.7984728957526396E-14</v>
      </c>
      <c r="P117" s="14" t="e">
        <f t="shared" si="87"/>
        <v>#NUM!</v>
      </c>
      <c r="Q117" s="22" t="e">
        <f t="shared" si="107"/>
        <v>#NUM!</v>
      </c>
      <c r="R117" s="60" t="e">
        <f t="shared" si="55"/>
        <v>#NUM!</v>
      </c>
      <c r="S117" s="60">
        <f ca="1">AVERAGE(OFFSET($R$3,0,0,'Données projet'!$E$9+1,1))-AVERAGE(OFFSET($H$3,0,0,'Données projet'!$E$9+1,1))</f>
        <v>235.63766249714581</v>
      </c>
      <c r="T117" s="60">
        <f t="shared" si="88"/>
        <v>231.3297293785277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2.1738578838894318</v>
      </c>
      <c r="AA117" s="23">
        <f>EXP(-LN(2)/25)*AA116+(1-EXP(-LN(2)/25))/(LN(2)/25)*Calculateur!V117*Calculateur!X117*VLOOKUP('Données projet'!$B$9,Paramètres!$A$1:$I$89,3,0)*0.475*44/12</f>
        <v>1.6838674105563385</v>
      </c>
      <c r="AB117" s="23">
        <f>EXP(-LN(2)/2)*AB116+(1-EXP(-LN(2)/2))/(LN(2)/2)*V117*Y117*VLOOKUP('Données projet'!$B$9,Paramètres!$A$1:$I$89,3,0)*0.475*44/12</f>
        <v>1.6171798331239937E-12</v>
      </c>
      <c r="AC117" s="24">
        <f t="shared" si="57"/>
        <v>3.8577252944473877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3.7</v>
      </c>
      <c r="AI117" s="14">
        <f>IF('Données projet'!$A$62&gt;35,AI116+AH117-AQ116,IF(A117&lt;'Données projet'!$A$62,$AF$205^A117,IF(A117='Données projet'!$A$62,'Données projet'!$B$62,AI116+AH117-AQ116)))</f>
        <v>280.79999999999956</v>
      </c>
      <c r="AJ117" s="14">
        <f>AI117*VLOOKUP('Données projet'!$B$10,Paramètres!$A$1:$I$89,3,0)*VLOOKUP('Données projet'!$B$10,Paramètres!$A$1:$I$89,5,0)</f>
        <v>284.7311999999996</v>
      </c>
      <c r="AK117" s="14">
        <f t="shared" si="89"/>
        <v>67.965870320050882</v>
      </c>
      <c r="AL117" s="22">
        <f t="shared" si="58"/>
        <v>614.28073080742126</v>
      </c>
      <c r="AM117" s="60">
        <f t="shared" si="59"/>
        <v>907.61406414075464</v>
      </c>
      <c r="AN117" s="60">
        <f ca="1">AVERAGE(OFFSET($AM$3,0,0,'Données projet'!$E$10+1,1))-AVERAGE(OFFSET($H$3,0,0,'Données projet'!$E$10+1,1))</f>
        <v>350.3652766444938</v>
      </c>
      <c r="AO117" s="60">
        <f t="shared" si="90"/>
        <v>197.04549436738586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6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3.7</v>
      </c>
      <c r="BD117" s="13">
        <f>IF('Données projet'!$A$88&gt;35,BD116+BC117-BL116,IF(A117&lt;'Données projet'!$A$88,$BA$205^A117,IF(A117='Données projet'!$A$88,'Données projet'!$B$88,BD116+BC117-BL116)))</f>
        <v>280.79999999999956</v>
      </c>
      <c r="BE117" s="14">
        <f>BD117*VLOOKUP('Données projet'!$B$11,Paramètres!$A$1:$I$89,3,0)*VLOOKUP('Données projet'!$B$11,Paramètres!$A$1:$I$89,5,0)</f>
        <v>271.58975999999956</v>
      </c>
      <c r="BF117" s="14">
        <f t="shared" si="91"/>
        <v>65.186541118848012</v>
      </c>
      <c r="BG117" s="22">
        <f t="shared" si="61"/>
        <v>586.55205778199286</v>
      </c>
      <c r="BH117" s="60">
        <f t="shared" si="62"/>
        <v>879.88539111532623</v>
      </c>
      <c r="BI117" s="60">
        <f ca="1">AVERAGE(OFFSET($BH$3,0,0,'Données projet'!$E$11+1,1))-AVERAGE(OFFSET($H$3,0,0,'Données projet'!$E$11+1,1))</f>
        <v>330.39429528665841</v>
      </c>
      <c r="BJ117" s="60">
        <f t="shared" si="92"/>
        <v>186.45728006007261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1.7053025658242404E-13</v>
      </c>
      <c r="BZ117" s="14">
        <f>BY117*VLOOKUP('Données projet'!$B$12,Paramètres!$A$1:$I$89,3,0)*VLOOKUP('Données projet'!$B$12,Paramètres!$A$1:$I$89,5,0)</f>
        <v>1.1439169611549005E-13</v>
      </c>
      <c r="CA117" s="14">
        <f t="shared" si="93"/>
        <v>1.6918016515029816E-12</v>
      </c>
      <c r="CB117" s="22">
        <f t="shared" si="64"/>
        <v>3.1457867471021712E-12</v>
      </c>
      <c r="CC117" s="60">
        <f t="shared" si="65"/>
        <v>293.33333333333644</v>
      </c>
      <c r="CD117" s="60">
        <f ca="1">AVERAGE(OFFSET($CC$3,0,0,'Données projet'!$E$12+1,1))-AVERAGE(OFFSET($H$3,0,0,'Données projet'!$E$12+1,1))</f>
        <v>212.33913923444732</v>
      </c>
      <c r="CE117" s="60">
        <f t="shared" si="94"/>
        <v>183.51194426094372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-3.979039320256561E-13</v>
      </c>
      <c r="CU117" s="18">
        <f>CT117*VLOOKUP('Données projet'!$B$13,Paramètres!$A$1:$I$89,3,0)*VLOOKUP('Données projet'!$B$13,Paramètres!$A$1:$I$89,5,0)</f>
        <v>-3.4760887501761321E-13</v>
      </c>
      <c r="CV117" s="14" t="e">
        <f t="shared" si="95"/>
        <v>#NUM!</v>
      </c>
      <c r="CW117" s="22" t="e">
        <f t="shared" si="67"/>
        <v>#NUM!</v>
      </c>
      <c r="CX117" s="60" t="e">
        <f t="shared" si="68"/>
        <v>#NUM!</v>
      </c>
      <c r="CY117" s="60">
        <f ca="1">AVERAGE(OFFSET($CX$3,0,0,'Données projet'!$E$13+1,1))-AVERAGE(OFFSET($H$3,0,0,'Données projet'!$E$13+1,1))</f>
        <v>228.0393346366489</v>
      </c>
      <c r="CZ117" s="60">
        <f t="shared" si="96"/>
        <v>238.591781509447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3.7</v>
      </c>
      <c r="DO117" s="13">
        <f>IF('Données projet'!$A$166&gt;35,DO116+DN117-DW116,IF(A117&lt;'Données projet'!$A$166,$DL$205^A117,IF(A117='Données projet'!$A$166,'Données projet'!$B$166,DO116+DN117-DW116)))</f>
        <v>280.79999999999956</v>
      </c>
      <c r="DP117" s="18">
        <f>DO117*VLOOKUP('Données projet'!$B$14,Paramètres!$A$1:$I$89,3,0)*VLOOKUP('Données projet'!$B$14,Paramètres!$A$1:$I$89,5,0)</f>
        <v>254.06783999999956</v>
      </c>
      <c r="DQ117" s="14">
        <f t="shared" si="97"/>
        <v>61.456187622750669</v>
      </c>
      <c r="DR117" s="22">
        <f t="shared" si="70"/>
        <v>549.53768144295657</v>
      </c>
      <c r="DS117" s="60">
        <f t="shared" si="71"/>
        <v>842.87101477628994</v>
      </c>
      <c r="DT117" s="60">
        <f ca="1">AVERAGE(OFFSET($DS$3,0,0,'Données projet'!$E$14+1,1))-AVERAGE(OFFSET($H$3,0,0,'Données projet'!$E$14+1,1))</f>
        <v>303.73499739059076</v>
      </c>
      <c r="DU117" s="60">
        <f t="shared" si="98"/>
        <v>172.32171001882188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1.1368683772161603E-13</v>
      </c>
      <c r="EK117" s="18">
        <f>EJ117*VLOOKUP('Données projet'!$B$15,Paramètres!$A$1:$I$89,3,0)*VLOOKUP('Données projet'!$B$15,Paramètres!$A$1:$I$89,5,0)</f>
        <v>6.7984728957526396E-14</v>
      </c>
      <c r="EL117" s="14">
        <f t="shared" si="99"/>
        <v>1.0682447123141398E-12</v>
      </c>
      <c r="EM117" s="22">
        <f t="shared" si="73"/>
        <v>1.978932943548152E-12</v>
      </c>
      <c r="EN117" s="60">
        <f t="shared" si="74"/>
        <v>293.3333333333353</v>
      </c>
      <c r="EO117" s="60">
        <f ca="1">AVERAGE(OFFSET($EN$3,0,0,'Données projet'!$E$15+1,1))-AVERAGE(OFFSET($H$3,0,0,'Données projet'!$E$15+1,1))</f>
        <v>269.94948820700841</v>
      </c>
      <c r="EP117" s="60">
        <f t="shared" si="100"/>
        <v>183.45158355135192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1.3299080080858821</v>
      </c>
      <c r="EX117" s="23">
        <f>EXP(-LN(2)/2)*EX116+(1-EXP(-LN(2)/2))/(LN(2)/2)*ER117*EU117*VLOOKUP('Données projet'!$B$15,Paramètres!$A$1:$I$89,3,0)*0.475*44/12</f>
        <v>1.2819399865931226E-12</v>
      </c>
      <c r="EY117" s="24">
        <f t="shared" si="75"/>
        <v>1.3299080080871639</v>
      </c>
      <c r="EZ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>
        <f>FE117*VLOOKUP('Données projet'!$B$16,Paramètres!$A$1:$I$89,3,0)*VLOOKUP('Données projet'!$B$16,Paramètres!$A$1:$I$89,5,0)</f>
        <v>0</v>
      </c>
      <c r="FG117" s="14" t="e">
        <f t="shared" si="101"/>
        <v>#NUM!</v>
      </c>
      <c r="FH117" s="22" t="e">
        <f t="shared" si="76"/>
        <v>#NUM!</v>
      </c>
      <c r="FI117" s="60" t="e">
        <f t="shared" si="77"/>
        <v>#NUM!</v>
      </c>
      <c r="FJ117" s="60">
        <f ca="1">AVERAGE(OFFSET($FI$3,0,0,'Données projet'!$E$16+1,1))-AVERAGE(OFFSET($H$3,0,0,'Données projet'!$E$16+1,1))</f>
        <v>111.24788725253484</v>
      </c>
      <c r="FK117" s="60">
        <f t="shared" si="102"/>
        <v>82.434879813357327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projet'!$B$16,Paramètres!$A$1:$I$89,3,0)*0.475*44/12</f>
        <v>0</v>
      </c>
      <c r="FR117" s="23">
        <f>EXP(-LN(2)/25)*FR116+(1-EXP(-LN(2)/25))/(LN(2)/25)*Calculateur!FM117*Calculateur!FO117*VLOOKUP('Données projet'!$B$16,Paramètres!$A$1:$I$89,3,0)*0.475*44/12</f>
        <v>0</v>
      </c>
      <c r="FS117" s="23">
        <f>EXP(-LN(2)/2)*FS116+(1-EXP(-LN(2)/2))/(LN(2)/2)*FM117*FP117*VLOOKUP('Données projet'!$B$16,Paramètres!$A$1:$I$89,3,0)*0.475*44/12</f>
        <v>0</v>
      </c>
      <c r="FT117" s="24">
        <f t="shared" si="78"/>
        <v>0</v>
      </c>
      <c r="FU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1.0231815394945443E-12</v>
      </c>
      <c r="GA117" s="18">
        <f>FZ117*VLOOKUP('Données projet'!$B$17,Paramètres!$A$1:$I$89,3,0)*VLOOKUP('Données projet'!$B$17,Paramètres!$A$1:$I$89,5,0)</f>
        <v>4.5224624045658859E-13</v>
      </c>
      <c r="GB117" s="14">
        <f t="shared" si="103"/>
        <v>5.6995607121061449E-12</v>
      </c>
      <c r="GC117" s="22">
        <f t="shared" si="79"/>
        <v>1.0714397109046761E-11</v>
      </c>
      <c r="GD117" s="60">
        <f t="shared" si="80"/>
        <v>293.333333333344</v>
      </c>
      <c r="GE117" s="60">
        <f ca="1">AVERAGE(OFFSET($GD$3,0,0,'Données projet'!$E$17+1,1))-AVERAGE(OFFSET($H$3,0,0,'Données projet'!$E$17+1,1))</f>
        <v>323.56667371063662</v>
      </c>
      <c r="GF117" s="60">
        <f t="shared" si="104"/>
        <v>275.70373467723385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>
        <f>EXP(-LN(2)/35)*GL116+(1-EXP(-LN(2)/35))/(LN(2)/35)*GH117*GI117*VLOOKUP('Données projet'!$B$17,Paramètres!$A$1:$I$89,3,0)*0.475*44/12</f>
        <v>0</v>
      </c>
      <c r="GM117" s="23">
        <f>EXP(-LN(2)/25)*GM116+(1-EXP(-LN(2)/25))/(LN(2)/25)*Calculateur!GH117*Calculateur!GJ117*VLOOKUP('Données projet'!$B$17,Paramètres!$A$1:$I$89,3,0)*0.475*44/12</f>
        <v>0</v>
      </c>
      <c r="GN117" s="23">
        <f>EXP(-LN(2)/2)*GN116+(1-EXP(-LN(2)/2))/(LN(2)/2)*GH117*GK117*VLOOKUP('Données projet'!$B$17,Paramètres!$A$1:$I$89,3,0)*0.475*44/12</f>
        <v>0</v>
      </c>
      <c r="GO117" s="23">
        <f t="shared" si="81"/>
        <v>0</v>
      </c>
      <c r="GP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0" t="e">
        <f t="shared" si="83"/>
        <v>#N/A</v>
      </c>
      <c r="GZ117" s="60" t="e">
        <f ca="1">AVERAGE(OFFSET($GY$3,0,0,'Données projet'!$E$18+1,1))-AVERAGE(OFFSET($H$3,0,0,'Données projet'!$E$18+1,1))</f>
        <v>#N/A</v>
      </c>
      <c r="HA117" s="60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4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2">
        <f t="shared" si="86"/>
        <v>17.871791770153557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-1.1368683772161603E-13</v>
      </c>
      <c r="O118" s="14">
        <f>N118*VLOOKUP('Données projet'!$B$9,Paramètres!$A$1:$I$89,3,0)*VLOOKUP('Données projet'!$B$9,Paramètres!$A$1:$I$89,5,0)</f>
        <v>-6.7984728957526396E-14</v>
      </c>
      <c r="P118" s="14" t="e">
        <f t="shared" si="87"/>
        <v>#NUM!</v>
      </c>
      <c r="Q118" s="22" t="e">
        <f t="shared" si="107"/>
        <v>#NUM!</v>
      </c>
      <c r="R118" s="60" t="e">
        <f t="shared" si="55"/>
        <v>#NUM!</v>
      </c>
      <c r="S118" s="60">
        <f ca="1">AVERAGE(OFFSET($R$3,0,0,'Données projet'!$E$9+1,1))-AVERAGE(OFFSET($H$3,0,0,'Données projet'!$E$9+1,1))</f>
        <v>235.63766249714581</v>
      </c>
      <c r="T118" s="60">
        <f t="shared" si="88"/>
        <v>231.3297293785277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2.1312298567087451</v>
      </c>
      <c r="AA118" s="23">
        <f>EXP(-LN(2)/25)*AA117+(1-EXP(-LN(2)/25))/(LN(2)/25)*Calculateur!V118*Calculateur!X118*VLOOKUP('Données projet'!$B$9,Paramètres!$A$1:$I$89,3,0)*0.475*44/12</f>
        <v>1.6378219676639367</v>
      </c>
      <c r="AB118" s="23">
        <f>EXP(-LN(2)/2)*AB117+(1-EXP(-LN(2)/2))/(LN(2)/2)*V118*Y118*VLOOKUP('Données projet'!$B$9,Paramètres!$A$1:$I$89,3,0)*0.475*44/12</f>
        <v>1.1435188264001053E-12</v>
      </c>
      <c r="AC118" s="24">
        <f t="shared" si="57"/>
        <v>3.7690518243738254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3.7</v>
      </c>
      <c r="AI118" s="14">
        <f>IF('Données projet'!$A$62&gt;35,AI117+AH118-AQ117,IF(A118&lt;'Données projet'!$A$62,$AF$205^A118,IF(A118='Données projet'!$A$62,'Données projet'!$B$62,AI117+AH118-AQ117)))</f>
        <v>284.49999999999955</v>
      </c>
      <c r="AJ118" s="14">
        <f>AI118*VLOOKUP('Données projet'!$B$10,Paramètres!$A$1:$I$89,3,0)*VLOOKUP('Données projet'!$B$10,Paramètres!$A$1:$I$89,5,0)</f>
        <v>288.48299999999955</v>
      </c>
      <c r="AK118" s="14">
        <f t="shared" si="89"/>
        <v>68.756584730508635</v>
      </c>
      <c r="AL118" s="22">
        <f t="shared" si="58"/>
        <v>622.19227673896842</v>
      </c>
      <c r="AM118" s="60">
        <f t="shared" si="59"/>
        <v>915.52561007230179</v>
      </c>
      <c r="AN118" s="60">
        <f ca="1">AVERAGE(OFFSET($AM$3,0,0,'Données projet'!$E$10+1,1))-AVERAGE(OFFSET($H$3,0,0,'Données projet'!$E$10+1,1))</f>
        <v>350.3652766444938</v>
      </c>
      <c r="AO118" s="60">
        <f t="shared" si="90"/>
        <v>197.04549436738586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6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3.7</v>
      </c>
      <c r="BD118" s="13">
        <f>IF('Données projet'!$A$88&gt;35,BD117+BC118-BL117,IF(A118&lt;'Données projet'!$A$88,$BA$205^A118,IF(A118='Données projet'!$A$88,'Données projet'!$B$88,BD117+BC118-BL117)))</f>
        <v>284.49999999999955</v>
      </c>
      <c r="BE118" s="14">
        <f>BD118*VLOOKUP('Données projet'!$B$11,Paramètres!$A$1:$I$89,3,0)*VLOOKUP('Données projet'!$B$11,Paramètres!$A$1:$I$89,5,0)</f>
        <v>275.16839999999956</v>
      </c>
      <c r="BF118" s="14">
        <f t="shared" si="91"/>
        <v>65.944920834841554</v>
      </c>
      <c r="BG118" s="22">
        <f t="shared" si="61"/>
        <v>594.10570045401494</v>
      </c>
      <c r="BH118" s="60">
        <f t="shared" si="62"/>
        <v>887.43903378734831</v>
      </c>
      <c r="BI118" s="60">
        <f ca="1">AVERAGE(OFFSET($BH$3,0,0,'Données projet'!$E$11+1,1))-AVERAGE(OFFSET($H$3,0,0,'Données projet'!$E$11+1,1))</f>
        <v>330.39429528665841</v>
      </c>
      <c r="BJ118" s="60">
        <f t="shared" si="92"/>
        <v>186.45728006007261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1.7053025658242404E-13</v>
      </c>
      <c r="BZ118" s="14">
        <f>BY118*VLOOKUP('Données projet'!$B$12,Paramètres!$A$1:$I$89,3,0)*VLOOKUP('Données projet'!$B$12,Paramètres!$A$1:$I$89,5,0)</f>
        <v>1.1439169611549005E-13</v>
      </c>
      <c r="CA118" s="14">
        <f t="shared" si="93"/>
        <v>1.6918016515029816E-12</v>
      </c>
      <c r="CB118" s="22">
        <f t="shared" si="64"/>
        <v>3.1457867471021712E-12</v>
      </c>
      <c r="CC118" s="60">
        <f t="shared" si="65"/>
        <v>293.33333333333644</v>
      </c>
      <c r="CD118" s="60">
        <f ca="1">AVERAGE(OFFSET($CC$3,0,0,'Données projet'!$E$12+1,1))-AVERAGE(OFFSET($H$3,0,0,'Données projet'!$E$12+1,1))</f>
        <v>212.33913923444732</v>
      </c>
      <c r="CE118" s="60">
        <f t="shared" si="94"/>
        <v>183.51194426094372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-3.979039320256561E-13</v>
      </c>
      <c r="CU118" s="18">
        <f>CT118*VLOOKUP('Données projet'!$B$13,Paramètres!$A$1:$I$89,3,0)*VLOOKUP('Données projet'!$B$13,Paramètres!$A$1:$I$89,5,0)</f>
        <v>-3.4760887501761321E-13</v>
      </c>
      <c r="CV118" s="14" t="e">
        <f t="shared" si="95"/>
        <v>#NUM!</v>
      </c>
      <c r="CW118" s="22" t="e">
        <f t="shared" si="67"/>
        <v>#NUM!</v>
      </c>
      <c r="CX118" s="60" t="e">
        <f t="shared" si="68"/>
        <v>#NUM!</v>
      </c>
      <c r="CY118" s="60">
        <f ca="1">AVERAGE(OFFSET($CX$3,0,0,'Données projet'!$E$13+1,1))-AVERAGE(OFFSET($H$3,0,0,'Données projet'!$E$13+1,1))</f>
        <v>228.0393346366489</v>
      </c>
      <c r="CZ118" s="60">
        <f t="shared" si="96"/>
        <v>238.591781509447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3.7</v>
      </c>
      <c r="DO118" s="13">
        <f>IF('Données projet'!$A$166&gt;35,DO117+DN118-DW117,IF(A118&lt;'Données projet'!$A$166,$DL$205^A118,IF(A118='Données projet'!$A$166,'Données projet'!$B$166,DO117+DN118-DW117)))</f>
        <v>284.49999999999955</v>
      </c>
      <c r="DP118" s="18">
        <f>DO118*VLOOKUP('Données projet'!$B$14,Paramètres!$A$1:$I$89,3,0)*VLOOKUP('Données projet'!$B$14,Paramètres!$A$1:$I$89,5,0)</f>
        <v>257.41559999999959</v>
      </c>
      <c r="DQ118" s="14">
        <f t="shared" si="97"/>
        <v>62.171168434977062</v>
      </c>
      <c r="DR118" s="22">
        <f t="shared" si="70"/>
        <v>556.61362169091774</v>
      </c>
      <c r="DS118" s="60">
        <f t="shared" si="71"/>
        <v>849.94695502425111</v>
      </c>
      <c r="DT118" s="60">
        <f ca="1">AVERAGE(OFFSET($DS$3,0,0,'Données projet'!$E$14+1,1))-AVERAGE(OFFSET($H$3,0,0,'Données projet'!$E$14+1,1))</f>
        <v>303.73499739059076</v>
      </c>
      <c r="DU118" s="60">
        <f t="shared" si="98"/>
        <v>172.32171001882188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1.1368683772161603E-13</v>
      </c>
      <c r="EK118" s="18">
        <f>EJ118*VLOOKUP('Données projet'!$B$15,Paramètres!$A$1:$I$89,3,0)*VLOOKUP('Données projet'!$B$15,Paramètres!$A$1:$I$89,5,0)</f>
        <v>6.7984728957526396E-14</v>
      </c>
      <c r="EL118" s="14">
        <f t="shared" si="99"/>
        <v>1.0682447123141398E-12</v>
      </c>
      <c r="EM118" s="22">
        <f t="shared" si="73"/>
        <v>1.978932943548152E-12</v>
      </c>
      <c r="EN118" s="60">
        <f t="shared" si="74"/>
        <v>293.3333333333353</v>
      </c>
      <c r="EO118" s="60">
        <f ca="1">AVERAGE(OFFSET($EN$3,0,0,'Données projet'!$E$15+1,1))-AVERAGE(OFFSET($H$3,0,0,'Données projet'!$E$15+1,1))</f>
        <v>269.94948820700841</v>
      </c>
      <c r="EP118" s="60">
        <f t="shared" si="100"/>
        <v>183.45158355135192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1.293541603667951</v>
      </c>
      <c r="EX118" s="23">
        <f>EXP(-LN(2)/2)*EX117+(1-EXP(-LN(2)/2))/(LN(2)/2)*ER118*EU118*VLOOKUP('Données projet'!$B$15,Paramètres!$A$1:$I$89,3,0)*0.475*44/12</f>
        <v>9.0646845759418888E-13</v>
      </c>
      <c r="EY118" s="24">
        <f t="shared" si="75"/>
        <v>1.2935416036688574</v>
      </c>
      <c r="EZ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>
        <f>FE118*VLOOKUP('Données projet'!$B$16,Paramètres!$A$1:$I$89,3,0)*VLOOKUP('Données projet'!$B$16,Paramètres!$A$1:$I$89,5,0)</f>
        <v>0</v>
      </c>
      <c r="FG118" s="14" t="e">
        <f t="shared" si="101"/>
        <v>#NUM!</v>
      </c>
      <c r="FH118" s="22" t="e">
        <f t="shared" si="76"/>
        <v>#NUM!</v>
      </c>
      <c r="FI118" s="60" t="e">
        <f t="shared" si="77"/>
        <v>#NUM!</v>
      </c>
      <c r="FJ118" s="60">
        <f ca="1">AVERAGE(OFFSET($FI$3,0,0,'Données projet'!$E$16+1,1))-AVERAGE(OFFSET($H$3,0,0,'Données projet'!$E$16+1,1))</f>
        <v>111.24788725253484</v>
      </c>
      <c r="FK118" s="60">
        <f t="shared" si="102"/>
        <v>82.434879813357327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projet'!$B$16,Paramètres!$A$1:$I$89,3,0)*0.475*44/12</f>
        <v>0</v>
      </c>
      <c r="FR118" s="23">
        <f>EXP(-LN(2)/25)*FR117+(1-EXP(-LN(2)/25))/(LN(2)/25)*Calculateur!FM118*Calculateur!FO118*VLOOKUP('Données projet'!$B$16,Paramètres!$A$1:$I$89,3,0)*0.475*44/12</f>
        <v>0</v>
      </c>
      <c r="FS118" s="23">
        <f>EXP(-LN(2)/2)*FS117+(1-EXP(-LN(2)/2))/(LN(2)/2)*FM118*FP118*VLOOKUP('Données projet'!$B$16,Paramètres!$A$1:$I$89,3,0)*0.475*44/12</f>
        <v>0</v>
      </c>
      <c r="FT118" s="24">
        <f t="shared" si="78"/>
        <v>0</v>
      </c>
      <c r="FU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1.0231815394945443E-12</v>
      </c>
      <c r="GA118" s="18">
        <f>FZ118*VLOOKUP('Données projet'!$B$17,Paramètres!$A$1:$I$89,3,0)*VLOOKUP('Données projet'!$B$17,Paramètres!$A$1:$I$89,5,0)</f>
        <v>4.5224624045658859E-13</v>
      </c>
      <c r="GB118" s="14">
        <f t="shared" si="103"/>
        <v>5.6995607121061449E-12</v>
      </c>
      <c r="GC118" s="22">
        <f t="shared" si="79"/>
        <v>1.0714397109046761E-11</v>
      </c>
      <c r="GD118" s="60">
        <f t="shared" si="80"/>
        <v>293.333333333344</v>
      </c>
      <c r="GE118" s="60">
        <f ca="1">AVERAGE(OFFSET($GD$3,0,0,'Données projet'!$E$17+1,1))-AVERAGE(OFFSET($H$3,0,0,'Données projet'!$E$17+1,1))</f>
        <v>323.56667371063662</v>
      </c>
      <c r="GF118" s="60">
        <f t="shared" si="104"/>
        <v>275.70373467723385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>
        <f>EXP(-LN(2)/35)*GL117+(1-EXP(-LN(2)/35))/(LN(2)/35)*GH118*GI118*VLOOKUP('Données projet'!$B$17,Paramètres!$A$1:$I$89,3,0)*0.475*44/12</f>
        <v>0</v>
      </c>
      <c r="GM118" s="23">
        <f>EXP(-LN(2)/25)*GM117+(1-EXP(-LN(2)/25))/(LN(2)/25)*Calculateur!GH118*Calculateur!GJ118*VLOOKUP('Données projet'!$B$17,Paramètres!$A$1:$I$89,3,0)*0.475*44/12</f>
        <v>0</v>
      </c>
      <c r="GN118" s="23">
        <f>EXP(-LN(2)/2)*GN117+(1-EXP(-LN(2)/2))/(LN(2)/2)*GH118*GK118*VLOOKUP('Données projet'!$B$17,Paramètres!$A$1:$I$89,3,0)*0.475*44/12</f>
        <v>0</v>
      </c>
      <c r="GO118" s="23">
        <f t="shared" si="81"/>
        <v>0</v>
      </c>
      <c r="GP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0" t="e">
        <f t="shared" si="83"/>
        <v>#N/A</v>
      </c>
      <c r="GZ118" s="60" t="e">
        <f ca="1">AVERAGE(OFFSET($GY$3,0,0,'Données projet'!$E$18+1,1))-AVERAGE(OFFSET($H$3,0,0,'Données projet'!$E$18+1,1))</f>
        <v>#N/A</v>
      </c>
      <c r="HA118" s="60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4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2">
        <f t="shared" si="86"/>
        <v>18.009040022946209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-1.1368683772161603E-13</v>
      </c>
      <c r="O119" s="14">
        <f>N119*VLOOKUP('Données projet'!$B$9,Paramètres!$A$1:$I$89,3,0)*VLOOKUP('Données projet'!$B$9,Paramètres!$A$1:$I$89,5,0)</f>
        <v>-6.7984728957526396E-14</v>
      </c>
      <c r="P119" s="14" t="e">
        <f t="shared" si="87"/>
        <v>#NUM!</v>
      </c>
      <c r="Q119" s="22" t="e">
        <f t="shared" si="107"/>
        <v>#NUM!</v>
      </c>
      <c r="R119" s="60" t="e">
        <f t="shared" si="55"/>
        <v>#NUM!</v>
      </c>
      <c r="S119" s="60">
        <f ca="1">AVERAGE(OFFSET($R$3,0,0,'Données projet'!$E$9+1,1))-AVERAGE(OFFSET($H$3,0,0,'Données projet'!$E$9+1,1))</f>
        <v>235.63766249714581</v>
      </c>
      <c r="T119" s="60">
        <f t="shared" si="88"/>
        <v>231.3297293785277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2.0894377391405428</v>
      </c>
      <c r="AA119" s="23">
        <f>EXP(-LN(2)/25)*AA118+(1-EXP(-LN(2)/25))/(LN(2)/25)*Calculateur!V119*Calculateur!X119*VLOOKUP('Données projet'!$B$9,Paramètres!$A$1:$I$89,3,0)*0.475*44/12</f>
        <v>1.5930356398288523</v>
      </c>
      <c r="AB119" s="23">
        <f>EXP(-LN(2)/2)*AB118+(1-EXP(-LN(2)/2))/(LN(2)/2)*V119*Y119*VLOOKUP('Données projet'!$B$9,Paramètres!$A$1:$I$89,3,0)*0.475*44/12</f>
        <v>8.0858991656199686E-13</v>
      </c>
      <c r="AC119" s="24">
        <f t="shared" si="57"/>
        <v>3.682473378970204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3.7</v>
      </c>
      <c r="AI119" s="14">
        <f>IF('Données projet'!$A$62&gt;35,AI118+AH119-AQ118,IF(A119&lt;'Données projet'!$A$62,$AF$205^A119,IF(A119='Données projet'!$A$62,'Données projet'!$B$62,AI118+AH119-AQ118)))</f>
        <v>288.19999999999953</v>
      </c>
      <c r="AJ119" s="14">
        <f>AI119*VLOOKUP('Données projet'!$B$10,Paramètres!$A$1:$I$89,3,0)*VLOOKUP('Données projet'!$B$10,Paramètres!$A$1:$I$89,5,0)</f>
        <v>292.23479999999955</v>
      </c>
      <c r="AK119" s="14">
        <f t="shared" si="89"/>
        <v>69.546103016553644</v>
      </c>
      <c r="AL119" s="22">
        <f t="shared" si="58"/>
        <v>630.10173942049676</v>
      </c>
      <c r="AM119" s="60">
        <f t="shared" si="59"/>
        <v>923.43507275383013</v>
      </c>
      <c r="AN119" s="60">
        <f ca="1">AVERAGE(OFFSET($AM$3,0,0,'Données projet'!$E$10+1,1))-AVERAGE(OFFSET($H$3,0,0,'Données projet'!$E$10+1,1))</f>
        <v>350.3652766444938</v>
      </c>
      <c r="AO119" s="60">
        <f t="shared" si="90"/>
        <v>197.04549436738586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6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3.7</v>
      </c>
      <c r="BD119" s="13">
        <f>IF('Données projet'!$A$88&gt;35,BD118+BC119-BL118,IF(A119&lt;'Données projet'!$A$88,$BA$205^A119,IF(A119='Données projet'!$A$88,'Données projet'!$B$88,BD118+BC119-BL118)))</f>
        <v>288.19999999999953</v>
      </c>
      <c r="BE119" s="14">
        <f>BD119*VLOOKUP('Données projet'!$B$11,Paramètres!$A$1:$I$89,3,0)*VLOOKUP('Données projet'!$B$11,Paramètres!$A$1:$I$89,5,0)</f>
        <v>278.74703999999957</v>
      </c>
      <c r="BF119" s="14">
        <f t="shared" si="91"/>
        <v>66.702153339553135</v>
      </c>
      <c r="BG119" s="22">
        <f t="shared" si="61"/>
        <v>601.65734506638762</v>
      </c>
      <c r="BH119" s="60">
        <f t="shared" si="62"/>
        <v>894.99067839972099</v>
      </c>
      <c r="BI119" s="60">
        <f ca="1">AVERAGE(OFFSET($BH$3,0,0,'Données projet'!$E$11+1,1))-AVERAGE(OFFSET($H$3,0,0,'Données projet'!$E$11+1,1))</f>
        <v>330.39429528665841</v>
      </c>
      <c r="BJ119" s="60">
        <f t="shared" si="92"/>
        <v>186.45728006007261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1.7053025658242404E-13</v>
      </c>
      <c r="BZ119" s="14">
        <f>BY119*VLOOKUP('Données projet'!$B$12,Paramètres!$A$1:$I$89,3,0)*VLOOKUP('Données projet'!$B$12,Paramètres!$A$1:$I$89,5,0)</f>
        <v>1.1439169611549005E-13</v>
      </c>
      <c r="CA119" s="14">
        <f t="shared" si="93"/>
        <v>1.6918016515029816E-12</v>
      </c>
      <c r="CB119" s="22">
        <f t="shared" si="64"/>
        <v>3.1457867471021712E-12</v>
      </c>
      <c r="CC119" s="60">
        <f t="shared" si="65"/>
        <v>293.33333333333644</v>
      </c>
      <c r="CD119" s="60">
        <f ca="1">AVERAGE(OFFSET($CC$3,0,0,'Données projet'!$E$12+1,1))-AVERAGE(OFFSET($H$3,0,0,'Données projet'!$E$12+1,1))</f>
        <v>212.33913923444732</v>
      </c>
      <c r="CE119" s="60">
        <f t="shared" si="94"/>
        <v>183.51194426094372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-3.979039320256561E-13</v>
      </c>
      <c r="CU119" s="18">
        <f>CT119*VLOOKUP('Données projet'!$B$13,Paramètres!$A$1:$I$89,3,0)*VLOOKUP('Données projet'!$B$13,Paramètres!$A$1:$I$89,5,0)</f>
        <v>-3.4760887501761321E-13</v>
      </c>
      <c r="CV119" s="14" t="e">
        <f t="shared" si="95"/>
        <v>#NUM!</v>
      </c>
      <c r="CW119" s="22" t="e">
        <f t="shared" si="67"/>
        <v>#NUM!</v>
      </c>
      <c r="CX119" s="60" t="e">
        <f t="shared" si="68"/>
        <v>#NUM!</v>
      </c>
      <c r="CY119" s="60">
        <f ca="1">AVERAGE(OFFSET($CX$3,0,0,'Données projet'!$E$13+1,1))-AVERAGE(OFFSET($H$3,0,0,'Données projet'!$E$13+1,1))</f>
        <v>228.0393346366489</v>
      </c>
      <c r="CZ119" s="60">
        <f t="shared" si="96"/>
        <v>238.591781509447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3.7</v>
      </c>
      <c r="DO119" s="13">
        <f>IF('Données projet'!$A$166&gt;35,DO118+DN119-DW118,IF(A119&lt;'Données projet'!$A$166,$DL$205^A119,IF(A119='Données projet'!$A$166,'Données projet'!$B$166,DO118+DN119-DW118)))</f>
        <v>288.19999999999953</v>
      </c>
      <c r="DP119" s="18">
        <f>DO119*VLOOKUP('Données projet'!$B$14,Paramètres!$A$1:$I$89,3,0)*VLOOKUP('Données projet'!$B$14,Paramètres!$A$1:$I$89,5,0)</f>
        <v>260.76335999999958</v>
      </c>
      <c r="DQ119" s="14">
        <f t="shared" si="97"/>
        <v>62.885067686031896</v>
      </c>
      <c r="DR119" s="22">
        <f t="shared" si="70"/>
        <v>563.68767821983818</v>
      </c>
      <c r="DS119" s="60">
        <f t="shared" si="71"/>
        <v>857.02101155317155</v>
      </c>
      <c r="DT119" s="60">
        <f ca="1">AVERAGE(OFFSET($DS$3,0,0,'Données projet'!$E$14+1,1))-AVERAGE(OFFSET($H$3,0,0,'Données projet'!$E$14+1,1))</f>
        <v>303.73499739059076</v>
      </c>
      <c r="DU119" s="60">
        <f t="shared" si="98"/>
        <v>172.32171001882188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1.1368683772161603E-13</v>
      </c>
      <c r="EK119" s="18">
        <f>EJ119*VLOOKUP('Données projet'!$B$15,Paramètres!$A$1:$I$89,3,0)*VLOOKUP('Données projet'!$B$15,Paramètres!$A$1:$I$89,5,0)</f>
        <v>6.7984728957526396E-14</v>
      </c>
      <c r="EL119" s="14">
        <f t="shared" si="99"/>
        <v>1.0682447123141398E-12</v>
      </c>
      <c r="EM119" s="22">
        <f t="shared" si="73"/>
        <v>1.978932943548152E-12</v>
      </c>
      <c r="EN119" s="60">
        <f t="shared" si="74"/>
        <v>293.3333333333353</v>
      </c>
      <c r="EO119" s="60">
        <f ca="1">AVERAGE(OFFSET($EN$3,0,0,'Données projet'!$E$15+1,1))-AVERAGE(OFFSET($H$3,0,0,'Données projet'!$E$15+1,1))</f>
        <v>269.94948820700841</v>
      </c>
      <c r="EP119" s="60">
        <f t="shared" si="100"/>
        <v>183.45158355135192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1.2581696404912543</v>
      </c>
      <c r="EX119" s="23">
        <f>EXP(-LN(2)/2)*EX118+(1-EXP(-LN(2)/2))/(LN(2)/2)*ER119*EU119*VLOOKUP('Données projet'!$B$15,Paramètres!$A$1:$I$89,3,0)*0.475*44/12</f>
        <v>6.4096999329656138E-13</v>
      </c>
      <c r="EY119" s="24">
        <f t="shared" si="75"/>
        <v>1.2581696404918954</v>
      </c>
      <c r="EZ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>
        <f>FE119*VLOOKUP('Données projet'!$B$16,Paramètres!$A$1:$I$89,3,0)*VLOOKUP('Données projet'!$B$16,Paramètres!$A$1:$I$89,5,0)</f>
        <v>0</v>
      </c>
      <c r="FG119" s="14" t="e">
        <f t="shared" si="101"/>
        <v>#NUM!</v>
      </c>
      <c r="FH119" s="22" t="e">
        <f t="shared" si="76"/>
        <v>#NUM!</v>
      </c>
      <c r="FI119" s="60" t="e">
        <f t="shared" si="77"/>
        <v>#NUM!</v>
      </c>
      <c r="FJ119" s="60">
        <f ca="1">AVERAGE(OFFSET($FI$3,0,0,'Données projet'!$E$16+1,1))-AVERAGE(OFFSET($H$3,0,0,'Données projet'!$E$16+1,1))</f>
        <v>111.24788725253484</v>
      </c>
      <c r="FK119" s="60">
        <f t="shared" si="102"/>
        <v>82.434879813357327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projet'!$B$16,Paramètres!$A$1:$I$89,3,0)*0.475*44/12</f>
        <v>0</v>
      </c>
      <c r="FR119" s="23">
        <f>EXP(-LN(2)/25)*FR118+(1-EXP(-LN(2)/25))/(LN(2)/25)*Calculateur!FM119*Calculateur!FO119*VLOOKUP('Données projet'!$B$16,Paramètres!$A$1:$I$89,3,0)*0.475*44/12</f>
        <v>0</v>
      </c>
      <c r="FS119" s="23">
        <f>EXP(-LN(2)/2)*FS118+(1-EXP(-LN(2)/2))/(LN(2)/2)*FM119*FP119*VLOOKUP('Données projet'!$B$16,Paramètres!$A$1:$I$89,3,0)*0.475*44/12</f>
        <v>0</v>
      </c>
      <c r="FT119" s="24">
        <f t="shared" si="78"/>
        <v>0</v>
      </c>
      <c r="FU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1.0231815394945443E-12</v>
      </c>
      <c r="GA119" s="18">
        <f>FZ119*VLOOKUP('Données projet'!$B$17,Paramètres!$A$1:$I$89,3,0)*VLOOKUP('Données projet'!$B$17,Paramètres!$A$1:$I$89,5,0)</f>
        <v>4.5224624045658859E-13</v>
      </c>
      <c r="GB119" s="14">
        <f t="shared" si="103"/>
        <v>5.6995607121061449E-12</v>
      </c>
      <c r="GC119" s="22">
        <f t="shared" si="79"/>
        <v>1.0714397109046761E-11</v>
      </c>
      <c r="GD119" s="60">
        <f t="shared" si="80"/>
        <v>293.333333333344</v>
      </c>
      <c r="GE119" s="60">
        <f ca="1">AVERAGE(OFFSET($GD$3,0,0,'Données projet'!$E$17+1,1))-AVERAGE(OFFSET($H$3,0,0,'Données projet'!$E$17+1,1))</f>
        <v>323.56667371063662</v>
      </c>
      <c r="GF119" s="60">
        <f t="shared" si="104"/>
        <v>275.70373467723385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>
        <f>EXP(-LN(2)/35)*GL118+(1-EXP(-LN(2)/35))/(LN(2)/35)*GH119*GI119*VLOOKUP('Données projet'!$B$17,Paramètres!$A$1:$I$89,3,0)*0.475*44/12</f>
        <v>0</v>
      </c>
      <c r="GM119" s="23">
        <f>EXP(-LN(2)/25)*GM118+(1-EXP(-LN(2)/25))/(LN(2)/25)*Calculateur!GH119*Calculateur!GJ119*VLOOKUP('Données projet'!$B$17,Paramètres!$A$1:$I$89,3,0)*0.475*44/12</f>
        <v>0</v>
      </c>
      <c r="GN119" s="23">
        <f>EXP(-LN(2)/2)*GN118+(1-EXP(-LN(2)/2))/(LN(2)/2)*GH119*GK119*VLOOKUP('Données projet'!$B$17,Paramètres!$A$1:$I$89,3,0)*0.475*44/12</f>
        <v>0</v>
      </c>
      <c r="GO119" s="23">
        <f t="shared" si="81"/>
        <v>0</v>
      </c>
      <c r="GP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0" t="e">
        <f t="shared" si="83"/>
        <v>#N/A</v>
      </c>
      <c r="GZ119" s="60" t="e">
        <f ca="1">AVERAGE(OFFSET($GY$3,0,0,'Données projet'!$E$18+1,1))-AVERAGE(OFFSET($H$3,0,0,'Données projet'!$E$18+1,1))</f>
        <v>#N/A</v>
      </c>
      <c r="HA119" s="60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4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2">
        <f t="shared" si="86"/>
        <v>18.146150621487966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-1.1368683772161603E-13</v>
      </c>
      <c r="O120" s="14">
        <f>N120*VLOOKUP('Données projet'!$B$9,Paramètres!$A$1:$I$89,3,0)*VLOOKUP('Données projet'!$B$9,Paramètres!$A$1:$I$89,5,0)</f>
        <v>-6.7984728957526396E-14</v>
      </c>
      <c r="P120" s="14" t="e">
        <f t="shared" si="87"/>
        <v>#NUM!</v>
      </c>
      <c r="Q120" s="22" t="e">
        <f t="shared" si="107"/>
        <v>#NUM!</v>
      </c>
      <c r="R120" s="60" t="e">
        <f t="shared" si="55"/>
        <v>#NUM!</v>
      </c>
      <c r="S120" s="60">
        <f ca="1">AVERAGE(OFFSET($R$3,0,0,'Données projet'!$E$9+1,1))-AVERAGE(OFFSET($H$3,0,0,'Données projet'!$E$9+1,1))</f>
        <v>235.63766249714581</v>
      </c>
      <c r="T120" s="60">
        <f t="shared" si="88"/>
        <v>231.3297293785277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2.048465139507178</v>
      </c>
      <c r="AA120" s="23">
        <f>EXP(-LN(2)/25)*AA119+(1-EXP(-LN(2)/25))/(LN(2)/25)*Calculateur!V120*Calculateur!X120*VLOOKUP('Données projet'!$B$9,Paramètres!$A$1:$I$89,3,0)*0.475*44/12</f>
        <v>1.549473996483629</v>
      </c>
      <c r="AB120" s="23">
        <f>EXP(-LN(2)/2)*AB119+(1-EXP(-LN(2)/2))/(LN(2)/2)*V120*Y120*VLOOKUP('Données projet'!$B$9,Paramètres!$A$1:$I$89,3,0)*0.475*44/12</f>
        <v>5.7175941320005263E-13</v>
      </c>
      <c r="AC120" s="24">
        <f t="shared" si="57"/>
        <v>3.5979391359913788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3.7</v>
      </c>
      <c r="AI120" s="14">
        <f>IF('Données projet'!$A$62&gt;35,AI119+AH120-AQ119,IF(A120&lt;'Données projet'!$A$62,$AF$205^A120,IF(A120='Données projet'!$A$62,'Données projet'!$B$62,AI119+AH120-AQ119)))</f>
        <v>291.89999999999952</v>
      </c>
      <c r="AJ120" s="14">
        <f>AI120*VLOOKUP('Données projet'!$B$10,Paramètres!$A$1:$I$89,3,0)*VLOOKUP('Données projet'!$B$10,Paramètres!$A$1:$I$89,5,0)</f>
        <v>295.98659999999956</v>
      </c>
      <c r="AK120" s="14">
        <f t="shared" si="89"/>
        <v>70.334442310004661</v>
      </c>
      <c r="AL120" s="22">
        <f t="shared" si="58"/>
        <v>638.00914868992402</v>
      </c>
      <c r="AM120" s="60">
        <f t="shared" si="59"/>
        <v>931.34248202325739</v>
      </c>
      <c r="AN120" s="60">
        <f ca="1">AVERAGE(OFFSET($AM$3,0,0,'Données projet'!$E$10+1,1))-AVERAGE(OFFSET($H$3,0,0,'Données projet'!$E$10+1,1))</f>
        <v>350.3652766444938</v>
      </c>
      <c r="AO120" s="60">
        <f t="shared" si="90"/>
        <v>197.04549436738586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6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3.7</v>
      </c>
      <c r="BD120" s="13">
        <f>IF('Données projet'!$A$88&gt;35,BD119+BC120-BL119,IF(A120&lt;'Données projet'!$A$88,$BA$205^A120,IF(A120='Données projet'!$A$88,'Données projet'!$B$88,BD119+BC120-BL119)))</f>
        <v>291.89999999999952</v>
      </c>
      <c r="BE120" s="14">
        <f>BD120*VLOOKUP('Données projet'!$B$11,Paramètres!$A$1:$I$89,3,0)*VLOOKUP('Données projet'!$B$11,Paramètres!$A$1:$I$89,5,0)</f>
        <v>282.32567999999952</v>
      </c>
      <c r="BF120" s="14">
        <f t="shared" si="91"/>
        <v>67.458255064229917</v>
      </c>
      <c r="BG120" s="22">
        <f t="shared" si="61"/>
        <v>609.20702023686624</v>
      </c>
      <c r="BH120" s="60">
        <f t="shared" si="62"/>
        <v>902.54035357019961</v>
      </c>
      <c r="BI120" s="60">
        <f ca="1">AVERAGE(OFFSET($BH$3,0,0,'Données projet'!$E$11+1,1))-AVERAGE(OFFSET($H$3,0,0,'Données projet'!$E$11+1,1))</f>
        <v>330.39429528665841</v>
      </c>
      <c r="BJ120" s="60">
        <f t="shared" si="92"/>
        <v>186.45728006007261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1.7053025658242404E-13</v>
      </c>
      <c r="BZ120" s="14">
        <f>BY120*VLOOKUP('Données projet'!$B$12,Paramètres!$A$1:$I$89,3,0)*VLOOKUP('Données projet'!$B$12,Paramètres!$A$1:$I$89,5,0)</f>
        <v>1.1439169611549005E-13</v>
      </c>
      <c r="CA120" s="14">
        <f t="shared" si="93"/>
        <v>1.6918016515029816E-12</v>
      </c>
      <c r="CB120" s="22">
        <f t="shared" si="64"/>
        <v>3.1457867471021712E-12</v>
      </c>
      <c r="CC120" s="60">
        <f t="shared" si="65"/>
        <v>293.33333333333644</v>
      </c>
      <c r="CD120" s="60">
        <f ca="1">AVERAGE(OFFSET($CC$3,0,0,'Données projet'!$E$12+1,1))-AVERAGE(OFFSET($H$3,0,0,'Données projet'!$E$12+1,1))</f>
        <v>212.33913923444732</v>
      </c>
      <c r="CE120" s="60">
        <f t="shared" si="94"/>
        <v>183.51194426094372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-3.979039320256561E-13</v>
      </c>
      <c r="CU120" s="18">
        <f>CT120*VLOOKUP('Données projet'!$B$13,Paramètres!$A$1:$I$89,3,0)*VLOOKUP('Données projet'!$B$13,Paramètres!$A$1:$I$89,5,0)</f>
        <v>-3.4760887501761321E-13</v>
      </c>
      <c r="CV120" s="14" t="e">
        <f t="shared" si="95"/>
        <v>#NUM!</v>
      </c>
      <c r="CW120" s="22" t="e">
        <f t="shared" si="67"/>
        <v>#NUM!</v>
      </c>
      <c r="CX120" s="60" t="e">
        <f t="shared" si="68"/>
        <v>#NUM!</v>
      </c>
      <c r="CY120" s="60">
        <f ca="1">AVERAGE(OFFSET($CX$3,0,0,'Données projet'!$E$13+1,1))-AVERAGE(OFFSET($H$3,0,0,'Données projet'!$E$13+1,1))</f>
        <v>228.0393346366489</v>
      </c>
      <c r="CZ120" s="60">
        <f t="shared" si="96"/>
        <v>238.591781509447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3.7</v>
      </c>
      <c r="DO120" s="13">
        <f>IF('Données projet'!$A$166&gt;35,DO119+DN120-DW119,IF(A120&lt;'Données projet'!$A$166,$DL$205^A120,IF(A120='Données projet'!$A$166,'Données projet'!$B$166,DO119+DN120-DW119)))</f>
        <v>291.89999999999952</v>
      </c>
      <c r="DP120" s="18">
        <f>DO120*VLOOKUP('Données projet'!$B$14,Paramètres!$A$1:$I$89,3,0)*VLOOKUP('Données projet'!$B$14,Paramètres!$A$1:$I$89,5,0)</f>
        <v>264.11111999999957</v>
      </c>
      <c r="DQ120" s="14">
        <f t="shared" si="97"/>
        <v>63.597900866870546</v>
      </c>
      <c r="DR120" s="22">
        <f t="shared" si="70"/>
        <v>570.75987800979885</v>
      </c>
      <c r="DS120" s="60">
        <f t="shared" si="71"/>
        <v>864.09321134313223</v>
      </c>
      <c r="DT120" s="60">
        <f ca="1">AVERAGE(OFFSET($DS$3,0,0,'Données projet'!$E$14+1,1))-AVERAGE(OFFSET($H$3,0,0,'Données projet'!$E$14+1,1))</f>
        <v>303.73499739059076</v>
      </c>
      <c r="DU120" s="60">
        <f t="shared" si="98"/>
        <v>172.32171001882188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1.1368683772161603E-13</v>
      </c>
      <c r="EK120" s="18">
        <f>EJ120*VLOOKUP('Données projet'!$B$15,Paramètres!$A$1:$I$89,3,0)*VLOOKUP('Données projet'!$B$15,Paramètres!$A$1:$I$89,5,0)</f>
        <v>6.7984728957526396E-14</v>
      </c>
      <c r="EL120" s="14">
        <f t="shared" si="99"/>
        <v>1.0682447123141398E-12</v>
      </c>
      <c r="EM120" s="22">
        <f t="shared" si="73"/>
        <v>1.978932943548152E-12</v>
      </c>
      <c r="EN120" s="60">
        <f t="shared" si="74"/>
        <v>293.3333333333353</v>
      </c>
      <c r="EO120" s="60">
        <f ca="1">AVERAGE(OFFSET($EN$3,0,0,'Données projet'!$E$15+1,1))-AVERAGE(OFFSET($H$3,0,0,'Données projet'!$E$15+1,1))</f>
        <v>269.94948820700841</v>
      </c>
      <c r="EP120" s="60">
        <f t="shared" si="100"/>
        <v>183.45158355135192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1.2237649255077552</v>
      </c>
      <c r="EX120" s="23">
        <f>EXP(-LN(2)/2)*EX119+(1-EXP(-LN(2)/2))/(LN(2)/2)*ER120*EU120*VLOOKUP('Données projet'!$B$15,Paramètres!$A$1:$I$89,3,0)*0.475*44/12</f>
        <v>4.5323422879709449E-13</v>
      </c>
      <c r="EY120" s="24">
        <f t="shared" si="75"/>
        <v>1.2237649255082084</v>
      </c>
      <c r="EZ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>
        <f>FE120*VLOOKUP('Données projet'!$B$16,Paramètres!$A$1:$I$89,3,0)*VLOOKUP('Données projet'!$B$16,Paramètres!$A$1:$I$89,5,0)</f>
        <v>0</v>
      </c>
      <c r="FG120" s="14" t="e">
        <f t="shared" si="101"/>
        <v>#NUM!</v>
      </c>
      <c r="FH120" s="22" t="e">
        <f t="shared" si="76"/>
        <v>#NUM!</v>
      </c>
      <c r="FI120" s="60" t="e">
        <f t="shared" si="77"/>
        <v>#NUM!</v>
      </c>
      <c r="FJ120" s="60">
        <f ca="1">AVERAGE(OFFSET($FI$3,0,0,'Données projet'!$E$16+1,1))-AVERAGE(OFFSET($H$3,0,0,'Données projet'!$E$16+1,1))</f>
        <v>111.24788725253484</v>
      </c>
      <c r="FK120" s="60">
        <f t="shared" si="102"/>
        <v>82.434879813357327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projet'!$B$16,Paramètres!$A$1:$I$89,3,0)*0.475*44/12</f>
        <v>0</v>
      </c>
      <c r="FR120" s="23">
        <f>EXP(-LN(2)/25)*FR119+(1-EXP(-LN(2)/25))/(LN(2)/25)*Calculateur!FM120*Calculateur!FO120*VLOOKUP('Données projet'!$B$16,Paramètres!$A$1:$I$89,3,0)*0.475*44/12</f>
        <v>0</v>
      </c>
      <c r="FS120" s="23">
        <f>EXP(-LN(2)/2)*FS119+(1-EXP(-LN(2)/2))/(LN(2)/2)*FM120*FP120*VLOOKUP('Données projet'!$B$16,Paramètres!$A$1:$I$89,3,0)*0.475*44/12</f>
        <v>0</v>
      </c>
      <c r="FT120" s="24">
        <f t="shared" si="78"/>
        <v>0</v>
      </c>
      <c r="FU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1.0231815394945443E-12</v>
      </c>
      <c r="GA120" s="18">
        <f>FZ120*VLOOKUP('Données projet'!$B$17,Paramètres!$A$1:$I$89,3,0)*VLOOKUP('Données projet'!$B$17,Paramètres!$A$1:$I$89,5,0)</f>
        <v>4.5224624045658859E-13</v>
      </c>
      <c r="GB120" s="14">
        <f t="shared" si="103"/>
        <v>5.6995607121061449E-12</v>
      </c>
      <c r="GC120" s="22">
        <f t="shared" si="79"/>
        <v>1.0714397109046761E-11</v>
      </c>
      <c r="GD120" s="60">
        <f t="shared" si="80"/>
        <v>293.333333333344</v>
      </c>
      <c r="GE120" s="60">
        <f ca="1">AVERAGE(OFFSET($GD$3,0,0,'Données projet'!$E$17+1,1))-AVERAGE(OFFSET($H$3,0,0,'Données projet'!$E$17+1,1))</f>
        <v>323.56667371063662</v>
      </c>
      <c r="GF120" s="60">
        <f t="shared" si="104"/>
        <v>275.70373467723385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>
        <f>EXP(-LN(2)/35)*GL119+(1-EXP(-LN(2)/35))/(LN(2)/35)*GH120*GI120*VLOOKUP('Données projet'!$B$17,Paramètres!$A$1:$I$89,3,0)*0.475*44/12</f>
        <v>0</v>
      </c>
      <c r="GM120" s="23">
        <f>EXP(-LN(2)/25)*GM119+(1-EXP(-LN(2)/25))/(LN(2)/25)*Calculateur!GH120*Calculateur!GJ120*VLOOKUP('Données projet'!$B$17,Paramètres!$A$1:$I$89,3,0)*0.475*44/12</f>
        <v>0</v>
      </c>
      <c r="GN120" s="23">
        <f>EXP(-LN(2)/2)*GN119+(1-EXP(-LN(2)/2))/(LN(2)/2)*GH120*GK120*VLOOKUP('Données projet'!$B$17,Paramètres!$A$1:$I$89,3,0)*0.475*44/12</f>
        <v>0</v>
      </c>
      <c r="GO120" s="23">
        <f t="shared" si="81"/>
        <v>0</v>
      </c>
      <c r="GP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0" t="e">
        <f t="shared" si="83"/>
        <v>#N/A</v>
      </c>
      <c r="GZ120" s="60" t="e">
        <f ca="1">AVERAGE(OFFSET($GY$3,0,0,'Données projet'!$E$18+1,1))-AVERAGE(OFFSET($H$3,0,0,'Données projet'!$E$18+1,1))</f>
        <v>#N/A</v>
      </c>
      <c r="HA120" s="60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4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2">
        <f t="shared" si="86"/>
        <v>18.283124878638194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-1.1368683772161603E-13</v>
      </c>
      <c r="O121" s="14">
        <f>N121*VLOOKUP('Données projet'!$B$9,Paramètres!$A$1:$I$89,3,0)*VLOOKUP('Données projet'!$B$9,Paramètres!$A$1:$I$89,5,0)</f>
        <v>-6.7984728957526396E-14</v>
      </c>
      <c r="P121" s="14" t="e">
        <f t="shared" si="87"/>
        <v>#NUM!</v>
      </c>
      <c r="Q121" s="22" t="e">
        <f t="shared" si="107"/>
        <v>#NUM!</v>
      </c>
      <c r="R121" s="60" t="e">
        <f t="shared" si="55"/>
        <v>#NUM!</v>
      </c>
      <c r="S121" s="60">
        <f ca="1">AVERAGE(OFFSET($R$3,0,0,'Données projet'!$E$9+1,1))-AVERAGE(OFFSET($H$3,0,0,'Données projet'!$E$9+1,1))</f>
        <v>235.63766249714581</v>
      </c>
      <c r="T121" s="60">
        <f t="shared" si="88"/>
        <v>231.3297293785277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2.0082959875618052</v>
      </c>
      <c r="AA121" s="23">
        <f>EXP(-LN(2)/25)*AA120+(1-EXP(-LN(2)/25))/(LN(2)/25)*Calculateur!V121*Calculateur!X121*VLOOKUP('Données projet'!$B$9,Paramètres!$A$1:$I$89,3,0)*0.475*44/12</f>
        <v>1.5071035485664881</v>
      </c>
      <c r="AB121" s="23">
        <f>EXP(-LN(2)/2)*AB120+(1-EXP(-LN(2)/2))/(LN(2)/2)*V121*Y121*VLOOKUP('Données projet'!$B$9,Paramètres!$A$1:$I$89,3,0)*0.475*44/12</f>
        <v>4.0429495828099843E-13</v>
      </c>
      <c r="AC121" s="24">
        <f t="shared" si="57"/>
        <v>3.5153995361286974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3.7</v>
      </c>
      <c r="AI121" s="14">
        <f>IF('Données projet'!$A$62&gt;35,AI120+AH121-AQ120,IF(A121&lt;'Données projet'!$A$62,$AF$205^A121,IF(A121='Données projet'!$A$62,'Données projet'!$B$62,AI120+AH121-AQ120)))</f>
        <v>295.59999999999951</v>
      </c>
      <c r="AJ121" s="14">
        <f>AI121*VLOOKUP('Données projet'!$B$10,Paramètres!$A$1:$I$89,3,0)*VLOOKUP('Données projet'!$B$10,Paramètres!$A$1:$I$89,5,0)</f>
        <v>299.73839999999956</v>
      </c>
      <c r="AK121" s="14">
        <f t="shared" si="89"/>
        <v>71.121619283394352</v>
      </c>
      <c r="AL121" s="22">
        <f t="shared" si="58"/>
        <v>645.91453358524438</v>
      </c>
      <c r="AM121" s="60">
        <f t="shared" si="59"/>
        <v>939.24786691857776</v>
      </c>
      <c r="AN121" s="60">
        <f ca="1">AVERAGE(OFFSET($AM$3,0,0,'Données projet'!$E$10+1,1))-AVERAGE(OFFSET($H$3,0,0,'Données projet'!$E$10+1,1))</f>
        <v>350.3652766444938</v>
      </c>
      <c r="AO121" s="60">
        <f t="shared" si="90"/>
        <v>197.04549436738586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6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3.7</v>
      </c>
      <c r="BD121" s="13">
        <f>IF('Données projet'!$A$88&gt;35,BD120+BC121-BL120,IF(A121&lt;'Données projet'!$A$88,$BA$205^A121,IF(A121='Données projet'!$A$88,'Données projet'!$B$88,BD120+BC121-BL120)))</f>
        <v>295.59999999999951</v>
      </c>
      <c r="BE121" s="14">
        <f>BD121*VLOOKUP('Données projet'!$B$11,Paramètres!$A$1:$I$89,3,0)*VLOOKUP('Données projet'!$B$11,Paramètres!$A$1:$I$89,5,0)</f>
        <v>285.90431999999953</v>
      </c>
      <c r="BF121" s="14">
        <f t="shared" si="91"/>
        <v>68.213241999614453</v>
      </c>
      <c r="BG121" s="22">
        <f t="shared" si="61"/>
        <v>616.75475381599438</v>
      </c>
      <c r="BH121" s="60">
        <f t="shared" si="62"/>
        <v>910.08808714932775</v>
      </c>
      <c r="BI121" s="60">
        <f ca="1">AVERAGE(OFFSET($BH$3,0,0,'Données projet'!$E$11+1,1))-AVERAGE(OFFSET($H$3,0,0,'Données projet'!$E$11+1,1))</f>
        <v>330.39429528665841</v>
      </c>
      <c r="BJ121" s="60">
        <f t="shared" si="92"/>
        <v>186.45728006007261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1.7053025658242404E-13</v>
      </c>
      <c r="BZ121" s="14">
        <f>BY121*VLOOKUP('Données projet'!$B$12,Paramètres!$A$1:$I$89,3,0)*VLOOKUP('Données projet'!$B$12,Paramètres!$A$1:$I$89,5,0)</f>
        <v>1.1439169611549005E-13</v>
      </c>
      <c r="CA121" s="14">
        <f t="shared" si="93"/>
        <v>1.6918016515029816E-12</v>
      </c>
      <c r="CB121" s="22">
        <f t="shared" si="64"/>
        <v>3.1457867471021712E-12</v>
      </c>
      <c r="CC121" s="60">
        <f t="shared" si="65"/>
        <v>293.33333333333644</v>
      </c>
      <c r="CD121" s="60">
        <f ca="1">AVERAGE(OFFSET($CC$3,0,0,'Données projet'!$E$12+1,1))-AVERAGE(OFFSET($H$3,0,0,'Données projet'!$E$12+1,1))</f>
        <v>212.33913923444732</v>
      </c>
      <c r="CE121" s="60">
        <f t="shared" si="94"/>
        <v>183.51194426094372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-3.979039320256561E-13</v>
      </c>
      <c r="CU121" s="18">
        <f>CT121*VLOOKUP('Données projet'!$B$13,Paramètres!$A$1:$I$89,3,0)*VLOOKUP('Données projet'!$B$13,Paramètres!$A$1:$I$89,5,0)</f>
        <v>-3.4760887501761321E-13</v>
      </c>
      <c r="CV121" s="14" t="e">
        <f t="shared" si="95"/>
        <v>#NUM!</v>
      </c>
      <c r="CW121" s="22" t="e">
        <f t="shared" si="67"/>
        <v>#NUM!</v>
      </c>
      <c r="CX121" s="60" t="e">
        <f t="shared" si="68"/>
        <v>#NUM!</v>
      </c>
      <c r="CY121" s="60">
        <f ca="1">AVERAGE(OFFSET($CX$3,0,0,'Données projet'!$E$13+1,1))-AVERAGE(OFFSET($H$3,0,0,'Données projet'!$E$13+1,1))</f>
        <v>228.0393346366489</v>
      </c>
      <c r="CZ121" s="60">
        <f t="shared" si="96"/>
        <v>238.591781509447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3.7</v>
      </c>
      <c r="DO121" s="13">
        <f>IF('Données projet'!$A$166&gt;35,DO120+DN121-DW120,IF(A121&lt;'Données projet'!$A$166,$DL$205^A121,IF(A121='Données projet'!$A$166,'Données projet'!$B$166,DO120+DN121-DW120)))</f>
        <v>295.59999999999951</v>
      </c>
      <c r="DP121" s="18">
        <f>DO121*VLOOKUP('Données projet'!$B$14,Paramètres!$A$1:$I$89,3,0)*VLOOKUP('Données projet'!$B$14,Paramètres!$A$1:$I$89,5,0)</f>
        <v>267.45887999999951</v>
      </c>
      <c r="DQ121" s="14">
        <f t="shared" si="97"/>
        <v>64.309683053152327</v>
      </c>
      <c r="DR121" s="22">
        <f t="shared" si="70"/>
        <v>577.8302473175728</v>
      </c>
      <c r="DS121" s="60">
        <f t="shared" si="71"/>
        <v>871.16358065090617</v>
      </c>
      <c r="DT121" s="60">
        <f ca="1">AVERAGE(OFFSET($DS$3,0,0,'Données projet'!$E$14+1,1))-AVERAGE(OFFSET($H$3,0,0,'Données projet'!$E$14+1,1))</f>
        <v>303.73499739059076</v>
      </c>
      <c r="DU121" s="60">
        <f t="shared" si="98"/>
        <v>172.32171001882188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1.1368683772161603E-13</v>
      </c>
      <c r="EK121" s="18">
        <f>EJ121*VLOOKUP('Données projet'!$B$15,Paramètres!$A$1:$I$89,3,0)*VLOOKUP('Données projet'!$B$15,Paramètres!$A$1:$I$89,5,0)</f>
        <v>6.7984728957526396E-14</v>
      </c>
      <c r="EL121" s="14">
        <f t="shared" si="99"/>
        <v>1.0682447123141398E-12</v>
      </c>
      <c r="EM121" s="22">
        <f t="shared" si="73"/>
        <v>1.978932943548152E-12</v>
      </c>
      <c r="EN121" s="60">
        <f t="shared" si="74"/>
        <v>293.3333333333353</v>
      </c>
      <c r="EO121" s="60">
        <f ca="1">AVERAGE(OFFSET($EN$3,0,0,'Données projet'!$E$15+1,1))-AVERAGE(OFFSET($H$3,0,0,'Données projet'!$E$15+1,1))</f>
        <v>269.94948820700841</v>
      </c>
      <c r="EP121" s="60">
        <f t="shared" si="100"/>
        <v>183.45158355135192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1.190301009264745</v>
      </c>
      <c r="EX121" s="23">
        <f>EXP(-LN(2)/2)*EX120+(1-EXP(-LN(2)/2))/(LN(2)/2)*ER121*EU121*VLOOKUP('Données projet'!$B$15,Paramètres!$A$1:$I$89,3,0)*0.475*44/12</f>
        <v>3.2048499664828074E-13</v>
      </c>
      <c r="EY121" s="24">
        <f t="shared" si="75"/>
        <v>1.1903010092650654</v>
      </c>
      <c r="EZ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>
        <f>FE121*VLOOKUP('Données projet'!$B$16,Paramètres!$A$1:$I$89,3,0)*VLOOKUP('Données projet'!$B$16,Paramètres!$A$1:$I$89,5,0)</f>
        <v>0</v>
      </c>
      <c r="FG121" s="14" t="e">
        <f t="shared" si="101"/>
        <v>#NUM!</v>
      </c>
      <c r="FH121" s="22" t="e">
        <f t="shared" si="76"/>
        <v>#NUM!</v>
      </c>
      <c r="FI121" s="60" t="e">
        <f t="shared" si="77"/>
        <v>#NUM!</v>
      </c>
      <c r="FJ121" s="60">
        <f ca="1">AVERAGE(OFFSET($FI$3,0,0,'Données projet'!$E$16+1,1))-AVERAGE(OFFSET($H$3,0,0,'Données projet'!$E$16+1,1))</f>
        <v>111.24788725253484</v>
      </c>
      <c r="FK121" s="60">
        <f t="shared" si="102"/>
        <v>82.434879813357327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projet'!$B$16,Paramètres!$A$1:$I$89,3,0)*0.475*44/12</f>
        <v>0</v>
      </c>
      <c r="FR121" s="23">
        <f>EXP(-LN(2)/25)*FR120+(1-EXP(-LN(2)/25))/(LN(2)/25)*Calculateur!FM121*Calculateur!FO121*VLOOKUP('Données projet'!$B$16,Paramètres!$A$1:$I$89,3,0)*0.475*44/12</f>
        <v>0</v>
      </c>
      <c r="FS121" s="23">
        <f>EXP(-LN(2)/2)*FS120+(1-EXP(-LN(2)/2))/(LN(2)/2)*FM121*FP121*VLOOKUP('Données projet'!$B$16,Paramètres!$A$1:$I$89,3,0)*0.475*44/12</f>
        <v>0</v>
      </c>
      <c r="FT121" s="24">
        <f t="shared" si="78"/>
        <v>0</v>
      </c>
      <c r="FU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1.0231815394945443E-12</v>
      </c>
      <c r="GA121" s="18">
        <f>FZ121*VLOOKUP('Données projet'!$B$17,Paramètres!$A$1:$I$89,3,0)*VLOOKUP('Données projet'!$B$17,Paramètres!$A$1:$I$89,5,0)</f>
        <v>4.5224624045658859E-13</v>
      </c>
      <c r="GB121" s="14">
        <f t="shared" si="103"/>
        <v>5.6995607121061449E-12</v>
      </c>
      <c r="GC121" s="22">
        <f t="shared" si="79"/>
        <v>1.0714397109046761E-11</v>
      </c>
      <c r="GD121" s="60">
        <f t="shared" si="80"/>
        <v>293.333333333344</v>
      </c>
      <c r="GE121" s="60">
        <f ca="1">AVERAGE(OFFSET($GD$3,0,0,'Données projet'!$E$17+1,1))-AVERAGE(OFFSET($H$3,0,0,'Données projet'!$E$17+1,1))</f>
        <v>323.56667371063662</v>
      </c>
      <c r="GF121" s="60">
        <f t="shared" si="104"/>
        <v>275.70373467723385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>
        <f>EXP(-LN(2)/35)*GL120+(1-EXP(-LN(2)/35))/(LN(2)/35)*GH121*GI121*VLOOKUP('Données projet'!$B$17,Paramètres!$A$1:$I$89,3,0)*0.475*44/12</f>
        <v>0</v>
      </c>
      <c r="GM121" s="23">
        <f>EXP(-LN(2)/25)*GM120+(1-EXP(-LN(2)/25))/(LN(2)/25)*Calculateur!GH121*Calculateur!GJ121*VLOOKUP('Données projet'!$B$17,Paramètres!$A$1:$I$89,3,0)*0.475*44/12</f>
        <v>0</v>
      </c>
      <c r="GN121" s="23">
        <f>EXP(-LN(2)/2)*GN120+(1-EXP(-LN(2)/2))/(LN(2)/2)*GH121*GK121*VLOOKUP('Données projet'!$B$17,Paramètres!$A$1:$I$89,3,0)*0.475*44/12</f>
        <v>0</v>
      </c>
      <c r="GO121" s="23">
        <f t="shared" si="81"/>
        <v>0</v>
      </c>
      <c r="GP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0" t="e">
        <f t="shared" si="83"/>
        <v>#N/A</v>
      </c>
      <c r="GZ121" s="60" t="e">
        <f ca="1">AVERAGE(OFFSET($GY$3,0,0,'Données projet'!$E$18+1,1))-AVERAGE(OFFSET($H$3,0,0,'Données projet'!$E$18+1,1))</f>
        <v>#N/A</v>
      </c>
      <c r="HA121" s="60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4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2">
        <f t="shared" si="86"/>
        <v>18.41996408372005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-1.1368683772161603E-13</v>
      </c>
      <c r="O122" s="14">
        <f>N122*VLOOKUP('Données projet'!$B$9,Paramètres!$A$1:$I$89,3,0)*VLOOKUP('Données projet'!$B$9,Paramètres!$A$1:$I$89,5,0)</f>
        <v>-6.7984728957526396E-14</v>
      </c>
      <c r="P122" s="14" t="e">
        <f t="shared" si="87"/>
        <v>#NUM!</v>
      </c>
      <c r="Q122" s="22" t="e">
        <f t="shared" si="107"/>
        <v>#NUM!</v>
      </c>
      <c r="R122" s="60" t="e">
        <f t="shared" si="55"/>
        <v>#NUM!</v>
      </c>
      <c r="S122" s="60">
        <f ca="1">AVERAGE(OFFSET($R$3,0,0,'Données projet'!$E$9+1,1))-AVERAGE(OFFSET($H$3,0,0,'Données projet'!$E$9+1,1))</f>
        <v>235.63766249714581</v>
      </c>
      <c r="T122" s="60">
        <f t="shared" si="88"/>
        <v>231.3297293785277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1.9689145281853178</v>
      </c>
      <c r="AA122" s="23">
        <f>EXP(-LN(2)/25)*AA121+(1-EXP(-LN(2)/25))/(LN(2)/25)*Calculateur!V122*Calculateur!X122*VLOOKUP('Données projet'!$B$9,Paramètres!$A$1:$I$89,3,0)*0.475*44/12</f>
        <v>1.4658917227758064</v>
      </c>
      <c r="AB122" s="23">
        <f>EXP(-LN(2)/2)*AB121+(1-EXP(-LN(2)/2))/(LN(2)/2)*V122*Y122*VLOOKUP('Données projet'!$B$9,Paramètres!$A$1:$I$89,3,0)*0.475*44/12</f>
        <v>2.8587970660002631E-13</v>
      </c>
      <c r="AC122" s="24">
        <f t="shared" si="57"/>
        <v>3.4348062509614099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3.7</v>
      </c>
      <c r="AI122" s="14">
        <f>IF('Données projet'!$A$62&gt;35,AI121+AH122-AQ121,IF(A122&lt;'Données projet'!$A$62,$AF$205^A122,IF(A122='Données projet'!$A$62,'Données projet'!$B$62,AI121+AH122-AQ121)))</f>
        <v>299.2999999999995</v>
      </c>
      <c r="AJ122" s="14">
        <f>AI122*VLOOKUP('Données projet'!$B$10,Paramètres!$A$1:$I$89,3,0)*VLOOKUP('Données projet'!$B$10,Paramètres!$A$1:$I$89,5,0)</f>
        <v>303.4901999999995</v>
      </c>
      <c r="AK122" s="14">
        <f t="shared" si="89"/>
        <v>71.907650167874138</v>
      </c>
      <c r="AL122" s="22">
        <f t="shared" si="58"/>
        <v>653.81792237571324</v>
      </c>
      <c r="AM122" s="60">
        <f t="shared" si="59"/>
        <v>947.15125570904661</v>
      </c>
      <c r="AN122" s="60">
        <f ca="1">AVERAGE(OFFSET($AM$3,0,0,'Données projet'!$E$10+1,1))-AVERAGE(OFFSET($H$3,0,0,'Données projet'!$E$10+1,1))</f>
        <v>350.3652766444938</v>
      </c>
      <c r="AO122" s="60">
        <f t="shared" si="90"/>
        <v>197.04549436738586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6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3.7</v>
      </c>
      <c r="BD122" s="13">
        <f>IF('Données projet'!$A$88&gt;35,BD121+BC122-BL121,IF(A122&lt;'Données projet'!$A$88,$BA$205^A122,IF(A122='Données projet'!$A$88,'Données projet'!$B$88,BD121+BC122-BL121)))</f>
        <v>299.2999999999995</v>
      </c>
      <c r="BE122" s="14">
        <f>BD122*VLOOKUP('Données projet'!$B$11,Paramètres!$A$1:$I$89,3,0)*VLOOKUP('Données projet'!$B$11,Paramètres!$A$1:$I$89,5,0)</f>
        <v>289.48295999999954</v>
      </c>
      <c r="BF122" s="14">
        <f t="shared" si="91"/>
        <v>68.967129713117401</v>
      </c>
      <c r="BG122" s="22">
        <f t="shared" si="61"/>
        <v>624.300572917012</v>
      </c>
      <c r="BH122" s="60">
        <f t="shared" si="62"/>
        <v>917.63390625034526</v>
      </c>
      <c r="BI122" s="60">
        <f ca="1">AVERAGE(OFFSET($BH$3,0,0,'Données projet'!$E$11+1,1))-AVERAGE(OFFSET($H$3,0,0,'Données projet'!$E$11+1,1))</f>
        <v>330.39429528665841</v>
      </c>
      <c r="BJ122" s="60">
        <f t="shared" si="92"/>
        <v>186.45728006007261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1.7053025658242404E-13</v>
      </c>
      <c r="BZ122" s="14">
        <f>BY122*VLOOKUP('Données projet'!$B$12,Paramètres!$A$1:$I$89,3,0)*VLOOKUP('Données projet'!$B$12,Paramètres!$A$1:$I$89,5,0)</f>
        <v>1.1439169611549005E-13</v>
      </c>
      <c r="CA122" s="14">
        <f t="shared" si="93"/>
        <v>1.6918016515029816E-12</v>
      </c>
      <c r="CB122" s="22">
        <f t="shared" si="64"/>
        <v>3.1457867471021712E-12</v>
      </c>
      <c r="CC122" s="60">
        <f t="shared" si="65"/>
        <v>293.33333333333644</v>
      </c>
      <c r="CD122" s="60">
        <f ca="1">AVERAGE(OFFSET($CC$3,0,0,'Données projet'!$E$12+1,1))-AVERAGE(OFFSET($H$3,0,0,'Données projet'!$E$12+1,1))</f>
        <v>212.33913923444732</v>
      </c>
      <c r="CE122" s="60">
        <f t="shared" si="94"/>
        <v>183.51194426094372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-3.979039320256561E-13</v>
      </c>
      <c r="CU122" s="18">
        <f>CT122*VLOOKUP('Données projet'!$B$13,Paramètres!$A$1:$I$89,3,0)*VLOOKUP('Données projet'!$B$13,Paramètres!$A$1:$I$89,5,0)</f>
        <v>-3.4760887501761321E-13</v>
      </c>
      <c r="CV122" s="14" t="e">
        <f t="shared" si="95"/>
        <v>#NUM!</v>
      </c>
      <c r="CW122" s="22" t="e">
        <f t="shared" si="67"/>
        <v>#NUM!</v>
      </c>
      <c r="CX122" s="60" t="e">
        <f t="shared" si="68"/>
        <v>#NUM!</v>
      </c>
      <c r="CY122" s="60">
        <f ca="1">AVERAGE(OFFSET($CX$3,0,0,'Données projet'!$E$13+1,1))-AVERAGE(OFFSET($H$3,0,0,'Données projet'!$E$13+1,1))</f>
        <v>228.0393346366489</v>
      </c>
      <c r="CZ122" s="60">
        <f t="shared" si="96"/>
        <v>238.591781509447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3.7</v>
      </c>
      <c r="DO122" s="13">
        <f>IF('Données projet'!$A$166&gt;35,DO121+DN122-DW121,IF(A122&lt;'Données projet'!$A$166,$DL$205^A122,IF(A122='Données projet'!$A$166,'Données projet'!$B$166,DO121+DN122-DW121)))</f>
        <v>299.2999999999995</v>
      </c>
      <c r="DP122" s="18">
        <f>DO122*VLOOKUP('Données projet'!$B$14,Paramètres!$A$1:$I$89,3,0)*VLOOKUP('Données projet'!$B$14,Paramètres!$A$1:$I$89,5,0)</f>
        <v>270.80663999999956</v>
      </c>
      <c r="DQ122" s="14">
        <f t="shared" si="97"/>
        <v>65.020428921429911</v>
      </c>
      <c r="DR122" s="22">
        <f t="shared" si="70"/>
        <v>584.89881170482306</v>
      </c>
      <c r="DS122" s="60">
        <f t="shared" si="71"/>
        <v>878.23214503815643</v>
      </c>
      <c r="DT122" s="60">
        <f ca="1">AVERAGE(OFFSET($DS$3,0,0,'Données projet'!$E$14+1,1))-AVERAGE(OFFSET($H$3,0,0,'Données projet'!$E$14+1,1))</f>
        <v>303.73499739059076</v>
      </c>
      <c r="DU122" s="60">
        <f t="shared" si="98"/>
        <v>172.32171001882188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1.1368683772161603E-13</v>
      </c>
      <c r="EK122" s="18">
        <f>EJ122*VLOOKUP('Données projet'!$B$15,Paramètres!$A$1:$I$89,3,0)*VLOOKUP('Données projet'!$B$15,Paramètres!$A$1:$I$89,5,0)</f>
        <v>6.7984728957526396E-14</v>
      </c>
      <c r="EL122" s="14">
        <f t="shared" si="99"/>
        <v>1.0682447123141398E-12</v>
      </c>
      <c r="EM122" s="22">
        <f t="shared" si="73"/>
        <v>1.978932943548152E-12</v>
      </c>
      <c r="EN122" s="60">
        <f t="shared" si="74"/>
        <v>293.3333333333353</v>
      </c>
      <c r="EO122" s="60">
        <f ca="1">AVERAGE(OFFSET($EN$3,0,0,'Données projet'!$E$15+1,1))-AVERAGE(OFFSET($H$3,0,0,'Données projet'!$E$15+1,1))</f>
        <v>269.94948820700841</v>
      </c>
      <c r="EP122" s="60">
        <f t="shared" si="100"/>
        <v>183.45158355135192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1.1577521655711909</v>
      </c>
      <c r="EX122" s="23">
        <f>EXP(-LN(2)/2)*EX121+(1-EXP(-LN(2)/2))/(LN(2)/2)*ER122*EU122*VLOOKUP('Données projet'!$B$15,Paramètres!$A$1:$I$89,3,0)*0.475*44/12</f>
        <v>2.2661711439854727E-13</v>
      </c>
      <c r="EY122" s="24">
        <f t="shared" si="75"/>
        <v>1.1577521655714176</v>
      </c>
      <c r="EZ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>
        <f>FE122*VLOOKUP('Données projet'!$B$16,Paramètres!$A$1:$I$89,3,0)*VLOOKUP('Données projet'!$B$16,Paramètres!$A$1:$I$89,5,0)</f>
        <v>0</v>
      </c>
      <c r="FG122" s="14" t="e">
        <f t="shared" si="101"/>
        <v>#NUM!</v>
      </c>
      <c r="FH122" s="22" t="e">
        <f t="shared" si="76"/>
        <v>#NUM!</v>
      </c>
      <c r="FI122" s="60" t="e">
        <f t="shared" si="77"/>
        <v>#NUM!</v>
      </c>
      <c r="FJ122" s="60">
        <f ca="1">AVERAGE(OFFSET($FI$3,0,0,'Données projet'!$E$16+1,1))-AVERAGE(OFFSET($H$3,0,0,'Données projet'!$E$16+1,1))</f>
        <v>111.24788725253484</v>
      </c>
      <c r="FK122" s="60">
        <f t="shared" si="102"/>
        <v>82.434879813357327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projet'!$B$16,Paramètres!$A$1:$I$89,3,0)*0.475*44/12</f>
        <v>0</v>
      </c>
      <c r="FR122" s="23">
        <f>EXP(-LN(2)/25)*FR121+(1-EXP(-LN(2)/25))/(LN(2)/25)*Calculateur!FM122*Calculateur!FO122*VLOOKUP('Données projet'!$B$16,Paramètres!$A$1:$I$89,3,0)*0.475*44/12</f>
        <v>0</v>
      </c>
      <c r="FS122" s="23">
        <f>EXP(-LN(2)/2)*FS121+(1-EXP(-LN(2)/2))/(LN(2)/2)*FM122*FP122*VLOOKUP('Données projet'!$B$16,Paramètres!$A$1:$I$89,3,0)*0.475*44/12</f>
        <v>0</v>
      </c>
      <c r="FT122" s="24">
        <f t="shared" si="78"/>
        <v>0</v>
      </c>
      <c r="FU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1.0231815394945443E-12</v>
      </c>
      <c r="GA122" s="18">
        <f>FZ122*VLOOKUP('Données projet'!$B$17,Paramètres!$A$1:$I$89,3,0)*VLOOKUP('Données projet'!$B$17,Paramètres!$A$1:$I$89,5,0)</f>
        <v>4.5224624045658859E-13</v>
      </c>
      <c r="GB122" s="14">
        <f t="shared" si="103"/>
        <v>5.6995607121061449E-12</v>
      </c>
      <c r="GC122" s="22">
        <f t="shared" si="79"/>
        <v>1.0714397109046761E-11</v>
      </c>
      <c r="GD122" s="60">
        <f t="shared" si="80"/>
        <v>293.333333333344</v>
      </c>
      <c r="GE122" s="60">
        <f ca="1">AVERAGE(OFFSET($GD$3,0,0,'Données projet'!$E$17+1,1))-AVERAGE(OFFSET($H$3,0,0,'Données projet'!$E$17+1,1))</f>
        <v>323.56667371063662</v>
      </c>
      <c r="GF122" s="60">
        <f t="shared" si="104"/>
        <v>275.70373467723385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>
        <f>EXP(-LN(2)/35)*GL121+(1-EXP(-LN(2)/35))/(LN(2)/35)*GH122*GI122*VLOOKUP('Données projet'!$B$17,Paramètres!$A$1:$I$89,3,0)*0.475*44/12</f>
        <v>0</v>
      </c>
      <c r="GM122" s="23">
        <f>EXP(-LN(2)/25)*GM121+(1-EXP(-LN(2)/25))/(LN(2)/25)*Calculateur!GH122*Calculateur!GJ122*VLOOKUP('Données projet'!$B$17,Paramètres!$A$1:$I$89,3,0)*0.475*44/12</f>
        <v>0</v>
      </c>
      <c r="GN122" s="23">
        <f>EXP(-LN(2)/2)*GN121+(1-EXP(-LN(2)/2))/(LN(2)/2)*GH122*GK122*VLOOKUP('Données projet'!$B$17,Paramètres!$A$1:$I$89,3,0)*0.475*44/12</f>
        <v>0</v>
      </c>
      <c r="GO122" s="23">
        <f t="shared" si="81"/>
        <v>0</v>
      </c>
      <c r="GP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0" t="e">
        <f t="shared" si="83"/>
        <v>#N/A</v>
      </c>
      <c r="GZ122" s="60" t="e">
        <f ca="1">AVERAGE(OFFSET($GY$3,0,0,'Données projet'!$E$18+1,1))-AVERAGE(OFFSET($H$3,0,0,'Données projet'!$E$18+1,1))</f>
        <v>#N/A</v>
      </c>
      <c r="HA122" s="60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4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2">
        <f t="shared" si="86"/>
        <v>18.556669503136707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-1.1368683772161603E-13</v>
      </c>
      <c r="O123" s="14">
        <f>N123*VLOOKUP('Données projet'!$B$9,Paramètres!$A$1:$I$89,3,0)*VLOOKUP('Données projet'!$B$9,Paramètres!$A$1:$I$89,5,0)</f>
        <v>-6.7984728957526396E-14</v>
      </c>
      <c r="P123" s="14" t="e">
        <f t="shared" si="87"/>
        <v>#NUM!</v>
      </c>
      <c r="Q123" s="22" t="e">
        <f t="shared" si="107"/>
        <v>#NUM!</v>
      </c>
      <c r="R123" s="60" t="e">
        <f t="shared" si="55"/>
        <v>#NUM!</v>
      </c>
      <c r="S123" s="60">
        <f ca="1">AVERAGE(OFFSET($R$3,0,0,'Données projet'!$E$9+1,1))-AVERAGE(OFFSET($H$3,0,0,'Données projet'!$E$9+1,1))</f>
        <v>235.63766249714581</v>
      </c>
      <c r="T123" s="60">
        <f t="shared" si="88"/>
        <v>231.3297293785277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1.930305315206885</v>
      </c>
      <c r="AA123" s="23">
        <f>EXP(-LN(2)/25)*AA122+(1-EXP(-LN(2)/25))/(LN(2)/25)*Calculateur!V123*Calculateur!X123*VLOOKUP('Données projet'!$B$9,Paramètres!$A$1:$I$89,3,0)*0.475*44/12</f>
        <v>1.4258068365286065</v>
      </c>
      <c r="AB123" s="23">
        <f>EXP(-LN(2)/2)*AB122+(1-EXP(-LN(2)/2))/(LN(2)/2)*V123*Y123*VLOOKUP('Données projet'!$B$9,Paramètres!$A$1:$I$89,3,0)*0.475*44/12</f>
        <v>2.0214747914049921E-13</v>
      </c>
      <c r="AC123" s="24">
        <f t="shared" si="57"/>
        <v>3.3561121517356933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303</v>
      </c>
      <c r="AG123" s="13">
        <f>VLOOKUP(A123,'Données projet'!$A$61:$I$81,9,0)</f>
        <v>3.7</v>
      </c>
      <c r="AH123" s="13">
        <f t="array" ref="AH123">INDEX(AG:AG,MIN(IF(ISNUMBER(AG123:AG319),ROW(AG123:AG319),"")))</f>
        <v>3.7</v>
      </c>
      <c r="AI123" s="14">
        <f>IF('Données projet'!$A$62&gt;35,AI122+AH123-AQ122,IF(A123&lt;'Données projet'!$A$62,$AF$205^A123,IF(A123='Données projet'!$A$62,'Données projet'!$B$62,AI122+AH123-AQ122)))</f>
        <v>302.99999999999949</v>
      </c>
      <c r="AJ123" s="14">
        <f>AI123*VLOOKUP('Données projet'!$B$10,Paramètres!$A$1:$I$89,3,0)*VLOOKUP('Données projet'!$B$10,Paramètres!$A$1:$I$89,5,0)</f>
        <v>307.24199999999951</v>
      </c>
      <c r="AK123" s="14">
        <f t="shared" si="89"/>
        <v>72.692550770207717</v>
      </c>
      <c r="AL123" s="22">
        <f t="shared" si="58"/>
        <v>661.71934259144427</v>
      </c>
      <c r="AM123" s="60">
        <f t="shared" si="59"/>
        <v>955.05267592477753</v>
      </c>
      <c r="AN123" s="60">
        <f ca="1">AVERAGE(OFFSET($AM$3,0,0,'Données projet'!$E$10+1,1))-AVERAGE(OFFSET($H$3,0,0,'Données projet'!$E$10+1,1))</f>
        <v>350.3652766444938</v>
      </c>
      <c r="AO123" s="60">
        <f t="shared" si="90"/>
        <v>197.04549436738586</v>
      </c>
      <c r="AP123" s="16">
        <f>IF(ISNA(VLOOKUP(A123,'Données projet'!$A$61:$I$81,3,0)),0,VLOOKUP(A123,'Données projet'!$A$61:$I$81,3,0))</f>
        <v>10</v>
      </c>
      <c r="AQ123" s="16">
        <f>IF(ISNA(VLOOKUP(A123,'Données projet'!$A$61:$I$81,4,0)),0,VLOOKUP(A123,'Données projet'!$A$61:$I$81,4,0))</f>
        <v>35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6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303</v>
      </c>
      <c r="BB123" s="13">
        <f>VLOOKUP(A123,'Données projet'!$A$87:$I$107,9,0)</f>
        <v>3.7</v>
      </c>
      <c r="BC123" s="13">
        <f t="array" ref="BC123">INDEX(BB:BB,MIN(IF(ISNUMBER(BB123:BB319),ROW(BB123:BB319),"")))</f>
        <v>3.7</v>
      </c>
      <c r="BD123" s="13">
        <f>IF('Données projet'!$A$88&gt;35,BD122+BC123-BL122,IF(A123&lt;'Données projet'!$A$88,$BA$205^A123,IF(A123='Données projet'!$A$88,'Données projet'!$B$88,BD122+BC123-BL122)))</f>
        <v>302.99999999999949</v>
      </c>
      <c r="BE123" s="14">
        <f>BD123*VLOOKUP('Données projet'!$B$11,Paramètres!$A$1:$I$89,3,0)*VLOOKUP('Données projet'!$B$11,Paramètres!$A$1:$I$89,5,0)</f>
        <v>293.06159999999949</v>
      </c>
      <c r="BF123" s="14">
        <f t="shared" si="91"/>
        <v>69.719933365116432</v>
      </c>
      <c r="BG123" s="22">
        <f t="shared" si="61"/>
        <v>631.84450394424357</v>
      </c>
      <c r="BH123" s="60">
        <f t="shared" si="62"/>
        <v>925.17783727757683</v>
      </c>
      <c r="BI123" s="60">
        <f ca="1">AVERAGE(OFFSET($BH$3,0,0,'Données projet'!$E$11+1,1))-AVERAGE(OFFSET($H$3,0,0,'Données projet'!$E$11+1,1))</f>
        <v>330.39429528665841</v>
      </c>
      <c r="BJ123" s="60">
        <f t="shared" si="92"/>
        <v>186.45728006007261</v>
      </c>
      <c r="BK123" s="16">
        <f>IF(ISNA(VLOOKUP(A123,'Données projet'!$A$87:$I$107,3,0)),0,VLOOKUP(A123,'Données projet'!$A$87:$I$107,3,0))</f>
        <v>10</v>
      </c>
      <c r="BL123" s="16">
        <f>IF(ISNA(VLOOKUP(A123,'Données projet'!$A$87:$I$107,4,0)),0,VLOOKUP(A123,'Données projet'!$A$87:$I$107,4,0))</f>
        <v>35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1.7053025658242404E-13</v>
      </c>
      <c r="BZ123" s="14">
        <f>BY123*VLOOKUP('Données projet'!$B$12,Paramètres!$A$1:$I$89,3,0)*VLOOKUP('Données projet'!$B$12,Paramètres!$A$1:$I$89,5,0)</f>
        <v>1.1439169611549005E-13</v>
      </c>
      <c r="CA123" s="14">
        <f t="shared" si="93"/>
        <v>1.6918016515029816E-12</v>
      </c>
      <c r="CB123" s="22">
        <f t="shared" si="64"/>
        <v>3.1457867471021712E-12</v>
      </c>
      <c r="CC123" s="60">
        <f t="shared" si="65"/>
        <v>293.33333333333644</v>
      </c>
      <c r="CD123" s="60">
        <f ca="1">AVERAGE(OFFSET($CC$3,0,0,'Données projet'!$E$12+1,1))-AVERAGE(OFFSET($H$3,0,0,'Données projet'!$E$12+1,1))</f>
        <v>212.33913923444732</v>
      </c>
      <c r="CE123" s="60">
        <f t="shared" si="94"/>
        <v>183.51194426094372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-3.979039320256561E-13</v>
      </c>
      <c r="CU123" s="18">
        <f>CT123*VLOOKUP('Données projet'!$B$13,Paramètres!$A$1:$I$89,3,0)*VLOOKUP('Données projet'!$B$13,Paramètres!$A$1:$I$89,5,0)</f>
        <v>-3.4760887501761321E-13</v>
      </c>
      <c r="CV123" s="14" t="e">
        <f t="shared" si="95"/>
        <v>#NUM!</v>
      </c>
      <c r="CW123" s="22" t="e">
        <f t="shared" si="67"/>
        <v>#NUM!</v>
      </c>
      <c r="CX123" s="60" t="e">
        <f t="shared" si="68"/>
        <v>#NUM!</v>
      </c>
      <c r="CY123" s="60">
        <f ca="1">AVERAGE(OFFSET($CX$3,0,0,'Données projet'!$E$13+1,1))-AVERAGE(OFFSET($H$3,0,0,'Données projet'!$E$13+1,1))</f>
        <v>228.0393346366489</v>
      </c>
      <c r="CZ123" s="60">
        <f t="shared" si="96"/>
        <v>238.591781509447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>
        <f>VLOOKUP(A123,'Données projet'!$A$165:$I$185,2,0)</f>
        <v>303</v>
      </c>
      <c r="DM123" s="13">
        <f>VLOOKUP(A123,'Données projet'!$A$165:$I$185,9,0)</f>
        <v>3.7</v>
      </c>
      <c r="DN123" s="13">
        <f t="array" ref="DN123">INDEX(DM:DM,MIN(IF(ISNUMBER(DM123:DM319),ROW(DM123:DM319),"")))</f>
        <v>3.7</v>
      </c>
      <c r="DO123" s="13">
        <f>IF('Données projet'!$A$166&gt;35,DO122+DN123-DW122,IF(A123&lt;'Données projet'!$A$166,$DL$205^A123,IF(A123='Données projet'!$A$166,'Données projet'!$B$166,DO122+DN123-DW122)))</f>
        <v>302.99999999999949</v>
      </c>
      <c r="DP123" s="18">
        <f>DO123*VLOOKUP('Données projet'!$B$14,Paramètres!$A$1:$I$89,3,0)*VLOOKUP('Données projet'!$B$14,Paramètres!$A$1:$I$89,5,0)</f>
        <v>274.15439999999955</v>
      </c>
      <c r="DQ123" s="14">
        <f t="shared" si="97"/>
        <v>65.730152764515779</v>
      </c>
      <c r="DR123" s="22">
        <f t="shared" si="70"/>
        <v>591.96559606486414</v>
      </c>
      <c r="DS123" s="60">
        <f t="shared" si="71"/>
        <v>885.29892939819752</v>
      </c>
      <c r="DT123" s="60">
        <f ca="1">AVERAGE(OFFSET($DS$3,0,0,'Données projet'!$E$14+1,1))-AVERAGE(OFFSET($H$3,0,0,'Données projet'!$E$14+1,1))</f>
        <v>303.73499739059076</v>
      </c>
      <c r="DU123" s="60">
        <f t="shared" si="98"/>
        <v>172.32171001882188</v>
      </c>
      <c r="DV123" s="16">
        <f>IF(ISNA(VLOOKUP(A123,'Données projet'!$A$165:$I$185,3,0)),0,VLOOKUP(A123,'Données projet'!$A$165:$I$185,3,0))</f>
        <v>10</v>
      </c>
      <c r="DW123" s="16">
        <f>IF(ISNA(VLOOKUP(A123,'Données projet'!$A$165:$I$185,4,0)),0,VLOOKUP(A123,'Données projet'!$A$165:$I$185,4,0))</f>
        <v>35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1.1368683772161603E-13</v>
      </c>
      <c r="EK123" s="18">
        <f>EJ123*VLOOKUP('Données projet'!$B$15,Paramètres!$A$1:$I$89,3,0)*VLOOKUP('Données projet'!$B$15,Paramètres!$A$1:$I$89,5,0)</f>
        <v>6.7984728957526396E-14</v>
      </c>
      <c r="EL123" s="14">
        <f t="shared" si="99"/>
        <v>1.0682447123141398E-12</v>
      </c>
      <c r="EM123" s="22">
        <f t="shared" si="73"/>
        <v>1.978932943548152E-12</v>
      </c>
      <c r="EN123" s="60">
        <f t="shared" si="74"/>
        <v>293.3333333333353</v>
      </c>
      <c r="EO123" s="60">
        <f ca="1">AVERAGE(OFFSET($EN$3,0,0,'Données projet'!$E$15+1,1))-AVERAGE(OFFSET($H$3,0,0,'Données projet'!$E$15+1,1))</f>
        <v>269.94948820700841</v>
      </c>
      <c r="EP123" s="60">
        <f t="shared" si="100"/>
        <v>183.45158355135192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1.1260933717201063</v>
      </c>
      <c r="EX123" s="23">
        <f>EXP(-LN(2)/2)*EX122+(1-EXP(-LN(2)/2))/(LN(2)/2)*ER123*EU123*VLOOKUP('Données projet'!$B$15,Paramètres!$A$1:$I$89,3,0)*0.475*44/12</f>
        <v>1.602424983241404E-13</v>
      </c>
      <c r="EY123" s="24">
        <f t="shared" si="75"/>
        <v>1.1260933717202666</v>
      </c>
      <c r="EZ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>
        <f>FE123*VLOOKUP('Données projet'!$B$16,Paramètres!$A$1:$I$89,3,0)*VLOOKUP('Données projet'!$B$16,Paramètres!$A$1:$I$89,5,0)</f>
        <v>0</v>
      </c>
      <c r="FG123" s="14" t="e">
        <f t="shared" si="101"/>
        <v>#NUM!</v>
      </c>
      <c r="FH123" s="22" t="e">
        <f t="shared" si="76"/>
        <v>#NUM!</v>
      </c>
      <c r="FI123" s="60" t="e">
        <f t="shared" si="77"/>
        <v>#NUM!</v>
      </c>
      <c r="FJ123" s="60">
        <f ca="1">AVERAGE(OFFSET($FI$3,0,0,'Données projet'!$E$16+1,1))-AVERAGE(OFFSET($H$3,0,0,'Données projet'!$E$16+1,1))</f>
        <v>111.24788725253484</v>
      </c>
      <c r="FK123" s="60">
        <f t="shared" si="102"/>
        <v>82.434879813357327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projet'!$B$16,Paramètres!$A$1:$I$89,3,0)*0.475*44/12</f>
        <v>0</v>
      </c>
      <c r="FR123" s="23">
        <f>EXP(-LN(2)/25)*FR122+(1-EXP(-LN(2)/25))/(LN(2)/25)*Calculateur!FM123*Calculateur!FO123*VLOOKUP('Données projet'!$B$16,Paramètres!$A$1:$I$89,3,0)*0.475*44/12</f>
        <v>0</v>
      </c>
      <c r="FS123" s="23">
        <f>EXP(-LN(2)/2)*FS122+(1-EXP(-LN(2)/2))/(LN(2)/2)*FM123*FP123*VLOOKUP('Données projet'!$B$16,Paramètres!$A$1:$I$89,3,0)*0.475*44/12</f>
        <v>0</v>
      </c>
      <c r="FT123" s="24">
        <f t="shared" si="78"/>
        <v>0</v>
      </c>
      <c r="FU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1.0231815394945443E-12</v>
      </c>
      <c r="GA123" s="18">
        <f>FZ123*VLOOKUP('Données projet'!$B$17,Paramètres!$A$1:$I$89,3,0)*VLOOKUP('Données projet'!$B$17,Paramètres!$A$1:$I$89,5,0)</f>
        <v>4.5224624045658859E-13</v>
      </c>
      <c r="GB123" s="14">
        <f t="shared" si="103"/>
        <v>5.6995607121061449E-12</v>
      </c>
      <c r="GC123" s="22">
        <f t="shared" si="79"/>
        <v>1.0714397109046761E-11</v>
      </c>
      <c r="GD123" s="60">
        <f t="shared" si="80"/>
        <v>293.333333333344</v>
      </c>
      <c r="GE123" s="60">
        <f ca="1">AVERAGE(OFFSET($GD$3,0,0,'Données projet'!$E$17+1,1))-AVERAGE(OFFSET($H$3,0,0,'Données projet'!$E$17+1,1))</f>
        <v>323.56667371063662</v>
      </c>
      <c r="GF123" s="60">
        <f t="shared" si="104"/>
        <v>275.70373467723385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>
        <f>EXP(-LN(2)/35)*GL122+(1-EXP(-LN(2)/35))/(LN(2)/35)*GH123*GI123*VLOOKUP('Données projet'!$B$17,Paramètres!$A$1:$I$89,3,0)*0.475*44/12</f>
        <v>0</v>
      </c>
      <c r="GM123" s="23">
        <f>EXP(-LN(2)/25)*GM122+(1-EXP(-LN(2)/25))/(LN(2)/25)*Calculateur!GH123*Calculateur!GJ123*VLOOKUP('Données projet'!$B$17,Paramètres!$A$1:$I$89,3,0)*0.475*44/12</f>
        <v>0</v>
      </c>
      <c r="GN123" s="23">
        <f>EXP(-LN(2)/2)*GN122+(1-EXP(-LN(2)/2))/(LN(2)/2)*GH123*GK123*VLOOKUP('Données projet'!$B$17,Paramètres!$A$1:$I$89,3,0)*0.475*44/12</f>
        <v>0</v>
      </c>
      <c r="GO123" s="23">
        <f t="shared" si="81"/>
        <v>0</v>
      </c>
      <c r="GP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0" t="e">
        <f t="shared" si="83"/>
        <v>#N/A</v>
      </c>
      <c r="GZ123" s="60" t="e">
        <f ca="1">AVERAGE(OFFSET($GY$3,0,0,'Données projet'!$E$18+1,1))-AVERAGE(OFFSET($H$3,0,0,'Données projet'!$E$18+1,1))</f>
        <v>#N/A</v>
      </c>
      <c r="HA123" s="60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4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2">
        <f t="shared" si="86"/>
        <v>18.69324238096624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-1.1368683772161603E-13</v>
      </c>
      <c r="O124" s="14">
        <f>N124*VLOOKUP('Données projet'!$B$9,Paramètres!$A$1:$I$89,3,0)*VLOOKUP('Données projet'!$B$9,Paramètres!$A$1:$I$89,5,0)</f>
        <v>-6.7984728957526396E-14</v>
      </c>
      <c r="P124" s="14" t="e">
        <f t="shared" si="87"/>
        <v>#NUM!</v>
      </c>
      <c r="Q124" s="22" t="e">
        <f t="shared" si="107"/>
        <v>#NUM!</v>
      </c>
      <c r="R124" s="60" t="e">
        <f t="shared" si="55"/>
        <v>#NUM!</v>
      </c>
      <c r="S124" s="60">
        <f ca="1">AVERAGE(OFFSET($R$3,0,0,'Données projet'!$E$9+1,1))-AVERAGE(OFFSET($H$3,0,0,'Données projet'!$E$9+1,1))</f>
        <v>235.63766249714581</v>
      </c>
      <c r="T124" s="60">
        <f t="shared" si="88"/>
        <v>231.3297293785277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1.8924532053456646</v>
      </c>
      <c r="AA124" s="23">
        <f>EXP(-LN(2)/25)*AA123+(1-EXP(-LN(2)/25))/(LN(2)/25)*Calculateur!V124*Calculateur!X124*VLOOKUP('Données projet'!$B$9,Paramètres!$A$1:$I$89,3,0)*0.475*44/12</f>
        <v>1.3868180736038089</v>
      </c>
      <c r="AB124" s="23">
        <f>EXP(-LN(2)/2)*AB123+(1-EXP(-LN(2)/2))/(LN(2)/2)*V124*Y124*VLOOKUP('Données projet'!$B$9,Paramètres!$A$1:$I$89,3,0)*0.475*44/12</f>
        <v>1.4293985330001316E-13</v>
      </c>
      <c r="AC124" s="24">
        <f t="shared" si="57"/>
        <v>3.2792712789496168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3.2</v>
      </c>
      <c r="AI124" s="14">
        <f>IF('Données projet'!$A$62&gt;35,AI123+AH124-AQ123,IF(A124&lt;'Données projet'!$A$62,$AF$205^A124,IF(A124='Données projet'!$A$62,'Données projet'!$B$62,AI123+AH124-AQ123)))</f>
        <v>271.19999999999948</v>
      </c>
      <c r="AJ124" s="14">
        <f>AI124*VLOOKUP('Données projet'!$B$10,Paramètres!$A$1:$I$89,3,0)*VLOOKUP('Données projet'!$B$10,Paramètres!$A$1:$I$89,5,0)</f>
        <v>274.9967999999995</v>
      </c>
      <c r="AK124" s="14">
        <f t="shared" si="89"/>
        <v>65.908581953881495</v>
      </c>
      <c r="AL124" s="22">
        <f t="shared" si="58"/>
        <v>593.74354023634271</v>
      </c>
      <c r="AM124" s="60">
        <f t="shared" si="59"/>
        <v>887.07687356967608</v>
      </c>
      <c r="AN124" s="60">
        <f ca="1">AVERAGE(OFFSET($AM$3,0,0,'Données projet'!$E$10+1,1))-AVERAGE(OFFSET($H$3,0,0,'Données projet'!$E$10+1,1))</f>
        <v>350.3652766444938</v>
      </c>
      <c r="AO124" s="60">
        <f t="shared" si="90"/>
        <v>197.04549436738586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6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3.2</v>
      </c>
      <c r="BD124" s="13">
        <f>IF('Données projet'!$A$88&gt;35,BD123+BC124-BL123,IF(A124&lt;'Données projet'!$A$88,$BA$205^A124,IF(A124='Données projet'!$A$88,'Données projet'!$B$88,BD123+BC124-BL123)))</f>
        <v>271.19999999999948</v>
      </c>
      <c r="BE124" s="14">
        <f>BD124*VLOOKUP('Données projet'!$B$11,Paramètres!$A$1:$I$89,3,0)*VLOOKUP('Données projet'!$B$11,Paramètres!$A$1:$I$89,5,0)</f>
        <v>262.30463999999949</v>
      </c>
      <c r="BF124" s="14">
        <f t="shared" si="91"/>
        <v>63.213381472055985</v>
      </c>
      <c r="BG124" s="22">
        <f t="shared" si="61"/>
        <v>566.94388739716328</v>
      </c>
      <c r="BH124" s="60">
        <f t="shared" si="62"/>
        <v>860.27722073049654</v>
      </c>
      <c r="BI124" s="60">
        <f ca="1">AVERAGE(OFFSET($BH$3,0,0,'Données projet'!$E$11+1,1))-AVERAGE(OFFSET($H$3,0,0,'Données projet'!$E$11+1,1))</f>
        <v>330.39429528665841</v>
      </c>
      <c r="BJ124" s="60">
        <f t="shared" si="92"/>
        <v>186.45728006007261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1.7053025658242404E-13</v>
      </c>
      <c r="BZ124" s="14">
        <f>BY124*VLOOKUP('Données projet'!$B$12,Paramètres!$A$1:$I$89,3,0)*VLOOKUP('Données projet'!$B$12,Paramètres!$A$1:$I$89,5,0)</f>
        <v>1.1439169611549005E-13</v>
      </c>
      <c r="CA124" s="14">
        <f t="shared" si="93"/>
        <v>1.6918016515029816E-12</v>
      </c>
      <c r="CB124" s="22">
        <f t="shared" si="64"/>
        <v>3.1457867471021712E-12</v>
      </c>
      <c r="CC124" s="60">
        <f t="shared" si="65"/>
        <v>293.33333333333644</v>
      </c>
      <c r="CD124" s="60">
        <f ca="1">AVERAGE(OFFSET($CC$3,0,0,'Données projet'!$E$12+1,1))-AVERAGE(OFFSET($H$3,0,0,'Données projet'!$E$12+1,1))</f>
        <v>212.33913923444732</v>
      </c>
      <c r="CE124" s="60">
        <f t="shared" si="94"/>
        <v>183.51194426094372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-3.979039320256561E-13</v>
      </c>
      <c r="CU124" s="18">
        <f>CT124*VLOOKUP('Données projet'!$B$13,Paramètres!$A$1:$I$89,3,0)*VLOOKUP('Données projet'!$B$13,Paramètres!$A$1:$I$89,5,0)</f>
        <v>-3.4760887501761321E-13</v>
      </c>
      <c r="CV124" s="14" t="e">
        <f t="shared" si="95"/>
        <v>#NUM!</v>
      </c>
      <c r="CW124" s="22" t="e">
        <f t="shared" si="67"/>
        <v>#NUM!</v>
      </c>
      <c r="CX124" s="60" t="e">
        <f t="shared" si="68"/>
        <v>#NUM!</v>
      </c>
      <c r="CY124" s="60">
        <f ca="1">AVERAGE(OFFSET($CX$3,0,0,'Données projet'!$E$13+1,1))-AVERAGE(OFFSET($H$3,0,0,'Données projet'!$E$13+1,1))</f>
        <v>228.0393346366489</v>
      </c>
      <c r="CZ124" s="60">
        <f t="shared" si="96"/>
        <v>238.591781509447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3.2</v>
      </c>
      <c r="DO124" s="13">
        <f>IF('Données projet'!$A$166&gt;35,DO123+DN124-DW123,IF(A124&lt;'Données projet'!$A$166,$DL$205^A124,IF(A124='Données projet'!$A$166,'Données projet'!$B$166,DO123+DN124-DW123)))</f>
        <v>271.19999999999948</v>
      </c>
      <c r="DP124" s="18">
        <f>DO124*VLOOKUP('Données projet'!$B$14,Paramètres!$A$1:$I$89,3,0)*VLOOKUP('Données projet'!$B$14,Paramètres!$A$1:$I$89,5,0)</f>
        <v>245.3817599999995</v>
      </c>
      <c r="DQ124" s="14">
        <f t="shared" si="97"/>
        <v>59.595943661626663</v>
      </c>
      <c r="DR124" s="22">
        <f t="shared" si="70"/>
        <v>531.16950054399888</v>
      </c>
      <c r="DS124" s="60">
        <f t="shared" si="71"/>
        <v>824.50283387733225</v>
      </c>
      <c r="DT124" s="60">
        <f ca="1">AVERAGE(OFFSET($DS$3,0,0,'Données projet'!$E$14+1,1))-AVERAGE(OFFSET($H$3,0,0,'Données projet'!$E$14+1,1))</f>
        <v>303.73499739059076</v>
      </c>
      <c r="DU124" s="60">
        <f t="shared" si="98"/>
        <v>172.32171001882188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1.1368683772161603E-13</v>
      </c>
      <c r="EK124" s="18">
        <f>EJ124*VLOOKUP('Données projet'!$B$15,Paramètres!$A$1:$I$89,3,0)*VLOOKUP('Données projet'!$B$15,Paramètres!$A$1:$I$89,5,0)</f>
        <v>6.7984728957526396E-14</v>
      </c>
      <c r="EL124" s="14">
        <f t="shared" si="99"/>
        <v>1.0682447123141398E-12</v>
      </c>
      <c r="EM124" s="22">
        <f t="shared" si="73"/>
        <v>1.978932943548152E-12</v>
      </c>
      <c r="EN124" s="60">
        <f t="shared" si="74"/>
        <v>293.3333333333353</v>
      </c>
      <c r="EO124" s="60">
        <f ca="1">AVERAGE(OFFSET($EN$3,0,0,'Données projet'!$E$15+1,1))-AVERAGE(OFFSET($H$3,0,0,'Données projet'!$E$15+1,1))</f>
        <v>269.94948820700841</v>
      </c>
      <c r="EP124" s="60">
        <f t="shared" si="100"/>
        <v>183.45158355135192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1.0953002892517432</v>
      </c>
      <c r="EX124" s="23">
        <f>EXP(-LN(2)/2)*EX123+(1-EXP(-LN(2)/2))/(LN(2)/2)*ER124*EU124*VLOOKUP('Données projet'!$B$15,Paramètres!$A$1:$I$89,3,0)*0.475*44/12</f>
        <v>1.1330855719927366E-13</v>
      </c>
      <c r="EY124" s="24">
        <f t="shared" si="75"/>
        <v>1.0953002892518564</v>
      </c>
      <c r="EZ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>
        <f>FE124*VLOOKUP('Données projet'!$B$16,Paramètres!$A$1:$I$89,3,0)*VLOOKUP('Données projet'!$B$16,Paramètres!$A$1:$I$89,5,0)</f>
        <v>0</v>
      </c>
      <c r="FG124" s="14" t="e">
        <f t="shared" si="101"/>
        <v>#NUM!</v>
      </c>
      <c r="FH124" s="22" t="e">
        <f t="shared" si="76"/>
        <v>#NUM!</v>
      </c>
      <c r="FI124" s="60" t="e">
        <f t="shared" si="77"/>
        <v>#NUM!</v>
      </c>
      <c r="FJ124" s="60">
        <f ca="1">AVERAGE(OFFSET($FI$3,0,0,'Données projet'!$E$16+1,1))-AVERAGE(OFFSET($H$3,0,0,'Données projet'!$E$16+1,1))</f>
        <v>111.24788725253484</v>
      </c>
      <c r="FK124" s="60">
        <f t="shared" si="102"/>
        <v>82.434879813357327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projet'!$B$16,Paramètres!$A$1:$I$89,3,0)*0.475*44/12</f>
        <v>0</v>
      </c>
      <c r="FR124" s="23">
        <f>EXP(-LN(2)/25)*FR123+(1-EXP(-LN(2)/25))/(LN(2)/25)*Calculateur!FM124*Calculateur!FO124*VLOOKUP('Données projet'!$B$16,Paramètres!$A$1:$I$89,3,0)*0.475*44/12</f>
        <v>0</v>
      </c>
      <c r="FS124" s="23">
        <f>EXP(-LN(2)/2)*FS123+(1-EXP(-LN(2)/2))/(LN(2)/2)*FM124*FP124*VLOOKUP('Données projet'!$B$16,Paramètres!$A$1:$I$89,3,0)*0.475*44/12</f>
        <v>0</v>
      </c>
      <c r="FT124" s="24">
        <f t="shared" si="78"/>
        <v>0</v>
      </c>
      <c r="FU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1.0231815394945443E-12</v>
      </c>
      <c r="GA124" s="18">
        <f>FZ124*VLOOKUP('Données projet'!$B$17,Paramètres!$A$1:$I$89,3,0)*VLOOKUP('Données projet'!$B$17,Paramètres!$A$1:$I$89,5,0)</f>
        <v>4.5224624045658859E-13</v>
      </c>
      <c r="GB124" s="14">
        <f t="shared" si="103"/>
        <v>5.6995607121061449E-12</v>
      </c>
      <c r="GC124" s="22">
        <f t="shared" si="79"/>
        <v>1.0714397109046761E-11</v>
      </c>
      <c r="GD124" s="60">
        <f t="shared" si="80"/>
        <v>293.333333333344</v>
      </c>
      <c r="GE124" s="60">
        <f ca="1">AVERAGE(OFFSET($GD$3,0,0,'Données projet'!$E$17+1,1))-AVERAGE(OFFSET($H$3,0,0,'Données projet'!$E$17+1,1))</f>
        <v>323.56667371063662</v>
      </c>
      <c r="GF124" s="60">
        <f t="shared" si="104"/>
        <v>275.70373467723385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>
        <f>EXP(-LN(2)/35)*GL123+(1-EXP(-LN(2)/35))/(LN(2)/35)*GH124*GI124*VLOOKUP('Données projet'!$B$17,Paramètres!$A$1:$I$89,3,0)*0.475*44/12</f>
        <v>0</v>
      </c>
      <c r="GM124" s="23">
        <f>EXP(-LN(2)/25)*GM123+(1-EXP(-LN(2)/25))/(LN(2)/25)*Calculateur!GH124*Calculateur!GJ124*VLOOKUP('Données projet'!$B$17,Paramètres!$A$1:$I$89,3,0)*0.475*44/12</f>
        <v>0</v>
      </c>
      <c r="GN124" s="23">
        <f>EXP(-LN(2)/2)*GN123+(1-EXP(-LN(2)/2))/(LN(2)/2)*GH124*GK124*VLOOKUP('Données projet'!$B$17,Paramètres!$A$1:$I$89,3,0)*0.475*44/12</f>
        <v>0</v>
      </c>
      <c r="GO124" s="23">
        <f t="shared" si="81"/>
        <v>0</v>
      </c>
      <c r="GP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0" t="e">
        <f t="shared" si="83"/>
        <v>#N/A</v>
      </c>
      <c r="GZ124" s="60" t="e">
        <f ca="1">AVERAGE(OFFSET($GY$3,0,0,'Données projet'!$E$18+1,1))-AVERAGE(OFFSET($H$3,0,0,'Données projet'!$E$18+1,1))</f>
        <v>#N/A</v>
      </c>
      <c r="HA124" s="60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4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2">
        <f t="shared" si="86"/>
        <v>18.829683939536395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-1.1368683772161603E-13</v>
      </c>
      <c r="O125" s="14">
        <f>N125*VLOOKUP('Données projet'!$B$9,Paramètres!$A$1:$I$89,3,0)*VLOOKUP('Données projet'!$B$9,Paramètres!$A$1:$I$89,5,0)</f>
        <v>-6.7984728957526396E-14</v>
      </c>
      <c r="P125" s="14" t="e">
        <f t="shared" si="87"/>
        <v>#NUM!</v>
      </c>
      <c r="Q125" s="22" t="e">
        <f t="shared" si="107"/>
        <v>#NUM!</v>
      </c>
      <c r="R125" s="60" t="e">
        <f t="shared" si="55"/>
        <v>#NUM!</v>
      </c>
      <c r="S125" s="60">
        <f ca="1">AVERAGE(OFFSET($R$3,0,0,'Données projet'!$E$9+1,1))-AVERAGE(OFFSET($H$3,0,0,'Données projet'!$E$9+1,1))</f>
        <v>235.63766249714581</v>
      </c>
      <c r="T125" s="60">
        <f t="shared" si="88"/>
        <v>231.3297293785277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1.8553433522713154</v>
      </c>
      <c r="AA125" s="23">
        <f>EXP(-LN(2)/25)*AA124+(1-EXP(-LN(2)/25))/(LN(2)/25)*Calculateur!V125*Calculateur!X125*VLOOKUP('Données projet'!$B$9,Paramètres!$A$1:$I$89,3,0)*0.475*44/12</f>
        <v>1.34889546045152</v>
      </c>
      <c r="AB125" s="23">
        <f>EXP(-LN(2)/2)*AB124+(1-EXP(-LN(2)/2))/(LN(2)/2)*V125*Y125*VLOOKUP('Données projet'!$B$9,Paramètres!$A$1:$I$89,3,0)*0.475*44/12</f>
        <v>1.0107373957024961E-13</v>
      </c>
      <c r="AC125" s="24">
        <f t="shared" si="57"/>
        <v>3.2042388127229366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3.2</v>
      </c>
      <c r="AI125" s="14">
        <f>IF('Données projet'!$A$62&gt;35,AI124+AH125-AQ124,IF(A125&lt;'Données projet'!$A$62,$AF$205^A125,IF(A125='Données projet'!$A$62,'Données projet'!$B$62,AI124+AH125-AQ124)))</f>
        <v>274.39999999999947</v>
      </c>
      <c r="AJ125" s="14">
        <f>AI125*VLOOKUP('Données projet'!$B$10,Paramètres!$A$1:$I$89,3,0)*VLOOKUP('Données projet'!$B$10,Paramètres!$A$1:$I$89,5,0)</f>
        <v>278.24159999999949</v>
      </c>
      <c r="AK125" s="14">
        <f t="shared" si="89"/>
        <v>66.595272276139681</v>
      </c>
      <c r="AL125" s="22">
        <f t="shared" si="58"/>
        <v>600.59088588094244</v>
      </c>
      <c r="AM125" s="60">
        <f t="shared" si="59"/>
        <v>893.92421921427581</v>
      </c>
      <c r="AN125" s="60">
        <f ca="1">AVERAGE(OFFSET($AM$3,0,0,'Données projet'!$E$10+1,1))-AVERAGE(OFFSET($H$3,0,0,'Données projet'!$E$10+1,1))</f>
        <v>350.3652766444938</v>
      </c>
      <c r="AO125" s="60">
        <f t="shared" si="90"/>
        <v>197.04549436738586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6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3.2</v>
      </c>
      <c r="BD125" s="13">
        <f>IF('Données projet'!$A$88&gt;35,BD124+BC125-BL124,IF(A125&lt;'Données projet'!$A$88,$BA$205^A125,IF(A125='Données projet'!$A$88,'Données projet'!$B$88,BD124+BC125-BL124)))</f>
        <v>274.39999999999947</v>
      </c>
      <c r="BE125" s="14">
        <f>BD125*VLOOKUP('Données projet'!$B$11,Paramètres!$A$1:$I$89,3,0)*VLOOKUP('Données projet'!$B$11,Paramètres!$A$1:$I$89,5,0)</f>
        <v>265.39967999999948</v>
      </c>
      <c r="BF125" s="14">
        <f t="shared" si="91"/>
        <v>63.87199095821434</v>
      </c>
      <c r="BG125" s="22">
        <f t="shared" si="61"/>
        <v>573.48149358555565</v>
      </c>
      <c r="BH125" s="60">
        <f t="shared" si="62"/>
        <v>866.81482691888891</v>
      </c>
      <c r="BI125" s="60">
        <f ca="1">AVERAGE(OFFSET($BH$3,0,0,'Données projet'!$E$11+1,1))-AVERAGE(OFFSET($H$3,0,0,'Données projet'!$E$11+1,1))</f>
        <v>330.39429528665841</v>
      </c>
      <c r="BJ125" s="60">
        <f t="shared" si="92"/>
        <v>186.45728006007261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1.7053025658242404E-13</v>
      </c>
      <c r="BZ125" s="14">
        <f>BY125*VLOOKUP('Données projet'!$B$12,Paramètres!$A$1:$I$89,3,0)*VLOOKUP('Données projet'!$B$12,Paramètres!$A$1:$I$89,5,0)</f>
        <v>1.1439169611549005E-13</v>
      </c>
      <c r="CA125" s="14">
        <f t="shared" si="93"/>
        <v>1.6918016515029816E-12</v>
      </c>
      <c r="CB125" s="22">
        <f t="shared" si="64"/>
        <v>3.1457867471021712E-12</v>
      </c>
      <c r="CC125" s="60">
        <f t="shared" si="65"/>
        <v>293.33333333333644</v>
      </c>
      <c r="CD125" s="60">
        <f ca="1">AVERAGE(OFFSET($CC$3,0,0,'Données projet'!$E$12+1,1))-AVERAGE(OFFSET($H$3,0,0,'Données projet'!$E$12+1,1))</f>
        <v>212.33913923444732</v>
      </c>
      <c r="CE125" s="60">
        <f t="shared" si="94"/>
        <v>183.51194426094372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-3.979039320256561E-13</v>
      </c>
      <c r="CU125" s="18">
        <f>CT125*VLOOKUP('Données projet'!$B$13,Paramètres!$A$1:$I$89,3,0)*VLOOKUP('Données projet'!$B$13,Paramètres!$A$1:$I$89,5,0)</f>
        <v>-3.4760887501761321E-13</v>
      </c>
      <c r="CV125" s="14" t="e">
        <f t="shared" si="95"/>
        <v>#NUM!</v>
      </c>
      <c r="CW125" s="22" t="e">
        <f t="shared" si="67"/>
        <v>#NUM!</v>
      </c>
      <c r="CX125" s="60" t="e">
        <f t="shared" si="68"/>
        <v>#NUM!</v>
      </c>
      <c r="CY125" s="60">
        <f ca="1">AVERAGE(OFFSET($CX$3,0,0,'Données projet'!$E$13+1,1))-AVERAGE(OFFSET($H$3,0,0,'Données projet'!$E$13+1,1))</f>
        <v>228.0393346366489</v>
      </c>
      <c r="CZ125" s="60">
        <f t="shared" si="96"/>
        <v>238.591781509447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3.2</v>
      </c>
      <c r="DO125" s="13">
        <f>IF('Données projet'!$A$166&gt;35,DO124+DN125-DW124,IF(A125&lt;'Données projet'!$A$166,$DL$205^A125,IF(A125='Données projet'!$A$166,'Données projet'!$B$166,DO124+DN125-DW124)))</f>
        <v>274.39999999999947</v>
      </c>
      <c r="DP125" s="18">
        <f>DO125*VLOOKUP('Données projet'!$B$14,Paramètres!$A$1:$I$89,3,0)*VLOOKUP('Données projet'!$B$14,Paramètres!$A$1:$I$89,5,0)</f>
        <v>248.27711999999951</v>
      </c>
      <c r="DQ125" s="14">
        <f t="shared" si="97"/>
        <v>60.216863677580257</v>
      </c>
      <c r="DR125" s="22">
        <f t="shared" si="70"/>
        <v>537.29368823845141</v>
      </c>
      <c r="DS125" s="60">
        <f t="shared" si="71"/>
        <v>830.62702157178478</v>
      </c>
      <c r="DT125" s="60">
        <f ca="1">AVERAGE(OFFSET($DS$3,0,0,'Données projet'!$E$14+1,1))-AVERAGE(OFFSET($H$3,0,0,'Données projet'!$E$14+1,1))</f>
        <v>303.73499739059076</v>
      </c>
      <c r="DU125" s="60">
        <f t="shared" si="98"/>
        <v>172.32171001882188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1.1368683772161603E-13</v>
      </c>
      <c r="EK125" s="18">
        <f>EJ125*VLOOKUP('Données projet'!$B$15,Paramètres!$A$1:$I$89,3,0)*VLOOKUP('Données projet'!$B$15,Paramètres!$A$1:$I$89,5,0)</f>
        <v>6.7984728957526396E-14</v>
      </c>
      <c r="EL125" s="14">
        <f t="shared" si="99"/>
        <v>1.0682447123141398E-12</v>
      </c>
      <c r="EM125" s="22">
        <f t="shared" si="73"/>
        <v>1.978932943548152E-12</v>
      </c>
      <c r="EN125" s="60">
        <f t="shared" si="74"/>
        <v>293.3333333333353</v>
      </c>
      <c r="EO125" s="60">
        <f ca="1">AVERAGE(OFFSET($EN$3,0,0,'Données projet'!$E$15+1,1))-AVERAGE(OFFSET($H$3,0,0,'Données projet'!$E$15+1,1))</f>
        <v>269.94948820700841</v>
      </c>
      <c r="EP125" s="60">
        <f t="shared" si="100"/>
        <v>183.45158355135192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1.0653492452428153</v>
      </c>
      <c r="EX125" s="23">
        <f>EXP(-LN(2)/2)*EX124+(1-EXP(-LN(2)/2))/(LN(2)/2)*ER125*EU125*VLOOKUP('Données projet'!$B$15,Paramètres!$A$1:$I$89,3,0)*0.475*44/12</f>
        <v>8.012124916207021E-14</v>
      </c>
      <c r="EY125" s="24">
        <f t="shared" si="75"/>
        <v>1.0653492452428954</v>
      </c>
      <c r="EZ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>
        <f>FE125*VLOOKUP('Données projet'!$B$16,Paramètres!$A$1:$I$89,3,0)*VLOOKUP('Données projet'!$B$16,Paramètres!$A$1:$I$89,5,0)</f>
        <v>0</v>
      </c>
      <c r="FG125" s="14" t="e">
        <f t="shared" si="101"/>
        <v>#NUM!</v>
      </c>
      <c r="FH125" s="22" t="e">
        <f t="shared" si="76"/>
        <v>#NUM!</v>
      </c>
      <c r="FI125" s="60" t="e">
        <f t="shared" si="77"/>
        <v>#NUM!</v>
      </c>
      <c r="FJ125" s="60">
        <f ca="1">AVERAGE(OFFSET($FI$3,0,0,'Données projet'!$E$16+1,1))-AVERAGE(OFFSET($H$3,0,0,'Données projet'!$E$16+1,1))</f>
        <v>111.24788725253484</v>
      </c>
      <c r="FK125" s="60">
        <f t="shared" si="102"/>
        <v>82.434879813357327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projet'!$B$16,Paramètres!$A$1:$I$89,3,0)*0.475*44/12</f>
        <v>0</v>
      </c>
      <c r="FR125" s="23">
        <f>EXP(-LN(2)/25)*FR124+(1-EXP(-LN(2)/25))/(LN(2)/25)*Calculateur!FM125*Calculateur!FO125*VLOOKUP('Données projet'!$B$16,Paramètres!$A$1:$I$89,3,0)*0.475*44/12</f>
        <v>0</v>
      </c>
      <c r="FS125" s="23">
        <f>EXP(-LN(2)/2)*FS124+(1-EXP(-LN(2)/2))/(LN(2)/2)*FM125*FP125*VLOOKUP('Données projet'!$B$16,Paramètres!$A$1:$I$89,3,0)*0.475*44/12</f>
        <v>0</v>
      </c>
      <c r="FT125" s="24">
        <f t="shared" si="78"/>
        <v>0</v>
      </c>
      <c r="FU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1.0231815394945443E-12</v>
      </c>
      <c r="GA125" s="18">
        <f>FZ125*VLOOKUP('Données projet'!$B$17,Paramètres!$A$1:$I$89,3,0)*VLOOKUP('Données projet'!$B$17,Paramètres!$A$1:$I$89,5,0)</f>
        <v>4.5224624045658859E-13</v>
      </c>
      <c r="GB125" s="14">
        <f t="shared" si="103"/>
        <v>5.6995607121061449E-12</v>
      </c>
      <c r="GC125" s="22">
        <f t="shared" si="79"/>
        <v>1.0714397109046761E-11</v>
      </c>
      <c r="GD125" s="60">
        <f t="shared" si="80"/>
        <v>293.333333333344</v>
      </c>
      <c r="GE125" s="60">
        <f ca="1">AVERAGE(OFFSET($GD$3,0,0,'Données projet'!$E$17+1,1))-AVERAGE(OFFSET($H$3,0,0,'Données projet'!$E$17+1,1))</f>
        <v>323.56667371063662</v>
      </c>
      <c r="GF125" s="60">
        <f t="shared" si="104"/>
        <v>275.70373467723385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>
        <f>EXP(-LN(2)/35)*GL124+(1-EXP(-LN(2)/35))/(LN(2)/35)*GH125*GI125*VLOOKUP('Données projet'!$B$17,Paramètres!$A$1:$I$89,3,0)*0.475*44/12</f>
        <v>0</v>
      </c>
      <c r="GM125" s="23">
        <f>EXP(-LN(2)/25)*GM124+(1-EXP(-LN(2)/25))/(LN(2)/25)*Calculateur!GH125*Calculateur!GJ125*VLOOKUP('Données projet'!$B$17,Paramètres!$A$1:$I$89,3,0)*0.475*44/12</f>
        <v>0</v>
      </c>
      <c r="GN125" s="23">
        <f>EXP(-LN(2)/2)*GN124+(1-EXP(-LN(2)/2))/(LN(2)/2)*GH125*GK125*VLOOKUP('Données projet'!$B$17,Paramètres!$A$1:$I$89,3,0)*0.475*44/12</f>
        <v>0</v>
      </c>
      <c r="GO125" s="23">
        <f t="shared" si="81"/>
        <v>0</v>
      </c>
      <c r="GP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0" t="e">
        <f t="shared" si="83"/>
        <v>#N/A</v>
      </c>
      <c r="GZ125" s="60" t="e">
        <f ca="1">AVERAGE(OFFSET($GY$3,0,0,'Données projet'!$E$18+1,1))-AVERAGE(OFFSET($H$3,0,0,'Données projet'!$E$18+1,1))</f>
        <v>#N/A</v>
      </c>
      <c r="HA125" s="60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4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2">
        <f t="shared" si="86"/>
        <v>18.965995379979955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-1.1368683772161603E-13</v>
      </c>
      <c r="O126" s="14">
        <f>N126*VLOOKUP('Données projet'!$B$9,Paramètres!$A$1:$I$89,3,0)*VLOOKUP('Données projet'!$B$9,Paramètres!$A$1:$I$89,5,0)</f>
        <v>-6.7984728957526396E-14</v>
      </c>
      <c r="P126" s="14" t="e">
        <f t="shared" si="87"/>
        <v>#NUM!</v>
      </c>
      <c r="Q126" s="22" t="e">
        <f t="shared" si="107"/>
        <v>#NUM!</v>
      </c>
      <c r="R126" s="60" t="e">
        <f t="shared" si="55"/>
        <v>#NUM!</v>
      </c>
      <c r="S126" s="60">
        <f ca="1">AVERAGE(OFFSET($R$3,0,0,'Données projet'!$E$9+1,1))-AVERAGE(OFFSET($H$3,0,0,'Données projet'!$E$9+1,1))</f>
        <v>235.63766249714581</v>
      </c>
      <c r="T126" s="60">
        <f t="shared" si="88"/>
        <v>231.3297293785277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1.8189612007809788</v>
      </c>
      <c r="AA126" s="23">
        <f>EXP(-LN(2)/25)*AA125+(1-EXP(-LN(2)/25))/(LN(2)/25)*Calculateur!V126*Calculateur!X126*VLOOKUP('Données projet'!$B$9,Paramètres!$A$1:$I$89,3,0)*0.475*44/12</f>
        <v>1.3120098431501439</v>
      </c>
      <c r="AB126" s="23">
        <f>EXP(-LN(2)/2)*AB125+(1-EXP(-LN(2)/2))/(LN(2)/2)*V126*Y126*VLOOKUP('Données projet'!$B$9,Paramètres!$A$1:$I$89,3,0)*0.475*44/12</f>
        <v>7.1469926650006579E-14</v>
      </c>
      <c r="AC126" s="24">
        <f t="shared" si="57"/>
        <v>3.130971043931194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3.2</v>
      </c>
      <c r="AI126" s="14">
        <f>IF('Données projet'!$A$62&gt;35,AI125+AH126-AQ125,IF(A126&lt;'Données projet'!$A$62,$AF$205^A126,IF(A126='Données projet'!$A$62,'Données projet'!$B$62,AI125+AH126-AQ125)))</f>
        <v>277.59999999999945</v>
      </c>
      <c r="AJ126" s="14">
        <f>AI126*VLOOKUP('Données projet'!$B$10,Paramètres!$A$1:$I$89,3,0)*VLOOKUP('Données projet'!$B$10,Paramètres!$A$1:$I$89,5,0)</f>
        <v>281.48639999999949</v>
      </c>
      <c r="AK126" s="14">
        <f t="shared" si="89"/>
        <v>67.281031071373235</v>
      </c>
      <c r="AL126" s="22">
        <f t="shared" si="58"/>
        <v>607.43660911597419</v>
      </c>
      <c r="AM126" s="60">
        <f t="shared" si="59"/>
        <v>900.76994244930756</v>
      </c>
      <c r="AN126" s="60">
        <f ca="1">AVERAGE(OFFSET($AM$3,0,0,'Données projet'!$E$10+1,1))-AVERAGE(OFFSET($H$3,0,0,'Données projet'!$E$10+1,1))</f>
        <v>350.3652766444938</v>
      </c>
      <c r="AO126" s="60">
        <f t="shared" si="90"/>
        <v>197.04549436738586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6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3.2</v>
      </c>
      <c r="BD126" s="13">
        <f>IF('Données projet'!$A$88&gt;35,BD125+BC126-BL125,IF(A126&lt;'Données projet'!$A$88,$BA$205^A126,IF(A126='Données projet'!$A$88,'Données projet'!$B$88,BD125+BC126-BL125)))</f>
        <v>277.59999999999945</v>
      </c>
      <c r="BE126" s="14">
        <f>BD126*VLOOKUP('Données projet'!$B$11,Paramètres!$A$1:$I$89,3,0)*VLOOKUP('Données projet'!$B$11,Paramètres!$A$1:$I$89,5,0)</f>
        <v>268.49471999999946</v>
      </c>
      <c r="BF126" s="14">
        <f t="shared" si="91"/>
        <v>64.529707010294615</v>
      </c>
      <c r="BG126" s="22">
        <f t="shared" si="61"/>
        <v>580.01754370959543</v>
      </c>
      <c r="BH126" s="60">
        <f t="shared" si="62"/>
        <v>873.35087704292869</v>
      </c>
      <c r="BI126" s="60">
        <f ca="1">AVERAGE(OFFSET($BH$3,0,0,'Données projet'!$E$11+1,1))-AVERAGE(OFFSET($H$3,0,0,'Données projet'!$E$11+1,1))</f>
        <v>330.39429528665841</v>
      </c>
      <c r="BJ126" s="60">
        <f t="shared" si="92"/>
        <v>186.45728006007261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1.7053025658242404E-13</v>
      </c>
      <c r="BZ126" s="14">
        <f>BY126*VLOOKUP('Données projet'!$B$12,Paramètres!$A$1:$I$89,3,0)*VLOOKUP('Données projet'!$B$12,Paramètres!$A$1:$I$89,5,0)</f>
        <v>1.1439169611549005E-13</v>
      </c>
      <c r="CA126" s="14">
        <f t="shared" si="93"/>
        <v>1.6918016515029816E-12</v>
      </c>
      <c r="CB126" s="22">
        <f t="shared" si="64"/>
        <v>3.1457867471021712E-12</v>
      </c>
      <c r="CC126" s="60">
        <f t="shared" si="65"/>
        <v>293.33333333333644</v>
      </c>
      <c r="CD126" s="60">
        <f ca="1">AVERAGE(OFFSET($CC$3,0,0,'Données projet'!$E$12+1,1))-AVERAGE(OFFSET($H$3,0,0,'Données projet'!$E$12+1,1))</f>
        <v>212.33913923444732</v>
      </c>
      <c r="CE126" s="60">
        <f t="shared" si="94"/>
        <v>183.51194426094372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-3.979039320256561E-13</v>
      </c>
      <c r="CU126" s="18">
        <f>CT126*VLOOKUP('Données projet'!$B$13,Paramètres!$A$1:$I$89,3,0)*VLOOKUP('Données projet'!$B$13,Paramètres!$A$1:$I$89,5,0)</f>
        <v>-3.4760887501761321E-13</v>
      </c>
      <c r="CV126" s="14" t="e">
        <f t="shared" si="95"/>
        <v>#NUM!</v>
      </c>
      <c r="CW126" s="22" t="e">
        <f t="shared" si="67"/>
        <v>#NUM!</v>
      </c>
      <c r="CX126" s="60" t="e">
        <f t="shared" si="68"/>
        <v>#NUM!</v>
      </c>
      <c r="CY126" s="60">
        <f ca="1">AVERAGE(OFFSET($CX$3,0,0,'Données projet'!$E$13+1,1))-AVERAGE(OFFSET($H$3,0,0,'Données projet'!$E$13+1,1))</f>
        <v>228.0393346366489</v>
      </c>
      <c r="CZ126" s="60">
        <f t="shared" si="96"/>
        <v>238.591781509447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3.2</v>
      </c>
      <c r="DO126" s="13">
        <f>IF('Données projet'!$A$166&gt;35,DO125+DN126-DW125,IF(A126&lt;'Données projet'!$A$166,$DL$205^A126,IF(A126='Données projet'!$A$166,'Données projet'!$B$166,DO125+DN126-DW125)))</f>
        <v>277.59999999999945</v>
      </c>
      <c r="DP126" s="18">
        <f>DO126*VLOOKUP('Données projet'!$B$14,Paramètres!$A$1:$I$89,3,0)*VLOOKUP('Données projet'!$B$14,Paramètres!$A$1:$I$89,5,0)</f>
        <v>251.1724799999995</v>
      </c>
      <c r="DQ126" s="14">
        <f t="shared" si="97"/>
        <v>60.836941386956575</v>
      </c>
      <c r="DR126" s="22">
        <f t="shared" si="70"/>
        <v>543.41640891561519</v>
      </c>
      <c r="DS126" s="60">
        <f t="shared" si="71"/>
        <v>836.74974224894845</v>
      </c>
      <c r="DT126" s="60">
        <f ca="1">AVERAGE(OFFSET($DS$3,0,0,'Données projet'!$E$14+1,1))-AVERAGE(OFFSET($H$3,0,0,'Données projet'!$E$14+1,1))</f>
        <v>303.73499739059076</v>
      </c>
      <c r="DU126" s="60">
        <f t="shared" si="98"/>
        <v>172.32171001882188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1.1368683772161603E-13</v>
      </c>
      <c r="EK126" s="18">
        <f>EJ126*VLOOKUP('Données projet'!$B$15,Paramètres!$A$1:$I$89,3,0)*VLOOKUP('Données projet'!$B$15,Paramètres!$A$1:$I$89,5,0)</f>
        <v>6.7984728957526396E-14</v>
      </c>
      <c r="EL126" s="14">
        <f t="shared" si="99"/>
        <v>1.0682447123141398E-12</v>
      </c>
      <c r="EM126" s="22">
        <f t="shared" si="73"/>
        <v>1.978932943548152E-12</v>
      </c>
      <c r="EN126" s="60">
        <f t="shared" si="74"/>
        <v>293.3333333333353</v>
      </c>
      <c r="EO126" s="60">
        <f ca="1">AVERAGE(OFFSET($EN$3,0,0,'Données projet'!$E$15+1,1))-AVERAGE(OFFSET($H$3,0,0,'Données projet'!$E$15+1,1))</f>
        <v>269.94948820700841</v>
      </c>
      <c r="EP126" s="60">
        <f t="shared" si="100"/>
        <v>183.45158355135192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1.0362172141073687</v>
      </c>
      <c r="EX126" s="23">
        <f>EXP(-LN(2)/2)*EX125+(1-EXP(-LN(2)/2))/(LN(2)/2)*ER126*EU126*VLOOKUP('Données projet'!$B$15,Paramètres!$A$1:$I$89,3,0)*0.475*44/12</f>
        <v>5.6654278599636837E-14</v>
      </c>
      <c r="EY126" s="24">
        <f t="shared" si="75"/>
        <v>1.0362172141074253</v>
      </c>
      <c r="EZ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>
        <f>FE126*VLOOKUP('Données projet'!$B$16,Paramètres!$A$1:$I$89,3,0)*VLOOKUP('Données projet'!$B$16,Paramètres!$A$1:$I$89,5,0)</f>
        <v>0</v>
      </c>
      <c r="FG126" s="14" t="e">
        <f t="shared" si="101"/>
        <v>#NUM!</v>
      </c>
      <c r="FH126" s="22" t="e">
        <f t="shared" si="76"/>
        <v>#NUM!</v>
      </c>
      <c r="FI126" s="60" t="e">
        <f t="shared" si="77"/>
        <v>#NUM!</v>
      </c>
      <c r="FJ126" s="60">
        <f ca="1">AVERAGE(OFFSET($FI$3,0,0,'Données projet'!$E$16+1,1))-AVERAGE(OFFSET($H$3,0,0,'Données projet'!$E$16+1,1))</f>
        <v>111.24788725253484</v>
      </c>
      <c r="FK126" s="60">
        <f t="shared" si="102"/>
        <v>82.434879813357327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projet'!$B$16,Paramètres!$A$1:$I$89,3,0)*0.475*44/12</f>
        <v>0</v>
      </c>
      <c r="FR126" s="23">
        <f>EXP(-LN(2)/25)*FR125+(1-EXP(-LN(2)/25))/(LN(2)/25)*Calculateur!FM126*Calculateur!FO126*VLOOKUP('Données projet'!$B$16,Paramètres!$A$1:$I$89,3,0)*0.475*44/12</f>
        <v>0</v>
      </c>
      <c r="FS126" s="23">
        <f>EXP(-LN(2)/2)*FS125+(1-EXP(-LN(2)/2))/(LN(2)/2)*FM126*FP126*VLOOKUP('Données projet'!$B$16,Paramètres!$A$1:$I$89,3,0)*0.475*44/12</f>
        <v>0</v>
      </c>
      <c r="FT126" s="24">
        <f t="shared" si="78"/>
        <v>0</v>
      </c>
      <c r="FU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1.0231815394945443E-12</v>
      </c>
      <c r="GA126" s="18">
        <f>FZ126*VLOOKUP('Données projet'!$B$17,Paramètres!$A$1:$I$89,3,0)*VLOOKUP('Données projet'!$B$17,Paramètres!$A$1:$I$89,5,0)</f>
        <v>4.5224624045658859E-13</v>
      </c>
      <c r="GB126" s="14">
        <f t="shared" si="103"/>
        <v>5.6995607121061449E-12</v>
      </c>
      <c r="GC126" s="22">
        <f t="shared" si="79"/>
        <v>1.0714397109046761E-11</v>
      </c>
      <c r="GD126" s="60">
        <f t="shared" si="80"/>
        <v>293.333333333344</v>
      </c>
      <c r="GE126" s="60">
        <f ca="1">AVERAGE(OFFSET($GD$3,0,0,'Données projet'!$E$17+1,1))-AVERAGE(OFFSET($H$3,0,0,'Données projet'!$E$17+1,1))</f>
        <v>323.56667371063662</v>
      </c>
      <c r="GF126" s="60">
        <f t="shared" si="104"/>
        <v>275.70373467723385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>
        <f>EXP(-LN(2)/35)*GL125+(1-EXP(-LN(2)/35))/(LN(2)/35)*GH126*GI126*VLOOKUP('Données projet'!$B$17,Paramètres!$A$1:$I$89,3,0)*0.475*44/12</f>
        <v>0</v>
      </c>
      <c r="GM126" s="23">
        <f>EXP(-LN(2)/25)*GM125+(1-EXP(-LN(2)/25))/(LN(2)/25)*Calculateur!GH126*Calculateur!GJ126*VLOOKUP('Données projet'!$B$17,Paramètres!$A$1:$I$89,3,0)*0.475*44/12</f>
        <v>0</v>
      </c>
      <c r="GN126" s="23">
        <f>EXP(-LN(2)/2)*GN125+(1-EXP(-LN(2)/2))/(LN(2)/2)*GH126*GK126*VLOOKUP('Données projet'!$B$17,Paramètres!$A$1:$I$89,3,0)*0.475*44/12</f>
        <v>0</v>
      </c>
      <c r="GO126" s="23">
        <f t="shared" si="81"/>
        <v>0</v>
      </c>
      <c r="GP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0" t="e">
        <f t="shared" si="83"/>
        <v>#N/A</v>
      </c>
      <c r="GZ126" s="60" t="e">
        <f ca="1">AVERAGE(OFFSET($GY$3,0,0,'Données projet'!$E$18+1,1))-AVERAGE(OFFSET($H$3,0,0,'Données projet'!$E$18+1,1))</f>
        <v>#N/A</v>
      </c>
      <c r="HA126" s="60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4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2">
        <f t="shared" si="86"/>
        <v>19.102177882771514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-1.1368683772161603E-13</v>
      </c>
      <c r="O127" s="14">
        <f>N127*VLOOKUP('Données projet'!$B$9,Paramètres!$A$1:$I$89,3,0)*VLOOKUP('Données projet'!$B$9,Paramètres!$A$1:$I$89,5,0)</f>
        <v>-6.7984728957526396E-14</v>
      </c>
      <c r="P127" s="14" t="e">
        <f t="shared" si="87"/>
        <v>#NUM!</v>
      </c>
      <c r="Q127" s="22" t="e">
        <f t="shared" si="107"/>
        <v>#NUM!</v>
      </c>
      <c r="R127" s="60" t="e">
        <f t="shared" si="55"/>
        <v>#NUM!</v>
      </c>
      <c r="S127" s="60">
        <f ca="1">AVERAGE(OFFSET($R$3,0,0,'Données projet'!$E$9+1,1))-AVERAGE(OFFSET($H$3,0,0,'Données projet'!$E$9+1,1))</f>
        <v>235.63766249714581</v>
      </c>
      <c r="T127" s="60">
        <f t="shared" si="88"/>
        <v>231.3297293785277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1.7832924810904465</v>
      </c>
      <c r="AA127" s="23">
        <f>EXP(-LN(2)/25)*AA126+(1-EXP(-LN(2)/25))/(LN(2)/25)*Calculateur!V127*Calculateur!X127*VLOOKUP('Données projet'!$B$9,Paramètres!$A$1:$I$89,3,0)*0.475*44/12</f>
        <v>1.2761328649936041</v>
      </c>
      <c r="AB127" s="23">
        <f>EXP(-LN(2)/2)*AB126+(1-EXP(-LN(2)/2))/(LN(2)/2)*V127*Y127*VLOOKUP('Données projet'!$B$9,Paramètres!$A$1:$I$89,3,0)*0.475*44/12</f>
        <v>5.0536869785124804E-14</v>
      </c>
      <c r="AC127" s="24">
        <f t="shared" si="57"/>
        <v>3.059425346084101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3.2</v>
      </c>
      <c r="AI127" s="14">
        <f>IF('Données projet'!$A$62&gt;35,AI126+AH127-AQ126,IF(A127&lt;'Données projet'!$A$62,$AF$205^A127,IF(A127='Données projet'!$A$62,'Données projet'!$B$62,AI126+AH127-AQ126)))</f>
        <v>280.79999999999944</v>
      </c>
      <c r="AJ127" s="14">
        <f>AI127*VLOOKUP('Données projet'!$B$10,Paramètres!$A$1:$I$89,3,0)*VLOOKUP('Données projet'!$B$10,Paramètres!$A$1:$I$89,5,0)</f>
        <v>284.73119999999943</v>
      </c>
      <c r="AK127" s="14">
        <f t="shared" si="89"/>
        <v>67.965870320050826</v>
      </c>
      <c r="AL127" s="22">
        <f t="shared" si="58"/>
        <v>614.28073080742081</v>
      </c>
      <c r="AM127" s="60">
        <f t="shared" si="59"/>
        <v>907.61406414075418</v>
      </c>
      <c r="AN127" s="60">
        <f ca="1">AVERAGE(OFFSET($AM$3,0,0,'Données projet'!$E$10+1,1))-AVERAGE(OFFSET($H$3,0,0,'Données projet'!$E$10+1,1))</f>
        <v>350.3652766444938</v>
      </c>
      <c r="AO127" s="60">
        <f t="shared" si="90"/>
        <v>197.04549436738586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6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3.2</v>
      </c>
      <c r="BD127" s="13">
        <f>IF('Données projet'!$A$88&gt;35,BD126+BC127-BL126,IF(A127&lt;'Données projet'!$A$88,$BA$205^A127,IF(A127='Données projet'!$A$88,'Données projet'!$B$88,BD126+BC127-BL126)))</f>
        <v>280.79999999999944</v>
      </c>
      <c r="BE127" s="14">
        <f>BD127*VLOOKUP('Données projet'!$B$11,Paramètres!$A$1:$I$89,3,0)*VLOOKUP('Données projet'!$B$11,Paramètres!$A$1:$I$89,5,0)</f>
        <v>271.5897599999995</v>
      </c>
      <c r="BF127" s="14">
        <f t="shared" si="91"/>
        <v>65.186541118848012</v>
      </c>
      <c r="BG127" s="22">
        <f t="shared" si="61"/>
        <v>586.55205778199274</v>
      </c>
      <c r="BH127" s="60">
        <f t="shared" si="62"/>
        <v>879.885391115326</v>
      </c>
      <c r="BI127" s="60">
        <f ca="1">AVERAGE(OFFSET($BH$3,0,0,'Données projet'!$E$11+1,1))-AVERAGE(OFFSET($H$3,0,0,'Données projet'!$E$11+1,1))</f>
        <v>330.39429528665841</v>
      </c>
      <c r="BJ127" s="60">
        <f t="shared" si="92"/>
        <v>186.45728006007261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1.7053025658242404E-13</v>
      </c>
      <c r="BZ127" s="14">
        <f>BY127*VLOOKUP('Données projet'!$B$12,Paramètres!$A$1:$I$89,3,0)*VLOOKUP('Données projet'!$B$12,Paramètres!$A$1:$I$89,5,0)</f>
        <v>1.1439169611549005E-13</v>
      </c>
      <c r="CA127" s="14">
        <f t="shared" si="93"/>
        <v>1.6918016515029816E-12</v>
      </c>
      <c r="CB127" s="22">
        <f t="shared" si="64"/>
        <v>3.1457867471021712E-12</v>
      </c>
      <c r="CC127" s="60">
        <f t="shared" si="65"/>
        <v>293.33333333333644</v>
      </c>
      <c r="CD127" s="60">
        <f ca="1">AVERAGE(OFFSET($CC$3,0,0,'Données projet'!$E$12+1,1))-AVERAGE(OFFSET($H$3,0,0,'Données projet'!$E$12+1,1))</f>
        <v>212.33913923444732</v>
      </c>
      <c r="CE127" s="60">
        <f t="shared" si="94"/>
        <v>183.51194426094372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-3.979039320256561E-13</v>
      </c>
      <c r="CU127" s="18">
        <f>CT127*VLOOKUP('Données projet'!$B$13,Paramètres!$A$1:$I$89,3,0)*VLOOKUP('Données projet'!$B$13,Paramètres!$A$1:$I$89,5,0)</f>
        <v>-3.4760887501761321E-13</v>
      </c>
      <c r="CV127" s="14" t="e">
        <f t="shared" si="95"/>
        <v>#NUM!</v>
      </c>
      <c r="CW127" s="22" t="e">
        <f t="shared" si="67"/>
        <v>#NUM!</v>
      </c>
      <c r="CX127" s="60" t="e">
        <f t="shared" si="68"/>
        <v>#NUM!</v>
      </c>
      <c r="CY127" s="60">
        <f ca="1">AVERAGE(OFFSET($CX$3,0,0,'Données projet'!$E$13+1,1))-AVERAGE(OFFSET($H$3,0,0,'Données projet'!$E$13+1,1))</f>
        <v>228.0393346366489</v>
      </c>
      <c r="CZ127" s="60">
        <f t="shared" si="96"/>
        <v>238.591781509447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3.2</v>
      </c>
      <c r="DO127" s="13">
        <f>IF('Données projet'!$A$166&gt;35,DO126+DN127-DW126,IF(A127&lt;'Données projet'!$A$166,$DL$205^A127,IF(A127='Données projet'!$A$166,'Données projet'!$B$166,DO126+DN127-DW126)))</f>
        <v>280.79999999999944</v>
      </c>
      <c r="DP127" s="18">
        <f>DO127*VLOOKUP('Données projet'!$B$14,Paramètres!$A$1:$I$89,3,0)*VLOOKUP('Données projet'!$B$14,Paramètres!$A$1:$I$89,5,0)</f>
        <v>254.06783999999948</v>
      </c>
      <c r="DQ127" s="14">
        <f t="shared" si="97"/>
        <v>61.456187622750612</v>
      </c>
      <c r="DR127" s="22">
        <f t="shared" si="70"/>
        <v>549.53768144295634</v>
      </c>
      <c r="DS127" s="60">
        <f t="shared" si="71"/>
        <v>842.87101477628971</v>
      </c>
      <c r="DT127" s="60">
        <f ca="1">AVERAGE(OFFSET($DS$3,0,0,'Données projet'!$E$14+1,1))-AVERAGE(OFFSET($H$3,0,0,'Données projet'!$E$14+1,1))</f>
        <v>303.73499739059076</v>
      </c>
      <c r="DU127" s="60">
        <f t="shared" si="98"/>
        <v>172.32171001882188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1.1368683772161603E-13</v>
      </c>
      <c r="EK127" s="18">
        <f>EJ127*VLOOKUP('Données projet'!$B$15,Paramètres!$A$1:$I$89,3,0)*VLOOKUP('Données projet'!$B$15,Paramètres!$A$1:$I$89,5,0)</f>
        <v>6.7984728957526396E-14</v>
      </c>
      <c r="EL127" s="14">
        <f t="shared" si="99"/>
        <v>1.0682447123141398E-12</v>
      </c>
      <c r="EM127" s="22">
        <f t="shared" si="73"/>
        <v>1.978932943548152E-12</v>
      </c>
      <c r="EN127" s="60">
        <f t="shared" si="74"/>
        <v>293.3333333333353</v>
      </c>
      <c r="EO127" s="60">
        <f ca="1">AVERAGE(OFFSET($EN$3,0,0,'Données projet'!$E$15+1,1))-AVERAGE(OFFSET($H$3,0,0,'Données projet'!$E$15+1,1))</f>
        <v>269.94948820700841</v>
      </c>
      <c r="EP127" s="60">
        <f t="shared" si="100"/>
        <v>183.45158355135192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1.0078817998953078</v>
      </c>
      <c r="EX127" s="23">
        <f>EXP(-LN(2)/2)*EX126+(1-EXP(-LN(2)/2))/(LN(2)/2)*ER127*EU127*VLOOKUP('Données projet'!$B$15,Paramètres!$A$1:$I$89,3,0)*0.475*44/12</f>
        <v>4.0060624581035111E-14</v>
      </c>
      <c r="EY127" s="24">
        <f t="shared" si="75"/>
        <v>1.0078817998953478</v>
      </c>
      <c r="EZ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>
        <f>FE127*VLOOKUP('Données projet'!$B$16,Paramètres!$A$1:$I$89,3,0)*VLOOKUP('Données projet'!$B$16,Paramètres!$A$1:$I$89,5,0)</f>
        <v>0</v>
      </c>
      <c r="FG127" s="14" t="e">
        <f t="shared" si="101"/>
        <v>#NUM!</v>
      </c>
      <c r="FH127" s="22" t="e">
        <f t="shared" si="76"/>
        <v>#NUM!</v>
      </c>
      <c r="FI127" s="60" t="e">
        <f t="shared" si="77"/>
        <v>#NUM!</v>
      </c>
      <c r="FJ127" s="60">
        <f ca="1">AVERAGE(OFFSET($FI$3,0,0,'Données projet'!$E$16+1,1))-AVERAGE(OFFSET($H$3,0,0,'Données projet'!$E$16+1,1))</f>
        <v>111.24788725253484</v>
      </c>
      <c r="FK127" s="60">
        <f t="shared" si="102"/>
        <v>82.434879813357327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projet'!$B$16,Paramètres!$A$1:$I$89,3,0)*0.475*44/12</f>
        <v>0</v>
      </c>
      <c r="FR127" s="23">
        <f>EXP(-LN(2)/25)*FR126+(1-EXP(-LN(2)/25))/(LN(2)/25)*Calculateur!FM127*Calculateur!FO127*VLOOKUP('Données projet'!$B$16,Paramètres!$A$1:$I$89,3,0)*0.475*44/12</f>
        <v>0</v>
      </c>
      <c r="FS127" s="23">
        <f>EXP(-LN(2)/2)*FS126+(1-EXP(-LN(2)/2))/(LN(2)/2)*FM127*FP127*VLOOKUP('Données projet'!$B$16,Paramètres!$A$1:$I$89,3,0)*0.475*44/12</f>
        <v>0</v>
      </c>
      <c r="FT127" s="24">
        <f t="shared" si="78"/>
        <v>0</v>
      </c>
      <c r="FU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1.0231815394945443E-12</v>
      </c>
      <c r="GA127" s="18">
        <f>FZ127*VLOOKUP('Données projet'!$B$17,Paramètres!$A$1:$I$89,3,0)*VLOOKUP('Données projet'!$B$17,Paramètres!$A$1:$I$89,5,0)</f>
        <v>4.5224624045658859E-13</v>
      </c>
      <c r="GB127" s="14">
        <f t="shared" si="103"/>
        <v>5.6995607121061449E-12</v>
      </c>
      <c r="GC127" s="22">
        <f t="shared" si="79"/>
        <v>1.0714397109046761E-11</v>
      </c>
      <c r="GD127" s="60">
        <f t="shared" si="80"/>
        <v>293.333333333344</v>
      </c>
      <c r="GE127" s="60">
        <f ca="1">AVERAGE(OFFSET($GD$3,0,0,'Données projet'!$E$17+1,1))-AVERAGE(OFFSET($H$3,0,0,'Données projet'!$E$17+1,1))</f>
        <v>323.56667371063662</v>
      </c>
      <c r="GF127" s="60">
        <f t="shared" si="104"/>
        <v>275.70373467723385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>
        <f>EXP(-LN(2)/35)*GL126+(1-EXP(-LN(2)/35))/(LN(2)/35)*GH127*GI127*VLOOKUP('Données projet'!$B$17,Paramètres!$A$1:$I$89,3,0)*0.475*44/12</f>
        <v>0</v>
      </c>
      <c r="GM127" s="23">
        <f>EXP(-LN(2)/25)*GM126+(1-EXP(-LN(2)/25))/(LN(2)/25)*Calculateur!GH127*Calculateur!GJ127*VLOOKUP('Données projet'!$B$17,Paramètres!$A$1:$I$89,3,0)*0.475*44/12</f>
        <v>0</v>
      </c>
      <c r="GN127" s="23">
        <f>EXP(-LN(2)/2)*GN126+(1-EXP(-LN(2)/2))/(LN(2)/2)*GH127*GK127*VLOOKUP('Données projet'!$B$17,Paramètres!$A$1:$I$89,3,0)*0.475*44/12</f>
        <v>0</v>
      </c>
      <c r="GO127" s="23">
        <f t="shared" si="81"/>
        <v>0</v>
      </c>
      <c r="GP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0" t="e">
        <f t="shared" si="83"/>
        <v>#N/A</v>
      </c>
      <c r="GZ127" s="60" t="e">
        <f ca="1">AVERAGE(OFFSET($GY$3,0,0,'Données projet'!$E$18+1,1))-AVERAGE(OFFSET($H$3,0,0,'Données projet'!$E$18+1,1))</f>
        <v>#N/A</v>
      </c>
      <c r="HA127" s="60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4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2">
        <f t="shared" si="86"/>
        <v>19.238232608246435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-1.1368683772161603E-13</v>
      </c>
      <c r="O128" s="14">
        <f>N128*VLOOKUP('Données projet'!$B$9,Paramètres!$A$1:$I$89,3,0)*VLOOKUP('Données projet'!$B$9,Paramètres!$A$1:$I$89,5,0)</f>
        <v>-6.7984728957526396E-14</v>
      </c>
      <c r="P128" s="14" t="e">
        <f t="shared" si="87"/>
        <v>#NUM!</v>
      </c>
      <c r="Q128" s="22" t="e">
        <f t="shared" si="107"/>
        <v>#NUM!</v>
      </c>
      <c r="R128" s="60" t="e">
        <f t="shared" si="55"/>
        <v>#NUM!</v>
      </c>
      <c r="S128" s="60">
        <f ca="1">AVERAGE(OFFSET($R$3,0,0,'Données projet'!$E$9+1,1))-AVERAGE(OFFSET($H$3,0,0,'Données projet'!$E$9+1,1))</f>
        <v>235.63766249714581</v>
      </c>
      <c r="T128" s="60">
        <f t="shared" si="88"/>
        <v>231.3297293785277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1.7483232032372746</v>
      </c>
      <c r="AA128" s="23">
        <f>EXP(-LN(2)/25)*AA127+(1-EXP(-LN(2)/25))/(LN(2)/25)*Calculateur!V128*Calculateur!X128*VLOOKUP('Données projet'!$B$9,Paramètres!$A$1:$I$89,3,0)*0.475*44/12</f>
        <v>1.2412369446914433</v>
      </c>
      <c r="AB128" s="23">
        <f>EXP(-LN(2)/2)*AB127+(1-EXP(-LN(2)/2))/(LN(2)/2)*V128*Y128*VLOOKUP('Données projet'!$B$9,Paramètres!$A$1:$I$89,3,0)*0.475*44/12</f>
        <v>3.5734963325003289E-14</v>
      </c>
      <c r="AC128" s="24">
        <f t="shared" si="57"/>
        <v>2.9895601479287537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3.2</v>
      </c>
      <c r="AI128" s="14">
        <f>IF('Données projet'!$A$62&gt;35,AI127+AH128-AQ127,IF(A128&lt;'Données projet'!$A$62,$AF$205^A128,IF(A128='Données projet'!$A$62,'Données projet'!$B$62,AI127+AH128-AQ127)))</f>
        <v>283.99999999999943</v>
      </c>
      <c r="AJ128" s="14">
        <f>AI128*VLOOKUP('Données projet'!$B$10,Paramètres!$A$1:$I$89,3,0)*VLOOKUP('Données projet'!$B$10,Paramètres!$A$1:$I$89,5,0)</f>
        <v>287.97599999999943</v>
      </c>
      <c r="AK128" s="14">
        <f t="shared" si="89"/>
        <v>68.649801713863027</v>
      </c>
      <c r="AL128" s="22">
        <f t="shared" si="58"/>
        <v>621.12327131831046</v>
      </c>
      <c r="AM128" s="60">
        <f t="shared" si="59"/>
        <v>914.45660465164383</v>
      </c>
      <c r="AN128" s="60">
        <f ca="1">AVERAGE(OFFSET($AM$3,0,0,'Données projet'!$E$10+1,1))-AVERAGE(OFFSET($H$3,0,0,'Données projet'!$E$10+1,1))</f>
        <v>350.3652766444938</v>
      </c>
      <c r="AO128" s="60">
        <f t="shared" si="90"/>
        <v>197.04549436738586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6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3.2</v>
      </c>
      <c r="BD128" s="13">
        <f>IF('Données projet'!$A$88&gt;35,BD127+BC128-BL127,IF(A128&lt;'Données projet'!$A$88,$BA$205^A128,IF(A128='Données projet'!$A$88,'Données projet'!$B$88,BD127+BC128-BL127)))</f>
        <v>283.99999999999943</v>
      </c>
      <c r="BE128" s="14">
        <f>BD128*VLOOKUP('Données projet'!$B$11,Paramètres!$A$1:$I$89,3,0)*VLOOKUP('Données projet'!$B$11,Paramètres!$A$1:$I$89,5,0)</f>
        <v>274.68479999999943</v>
      </c>
      <c r="BF128" s="14">
        <f t="shared" si="91"/>
        <v>65.842504497456545</v>
      </c>
      <c r="BG128" s="22">
        <f t="shared" si="61"/>
        <v>593.08505533306914</v>
      </c>
      <c r="BH128" s="60">
        <f t="shared" si="62"/>
        <v>886.41838866640251</v>
      </c>
      <c r="BI128" s="60">
        <f ca="1">AVERAGE(OFFSET($BH$3,0,0,'Données projet'!$E$11+1,1))-AVERAGE(OFFSET($H$3,0,0,'Données projet'!$E$11+1,1))</f>
        <v>330.39429528665841</v>
      </c>
      <c r="BJ128" s="60">
        <f t="shared" si="92"/>
        <v>186.45728006007261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1.7053025658242404E-13</v>
      </c>
      <c r="BZ128" s="14">
        <f>BY128*VLOOKUP('Données projet'!$B$12,Paramètres!$A$1:$I$89,3,0)*VLOOKUP('Données projet'!$B$12,Paramètres!$A$1:$I$89,5,0)</f>
        <v>1.1439169611549005E-13</v>
      </c>
      <c r="CA128" s="14">
        <f t="shared" si="93"/>
        <v>1.6918016515029816E-12</v>
      </c>
      <c r="CB128" s="22">
        <f t="shared" si="64"/>
        <v>3.1457867471021712E-12</v>
      </c>
      <c r="CC128" s="60">
        <f t="shared" si="65"/>
        <v>293.33333333333644</v>
      </c>
      <c r="CD128" s="60">
        <f ca="1">AVERAGE(OFFSET($CC$3,0,0,'Données projet'!$E$12+1,1))-AVERAGE(OFFSET($H$3,0,0,'Données projet'!$E$12+1,1))</f>
        <v>212.33913923444732</v>
      </c>
      <c r="CE128" s="60">
        <f t="shared" si="94"/>
        <v>183.51194426094372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-3.979039320256561E-13</v>
      </c>
      <c r="CU128" s="18">
        <f>CT128*VLOOKUP('Données projet'!$B$13,Paramètres!$A$1:$I$89,3,0)*VLOOKUP('Données projet'!$B$13,Paramètres!$A$1:$I$89,5,0)</f>
        <v>-3.4760887501761321E-13</v>
      </c>
      <c r="CV128" s="14" t="e">
        <f t="shared" si="95"/>
        <v>#NUM!</v>
      </c>
      <c r="CW128" s="22" t="e">
        <f t="shared" si="67"/>
        <v>#NUM!</v>
      </c>
      <c r="CX128" s="60" t="e">
        <f t="shared" si="68"/>
        <v>#NUM!</v>
      </c>
      <c r="CY128" s="60">
        <f ca="1">AVERAGE(OFFSET($CX$3,0,0,'Données projet'!$E$13+1,1))-AVERAGE(OFFSET($H$3,0,0,'Données projet'!$E$13+1,1))</f>
        <v>228.0393346366489</v>
      </c>
      <c r="CZ128" s="60">
        <f t="shared" si="96"/>
        <v>238.591781509447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3.2</v>
      </c>
      <c r="DO128" s="13">
        <f>IF('Données projet'!$A$166&gt;35,DO127+DN128-DW127,IF(A128&lt;'Données projet'!$A$166,$DL$205^A128,IF(A128='Données projet'!$A$166,'Données projet'!$B$166,DO127+DN128-DW127)))</f>
        <v>283.99999999999943</v>
      </c>
      <c r="DP128" s="18">
        <f>DO128*VLOOKUP('Données projet'!$B$14,Paramètres!$A$1:$I$89,3,0)*VLOOKUP('Données projet'!$B$14,Paramètres!$A$1:$I$89,5,0)</f>
        <v>256.96319999999946</v>
      </c>
      <c r="DQ128" s="14">
        <f t="shared" si="97"/>
        <v>62.07461295683791</v>
      </c>
      <c r="DR128" s="22">
        <f t="shared" si="70"/>
        <v>555.65752423315837</v>
      </c>
      <c r="DS128" s="60">
        <f t="shared" si="71"/>
        <v>848.99085756649174</v>
      </c>
      <c r="DT128" s="60">
        <f ca="1">AVERAGE(OFFSET($DS$3,0,0,'Données projet'!$E$14+1,1))-AVERAGE(OFFSET($H$3,0,0,'Données projet'!$E$14+1,1))</f>
        <v>303.73499739059076</v>
      </c>
      <c r="DU128" s="60">
        <f t="shared" si="98"/>
        <v>172.32171001882188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1.1368683772161603E-13</v>
      </c>
      <c r="EK128" s="18">
        <f>EJ128*VLOOKUP('Données projet'!$B$15,Paramètres!$A$1:$I$89,3,0)*VLOOKUP('Données projet'!$B$15,Paramètres!$A$1:$I$89,5,0)</f>
        <v>6.7984728957526396E-14</v>
      </c>
      <c r="EL128" s="14">
        <f t="shared" si="99"/>
        <v>1.0682447123141398E-12</v>
      </c>
      <c r="EM128" s="22">
        <f t="shared" si="73"/>
        <v>1.978932943548152E-12</v>
      </c>
      <c r="EN128" s="60">
        <f t="shared" si="74"/>
        <v>293.3333333333353</v>
      </c>
      <c r="EO128" s="60">
        <f ca="1">AVERAGE(OFFSET($EN$3,0,0,'Données projet'!$E$15+1,1))-AVERAGE(OFFSET($H$3,0,0,'Données projet'!$E$15+1,1))</f>
        <v>269.94948820700841</v>
      </c>
      <c r="EP128" s="60">
        <f t="shared" si="100"/>
        <v>183.45158355135192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0.98032121907497027</v>
      </c>
      <c r="EX128" s="23">
        <f>EXP(-LN(2)/2)*EX127+(1-EXP(-LN(2)/2))/(LN(2)/2)*ER128*EU128*VLOOKUP('Données projet'!$B$15,Paramètres!$A$1:$I$89,3,0)*0.475*44/12</f>
        <v>2.8327139299818425E-14</v>
      </c>
      <c r="EY128" s="24">
        <f t="shared" si="75"/>
        <v>0.98032121907499858</v>
      </c>
      <c r="EZ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>
        <f>FE128*VLOOKUP('Données projet'!$B$16,Paramètres!$A$1:$I$89,3,0)*VLOOKUP('Données projet'!$B$16,Paramètres!$A$1:$I$89,5,0)</f>
        <v>0</v>
      </c>
      <c r="FG128" s="14" t="e">
        <f t="shared" si="101"/>
        <v>#NUM!</v>
      </c>
      <c r="FH128" s="22" t="e">
        <f t="shared" si="76"/>
        <v>#NUM!</v>
      </c>
      <c r="FI128" s="60" t="e">
        <f t="shared" si="77"/>
        <v>#NUM!</v>
      </c>
      <c r="FJ128" s="60">
        <f ca="1">AVERAGE(OFFSET($FI$3,0,0,'Données projet'!$E$16+1,1))-AVERAGE(OFFSET($H$3,0,0,'Données projet'!$E$16+1,1))</f>
        <v>111.24788725253484</v>
      </c>
      <c r="FK128" s="60">
        <f t="shared" si="102"/>
        <v>82.434879813357327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projet'!$B$16,Paramètres!$A$1:$I$89,3,0)*0.475*44/12</f>
        <v>0</v>
      </c>
      <c r="FR128" s="23">
        <f>EXP(-LN(2)/25)*FR127+(1-EXP(-LN(2)/25))/(LN(2)/25)*Calculateur!FM128*Calculateur!FO128*VLOOKUP('Données projet'!$B$16,Paramètres!$A$1:$I$89,3,0)*0.475*44/12</f>
        <v>0</v>
      </c>
      <c r="FS128" s="23">
        <f>EXP(-LN(2)/2)*FS127+(1-EXP(-LN(2)/2))/(LN(2)/2)*FM128*FP128*VLOOKUP('Données projet'!$B$16,Paramètres!$A$1:$I$89,3,0)*0.475*44/12</f>
        <v>0</v>
      </c>
      <c r="FT128" s="24">
        <f t="shared" si="78"/>
        <v>0</v>
      </c>
      <c r="FU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1.0231815394945443E-12</v>
      </c>
      <c r="GA128" s="18">
        <f>FZ128*VLOOKUP('Données projet'!$B$17,Paramètres!$A$1:$I$89,3,0)*VLOOKUP('Données projet'!$B$17,Paramètres!$A$1:$I$89,5,0)</f>
        <v>4.5224624045658859E-13</v>
      </c>
      <c r="GB128" s="14">
        <f t="shared" si="103"/>
        <v>5.6995607121061449E-12</v>
      </c>
      <c r="GC128" s="22">
        <f t="shared" si="79"/>
        <v>1.0714397109046761E-11</v>
      </c>
      <c r="GD128" s="60">
        <f t="shared" si="80"/>
        <v>293.333333333344</v>
      </c>
      <c r="GE128" s="60">
        <f ca="1">AVERAGE(OFFSET($GD$3,0,0,'Données projet'!$E$17+1,1))-AVERAGE(OFFSET($H$3,0,0,'Données projet'!$E$17+1,1))</f>
        <v>323.56667371063662</v>
      </c>
      <c r="GF128" s="60">
        <f t="shared" si="104"/>
        <v>275.70373467723385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>
        <f>EXP(-LN(2)/35)*GL127+(1-EXP(-LN(2)/35))/(LN(2)/35)*GH128*GI128*VLOOKUP('Données projet'!$B$17,Paramètres!$A$1:$I$89,3,0)*0.475*44/12</f>
        <v>0</v>
      </c>
      <c r="GM128" s="23">
        <f>EXP(-LN(2)/25)*GM127+(1-EXP(-LN(2)/25))/(LN(2)/25)*Calculateur!GH128*Calculateur!GJ128*VLOOKUP('Données projet'!$B$17,Paramètres!$A$1:$I$89,3,0)*0.475*44/12</f>
        <v>0</v>
      </c>
      <c r="GN128" s="23">
        <f>EXP(-LN(2)/2)*GN127+(1-EXP(-LN(2)/2))/(LN(2)/2)*GH128*GK128*VLOOKUP('Données projet'!$B$17,Paramètres!$A$1:$I$89,3,0)*0.475*44/12</f>
        <v>0</v>
      </c>
      <c r="GO128" s="23">
        <f t="shared" si="81"/>
        <v>0</v>
      </c>
      <c r="GP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0" t="e">
        <f t="shared" si="83"/>
        <v>#N/A</v>
      </c>
      <c r="GZ128" s="60" t="e">
        <f ca="1">AVERAGE(OFFSET($GY$3,0,0,'Données projet'!$E$18+1,1))-AVERAGE(OFFSET($H$3,0,0,'Données projet'!$E$18+1,1))</f>
        <v>#N/A</v>
      </c>
      <c r="HA128" s="60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4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2">
        <f t="shared" si="86"/>
        <v>19.374160697102734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-1.1368683772161603E-13</v>
      </c>
      <c r="O129" s="14">
        <f>N129*VLOOKUP('Données projet'!$B$9,Paramètres!$A$1:$I$89,3,0)*VLOOKUP('Données projet'!$B$9,Paramètres!$A$1:$I$89,5,0)</f>
        <v>-6.7984728957526396E-14</v>
      </c>
      <c r="P129" s="14" t="e">
        <f t="shared" si="87"/>
        <v>#NUM!</v>
      </c>
      <c r="Q129" s="22" t="e">
        <f t="shared" si="107"/>
        <v>#NUM!</v>
      </c>
      <c r="R129" s="60" t="e">
        <f t="shared" si="55"/>
        <v>#NUM!</v>
      </c>
      <c r="S129" s="60">
        <f ca="1">AVERAGE(OFFSET($R$3,0,0,'Données projet'!$E$9+1,1))-AVERAGE(OFFSET($H$3,0,0,'Données projet'!$E$9+1,1))</f>
        <v>235.63766249714581</v>
      </c>
      <c r="T129" s="60">
        <f t="shared" si="88"/>
        <v>231.3297293785277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1.7140396515936502</v>
      </c>
      <c r="AA129" s="23">
        <f>EXP(-LN(2)/25)*AA128+(1-EXP(-LN(2)/25))/(LN(2)/25)*Calculateur!V129*Calculateur!X129*VLOOKUP('Données projet'!$B$9,Paramètres!$A$1:$I$89,3,0)*0.475*44/12</f>
        <v>1.2072952551650418</v>
      </c>
      <c r="AB129" s="23">
        <f>EXP(-LN(2)/2)*AB128+(1-EXP(-LN(2)/2))/(LN(2)/2)*V129*Y129*VLOOKUP('Données projet'!$B$9,Paramètres!$A$1:$I$89,3,0)*0.475*44/12</f>
        <v>2.5268434892562402E-14</v>
      </c>
      <c r="AC129" s="24">
        <f t="shared" si="57"/>
        <v>2.9213349067587173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3.2</v>
      </c>
      <c r="AI129" s="14">
        <f>IF('Données projet'!$A$62&gt;35,AI128+AH129-AQ128,IF(A129&lt;'Données projet'!$A$62,$AF$205^A129,IF(A129='Données projet'!$A$62,'Données projet'!$B$62,AI128+AH129-AQ128)))</f>
        <v>287.19999999999942</v>
      </c>
      <c r="AJ129" s="14">
        <f>AI129*VLOOKUP('Données projet'!$B$10,Paramètres!$A$1:$I$89,3,0)*VLOOKUP('Données projet'!$B$10,Paramètres!$A$1:$I$89,5,0)</f>
        <v>291.22079999999943</v>
      </c>
      <c r="AK129" s="14">
        <f t="shared" si="89"/>
        <v>69.33283666585649</v>
      </c>
      <c r="AL129" s="22">
        <f t="shared" si="58"/>
        <v>627.96425052636573</v>
      </c>
      <c r="AM129" s="60">
        <f t="shared" si="59"/>
        <v>921.29758385969899</v>
      </c>
      <c r="AN129" s="60">
        <f ca="1">AVERAGE(OFFSET($AM$3,0,0,'Données projet'!$E$10+1,1))-AVERAGE(OFFSET($H$3,0,0,'Données projet'!$E$10+1,1))</f>
        <v>350.3652766444938</v>
      </c>
      <c r="AO129" s="60">
        <f t="shared" si="90"/>
        <v>197.04549436738586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6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3.2</v>
      </c>
      <c r="BD129" s="13">
        <f>IF('Données projet'!$A$88&gt;35,BD128+BC129-BL128,IF(A129&lt;'Données projet'!$A$88,$BA$205^A129,IF(A129='Données projet'!$A$88,'Données projet'!$B$88,BD128+BC129-BL128)))</f>
        <v>287.19999999999942</v>
      </c>
      <c r="BE129" s="14">
        <f>BD129*VLOOKUP('Données projet'!$B$11,Paramètres!$A$1:$I$89,3,0)*VLOOKUP('Données projet'!$B$11,Paramètres!$A$1:$I$89,5,0)</f>
        <v>277.77983999999947</v>
      </c>
      <c r="BF129" s="14">
        <f t="shared" si="91"/>
        <v>66.497608092453063</v>
      </c>
      <c r="BG129" s="22">
        <f t="shared" si="61"/>
        <v>599.61655542768813</v>
      </c>
      <c r="BH129" s="60">
        <f t="shared" si="62"/>
        <v>892.94988876102138</v>
      </c>
      <c r="BI129" s="60">
        <f ca="1">AVERAGE(OFFSET($BH$3,0,0,'Données projet'!$E$11+1,1))-AVERAGE(OFFSET($H$3,0,0,'Données projet'!$E$11+1,1))</f>
        <v>330.39429528665841</v>
      </c>
      <c r="BJ129" s="60">
        <f t="shared" si="92"/>
        <v>186.45728006007261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1.7053025658242404E-13</v>
      </c>
      <c r="BZ129" s="14">
        <f>BY129*VLOOKUP('Données projet'!$B$12,Paramètres!$A$1:$I$89,3,0)*VLOOKUP('Données projet'!$B$12,Paramètres!$A$1:$I$89,5,0)</f>
        <v>1.1439169611549005E-13</v>
      </c>
      <c r="CA129" s="14">
        <f t="shared" si="93"/>
        <v>1.6918016515029816E-12</v>
      </c>
      <c r="CB129" s="22">
        <f t="shared" si="64"/>
        <v>3.1457867471021712E-12</v>
      </c>
      <c r="CC129" s="60">
        <f t="shared" si="65"/>
        <v>293.33333333333644</v>
      </c>
      <c r="CD129" s="60">
        <f ca="1">AVERAGE(OFFSET($CC$3,0,0,'Données projet'!$E$12+1,1))-AVERAGE(OFFSET($H$3,0,0,'Données projet'!$E$12+1,1))</f>
        <v>212.33913923444732</v>
      </c>
      <c r="CE129" s="60">
        <f t="shared" si="94"/>
        <v>183.51194426094372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-3.979039320256561E-13</v>
      </c>
      <c r="CU129" s="18">
        <f>CT129*VLOOKUP('Données projet'!$B$13,Paramètres!$A$1:$I$89,3,0)*VLOOKUP('Données projet'!$B$13,Paramètres!$A$1:$I$89,5,0)</f>
        <v>-3.4760887501761321E-13</v>
      </c>
      <c r="CV129" s="14" t="e">
        <f t="shared" si="95"/>
        <v>#NUM!</v>
      </c>
      <c r="CW129" s="22" t="e">
        <f t="shared" si="67"/>
        <v>#NUM!</v>
      </c>
      <c r="CX129" s="60" t="e">
        <f t="shared" si="68"/>
        <v>#NUM!</v>
      </c>
      <c r="CY129" s="60">
        <f ca="1">AVERAGE(OFFSET($CX$3,0,0,'Données projet'!$E$13+1,1))-AVERAGE(OFFSET($H$3,0,0,'Données projet'!$E$13+1,1))</f>
        <v>228.0393346366489</v>
      </c>
      <c r="CZ129" s="60">
        <f t="shared" si="96"/>
        <v>238.591781509447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3.2</v>
      </c>
      <c r="DO129" s="13">
        <f>IF('Données projet'!$A$166&gt;35,DO128+DN129-DW128,IF(A129&lt;'Données projet'!$A$166,$DL$205^A129,IF(A129='Données projet'!$A$166,'Données projet'!$B$166,DO128+DN129-DW128)))</f>
        <v>287.19999999999942</v>
      </c>
      <c r="DP129" s="18">
        <f>DO129*VLOOKUP('Données projet'!$B$14,Paramètres!$A$1:$I$89,3,0)*VLOOKUP('Données projet'!$B$14,Paramètres!$A$1:$I$89,5,0)</f>
        <v>259.85855999999944</v>
      </c>
      <c r="DQ129" s="14">
        <f t="shared" si="97"/>
        <v>62.692227709138365</v>
      </c>
      <c r="DR129" s="22">
        <f t="shared" si="70"/>
        <v>561.77595526008167</v>
      </c>
      <c r="DS129" s="60">
        <f t="shared" si="71"/>
        <v>855.10928859341493</v>
      </c>
      <c r="DT129" s="60">
        <f ca="1">AVERAGE(OFFSET($DS$3,0,0,'Données projet'!$E$14+1,1))-AVERAGE(OFFSET($H$3,0,0,'Données projet'!$E$14+1,1))</f>
        <v>303.73499739059076</v>
      </c>
      <c r="DU129" s="60">
        <f t="shared" si="98"/>
        <v>172.32171001882188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1.1368683772161603E-13</v>
      </c>
      <c r="EK129" s="18">
        <f>EJ129*VLOOKUP('Données projet'!$B$15,Paramètres!$A$1:$I$89,3,0)*VLOOKUP('Données projet'!$B$15,Paramètres!$A$1:$I$89,5,0)</f>
        <v>6.7984728957526396E-14</v>
      </c>
      <c r="EL129" s="14">
        <f t="shared" si="99"/>
        <v>1.0682447123141398E-12</v>
      </c>
      <c r="EM129" s="22">
        <f t="shared" si="73"/>
        <v>1.978932943548152E-12</v>
      </c>
      <c r="EN129" s="60">
        <f t="shared" si="74"/>
        <v>293.3333333333353</v>
      </c>
      <c r="EO129" s="60">
        <f ca="1">AVERAGE(OFFSET($EN$3,0,0,'Données projet'!$E$15+1,1))-AVERAGE(OFFSET($H$3,0,0,'Données projet'!$E$15+1,1))</f>
        <v>269.94948820700841</v>
      </c>
      <c r="EP129" s="60">
        <f t="shared" si="100"/>
        <v>183.45158355135192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0.95351428378651282</v>
      </c>
      <c r="EX129" s="23">
        <f>EXP(-LN(2)/2)*EX128+(1-EXP(-LN(2)/2))/(LN(2)/2)*ER129*EU129*VLOOKUP('Données projet'!$B$15,Paramètres!$A$1:$I$89,3,0)*0.475*44/12</f>
        <v>2.0030312290517559E-14</v>
      </c>
      <c r="EY129" s="24">
        <f t="shared" si="75"/>
        <v>0.9535142837865328</v>
      </c>
      <c r="EZ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>
        <f>FE129*VLOOKUP('Données projet'!$B$16,Paramètres!$A$1:$I$89,3,0)*VLOOKUP('Données projet'!$B$16,Paramètres!$A$1:$I$89,5,0)</f>
        <v>0</v>
      </c>
      <c r="FG129" s="14" t="e">
        <f t="shared" si="101"/>
        <v>#NUM!</v>
      </c>
      <c r="FH129" s="22" t="e">
        <f t="shared" si="76"/>
        <v>#NUM!</v>
      </c>
      <c r="FI129" s="60" t="e">
        <f t="shared" si="77"/>
        <v>#NUM!</v>
      </c>
      <c r="FJ129" s="60">
        <f ca="1">AVERAGE(OFFSET($FI$3,0,0,'Données projet'!$E$16+1,1))-AVERAGE(OFFSET($H$3,0,0,'Données projet'!$E$16+1,1))</f>
        <v>111.24788725253484</v>
      </c>
      <c r="FK129" s="60">
        <f t="shared" si="102"/>
        <v>82.434879813357327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projet'!$B$16,Paramètres!$A$1:$I$89,3,0)*0.475*44/12</f>
        <v>0</v>
      </c>
      <c r="FR129" s="23">
        <f>EXP(-LN(2)/25)*FR128+(1-EXP(-LN(2)/25))/(LN(2)/25)*Calculateur!FM129*Calculateur!FO129*VLOOKUP('Données projet'!$B$16,Paramètres!$A$1:$I$89,3,0)*0.475*44/12</f>
        <v>0</v>
      </c>
      <c r="FS129" s="23">
        <f>EXP(-LN(2)/2)*FS128+(1-EXP(-LN(2)/2))/(LN(2)/2)*FM129*FP129*VLOOKUP('Données projet'!$B$16,Paramètres!$A$1:$I$89,3,0)*0.475*44/12</f>
        <v>0</v>
      </c>
      <c r="FT129" s="24">
        <f t="shared" si="78"/>
        <v>0</v>
      </c>
      <c r="FU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1.0231815394945443E-12</v>
      </c>
      <c r="GA129" s="18">
        <f>FZ129*VLOOKUP('Données projet'!$B$17,Paramètres!$A$1:$I$89,3,0)*VLOOKUP('Données projet'!$B$17,Paramètres!$A$1:$I$89,5,0)</f>
        <v>4.5224624045658859E-13</v>
      </c>
      <c r="GB129" s="14">
        <f t="shared" si="103"/>
        <v>5.6995607121061449E-12</v>
      </c>
      <c r="GC129" s="22">
        <f t="shared" si="79"/>
        <v>1.0714397109046761E-11</v>
      </c>
      <c r="GD129" s="60">
        <f t="shared" si="80"/>
        <v>293.333333333344</v>
      </c>
      <c r="GE129" s="60">
        <f ca="1">AVERAGE(OFFSET($GD$3,0,0,'Données projet'!$E$17+1,1))-AVERAGE(OFFSET($H$3,0,0,'Données projet'!$E$17+1,1))</f>
        <v>323.56667371063662</v>
      </c>
      <c r="GF129" s="60">
        <f t="shared" si="104"/>
        <v>275.70373467723385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>
        <f>EXP(-LN(2)/35)*GL128+(1-EXP(-LN(2)/35))/(LN(2)/35)*GH129*GI129*VLOOKUP('Données projet'!$B$17,Paramètres!$A$1:$I$89,3,0)*0.475*44/12</f>
        <v>0</v>
      </c>
      <c r="GM129" s="23">
        <f>EXP(-LN(2)/25)*GM128+(1-EXP(-LN(2)/25))/(LN(2)/25)*Calculateur!GH129*Calculateur!GJ129*VLOOKUP('Données projet'!$B$17,Paramètres!$A$1:$I$89,3,0)*0.475*44/12</f>
        <v>0</v>
      </c>
      <c r="GN129" s="23">
        <f>EXP(-LN(2)/2)*GN128+(1-EXP(-LN(2)/2))/(LN(2)/2)*GH129*GK129*VLOOKUP('Données projet'!$B$17,Paramètres!$A$1:$I$89,3,0)*0.475*44/12</f>
        <v>0</v>
      </c>
      <c r="GO129" s="23">
        <f t="shared" si="81"/>
        <v>0</v>
      </c>
      <c r="GP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0" t="e">
        <f t="shared" si="83"/>
        <v>#N/A</v>
      </c>
      <c r="GZ129" s="60" t="e">
        <f ca="1">AVERAGE(OFFSET($GY$3,0,0,'Données projet'!$E$18+1,1))-AVERAGE(OFFSET($H$3,0,0,'Données projet'!$E$18+1,1))</f>
        <v>#N/A</v>
      </c>
      <c r="HA129" s="60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4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2">
        <f t="shared" si="86"/>
        <v>19.509963270886551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-1.1368683772161603E-13</v>
      </c>
      <c r="O130" s="14">
        <f>N130*VLOOKUP('Données projet'!$B$9,Paramètres!$A$1:$I$89,3,0)*VLOOKUP('Données projet'!$B$9,Paramètres!$A$1:$I$89,5,0)</f>
        <v>-6.7984728957526396E-14</v>
      </c>
      <c r="P130" s="14" t="e">
        <f t="shared" si="87"/>
        <v>#NUM!</v>
      </c>
      <c r="Q130" s="22" t="e">
        <f t="shared" si="107"/>
        <v>#NUM!</v>
      </c>
      <c r="R130" s="60" t="e">
        <f t="shared" si="55"/>
        <v>#NUM!</v>
      </c>
      <c r="S130" s="60">
        <f ca="1">AVERAGE(OFFSET($R$3,0,0,'Données projet'!$E$9+1,1))-AVERAGE(OFFSET($H$3,0,0,'Données projet'!$E$9+1,1))</f>
        <v>235.63766249714581</v>
      </c>
      <c r="T130" s="60">
        <f t="shared" si="88"/>
        <v>231.3297293785277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1.6804283794868555</v>
      </c>
      <c r="AA130" s="23">
        <f>EXP(-LN(2)/25)*AA129+(1-EXP(-LN(2)/25))/(LN(2)/25)*Calculateur!V130*Calculateur!X130*VLOOKUP('Données projet'!$B$9,Paramètres!$A$1:$I$89,3,0)*0.475*44/12</f>
        <v>1.1742817029236556</v>
      </c>
      <c r="AB130" s="23">
        <f>EXP(-LN(2)/2)*AB129+(1-EXP(-LN(2)/2))/(LN(2)/2)*V130*Y130*VLOOKUP('Données projet'!$B$9,Paramètres!$A$1:$I$89,3,0)*0.475*44/12</f>
        <v>1.7867481662501645E-14</v>
      </c>
      <c r="AC130" s="24">
        <f t="shared" si="57"/>
        <v>2.8547100824105289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3.2</v>
      </c>
      <c r="AI130" s="14">
        <f>IF('Données projet'!$A$62&gt;35,AI129+AH130-AQ129,IF(A130&lt;'Données projet'!$A$62,$AF$205^A130,IF(A130='Données projet'!$A$62,'Données projet'!$B$62,AI129+AH130-AQ129)))</f>
        <v>290.39999999999941</v>
      </c>
      <c r="AJ130" s="14">
        <f>AI130*VLOOKUP('Données projet'!$B$10,Paramètres!$A$1:$I$89,3,0)*VLOOKUP('Données projet'!$B$10,Paramètres!$A$1:$I$89,5,0)</f>
        <v>294.46559999999943</v>
      </c>
      <c r="AK130" s="14">
        <f t="shared" si="89"/>
        <v>70.0149863201041</v>
      </c>
      <c r="AL130" s="22">
        <f t="shared" si="58"/>
        <v>634.80368784084692</v>
      </c>
      <c r="AM130" s="60">
        <f t="shared" si="59"/>
        <v>928.13702117418029</v>
      </c>
      <c r="AN130" s="60">
        <f ca="1">AVERAGE(OFFSET($AM$3,0,0,'Données projet'!$E$10+1,1))-AVERAGE(OFFSET($H$3,0,0,'Données projet'!$E$10+1,1))</f>
        <v>350.3652766444938</v>
      </c>
      <c r="AO130" s="60">
        <f t="shared" si="90"/>
        <v>197.04549436738586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6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3.2</v>
      </c>
      <c r="BD130" s="13">
        <f>IF('Données projet'!$A$88&gt;35,BD129+BC130-BL129,IF(A130&lt;'Données projet'!$A$88,$BA$205^A130,IF(A130='Données projet'!$A$88,'Données projet'!$B$88,BD129+BC130-BL129)))</f>
        <v>290.39999999999941</v>
      </c>
      <c r="BE130" s="14">
        <f>BD130*VLOOKUP('Données projet'!$B$11,Paramètres!$A$1:$I$89,3,0)*VLOOKUP('Données projet'!$B$11,Paramètres!$A$1:$I$89,5,0)</f>
        <v>280.87487999999945</v>
      </c>
      <c r="BF130" s="14">
        <f t="shared" si="91"/>
        <v>67.151862592195727</v>
      </c>
      <c r="BG130" s="22">
        <f t="shared" si="61"/>
        <v>606.1465766814066</v>
      </c>
      <c r="BH130" s="60">
        <f t="shared" si="62"/>
        <v>899.47991001473997</v>
      </c>
      <c r="BI130" s="60">
        <f ca="1">AVERAGE(OFFSET($BH$3,0,0,'Données projet'!$E$11+1,1))-AVERAGE(OFFSET($H$3,0,0,'Données projet'!$E$11+1,1))</f>
        <v>330.39429528665841</v>
      </c>
      <c r="BJ130" s="60">
        <f t="shared" si="92"/>
        <v>186.45728006007261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1.7053025658242404E-13</v>
      </c>
      <c r="BZ130" s="14">
        <f>BY130*VLOOKUP('Données projet'!$B$12,Paramètres!$A$1:$I$89,3,0)*VLOOKUP('Données projet'!$B$12,Paramètres!$A$1:$I$89,5,0)</f>
        <v>1.1439169611549005E-13</v>
      </c>
      <c r="CA130" s="14">
        <f t="shared" si="93"/>
        <v>1.6918016515029816E-12</v>
      </c>
      <c r="CB130" s="22">
        <f t="shared" si="64"/>
        <v>3.1457867471021712E-12</v>
      </c>
      <c r="CC130" s="60">
        <f t="shared" si="65"/>
        <v>293.33333333333644</v>
      </c>
      <c r="CD130" s="60">
        <f ca="1">AVERAGE(OFFSET($CC$3,0,0,'Données projet'!$E$12+1,1))-AVERAGE(OFFSET($H$3,0,0,'Données projet'!$E$12+1,1))</f>
        <v>212.33913923444732</v>
      </c>
      <c r="CE130" s="60">
        <f t="shared" si="94"/>
        <v>183.51194426094372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-3.979039320256561E-13</v>
      </c>
      <c r="CU130" s="18">
        <f>CT130*VLOOKUP('Données projet'!$B$13,Paramètres!$A$1:$I$89,3,0)*VLOOKUP('Données projet'!$B$13,Paramètres!$A$1:$I$89,5,0)</f>
        <v>-3.4760887501761321E-13</v>
      </c>
      <c r="CV130" s="14" t="e">
        <f t="shared" si="95"/>
        <v>#NUM!</v>
      </c>
      <c r="CW130" s="22" t="e">
        <f t="shared" si="67"/>
        <v>#NUM!</v>
      </c>
      <c r="CX130" s="60" t="e">
        <f t="shared" si="68"/>
        <v>#NUM!</v>
      </c>
      <c r="CY130" s="60">
        <f ca="1">AVERAGE(OFFSET($CX$3,0,0,'Données projet'!$E$13+1,1))-AVERAGE(OFFSET($H$3,0,0,'Données projet'!$E$13+1,1))</f>
        <v>228.0393346366489</v>
      </c>
      <c r="CZ130" s="60">
        <f t="shared" si="96"/>
        <v>238.591781509447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3.2</v>
      </c>
      <c r="DO130" s="13">
        <f>IF('Données projet'!$A$166&gt;35,DO129+DN130-DW129,IF(A130&lt;'Données projet'!$A$166,$DL$205^A130,IF(A130='Données projet'!$A$166,'Données projet'!$B$166,DO129+DN130-DW129)))</f>
        <v>290.39999999999941</v>
      </c>
      <c r="DP130" s="18">
        <f>DO130*VLOOKUP('Données projet'!$B$14,Paramètres!$A$1:$I$89,3,0)*VLOOKUP('Données projet'!$B$14,Paramètres!$A$1:$I$89,5,0)</f>
        <v>262.75391999999948</v>
      </c>
      <c r="DQ130" s="14">
        <f t="shared" si="97"/>
        <v>63.309041956360211</v>
      </c>
      <c r="DR130" s="22">
        <f t="shared" si="70"/>
        <v>567.89299207399313</v>
      </c>
      <c r="DS130" s="60">
        <f t="shared" si="71"/>
        <v>861.22632540732639</v>
      </c>
      <c r="DT130" s="60">
        <f ca="1">AVERAGE(OFFSET($DS$3,0,0,'Données projet'!$E$14+1,1))-AVERAGE(OFFSET($H$3,0,0,'Données projet'!$E$14+1,1))</f>
        <v>303.73499739059076</v>
      </c>
      <c r="DU130" s="60">
        <f t="shared" si="98"/>
        <v>172.32171001882188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1.1368683772161603E-13</v>
      </c>
      <c r="EK130" s="18">
        <f>EJ130*VLOOKUP('Données projet'!$B$15,Paramètres!$A$1:$I$89,3,0)*VLOOKUP('Données projet'!$B$15,Paramètres!$A$1:$I$89,5,0)</f>
        <v>6.7984728957526396E-14</v>
      </c>
      <c r="EL130" s="14">
        <f t="shared" si="99"/>
        <v>1.0682447123141398E-12</v>
      </c>
      <c r="EM130" s="22">
        <f t="shared" si="73"/>
        <v>1.978932943548152E-12</v>
      </c>
      <c r="EN130" s="60">
        <f t="shared" si="74"/>
        <v>293.3333333333353</v>
      </c>
      <c r="EO130" s="60">
        <f ca="1">AVERAGE(OFFSET($EN$3,0,0,'Données projet'!$E$15+1,1))-AVERAGE(OFFSET($H$3,0,0,'Données projet'!$E$15+1,1))</f>
        <v>269.94948820700841</v>
      </c>
      <c r="EP130" s="60">
        <f t="shared" si="100"/>
        <v>183.45158355135192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0.92744038555323371</v>
      </c>
      <c r="EX130" s="23">
        <f>EXP(-LN(2)/2)*EX129+(1-EXP(-LN(2)/2))/(LN(2)/2)*ER130*EU130*VLOOKUP('Données projet'!$B$15,Paramètres!$A$1:$I$89,3,0)*0.475*44/12</f>
        <v>1.4163569649909214E-14</v>
      </c>
      <c r="EY130" s="24">
        <f t="shared" si="75"/>
        <v>0.92744038555324793</v>
      </c>
      <c r="EZ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>
        <f>FE130*VLOOKUP('Données projet'!$B$16,Paramètres!$A$1:$I$89,3,0)*VLOOKUP('Données projet'!$B$16,Paramètres!$A$1:$I$89,5,0)</f>
        <v>0</v>
      </c>
      <c r="FG130" s="14" t="e">
        <f t="shared" si="101"/>
        <v>#NUM!</v>
      </c>
      <c r="FH130" s="22" t="e">
        <f t="shared" si="76"/>
        <v>#NUM!</v>
      </c>
      <c r="FI130" s="60" t="e">
        <f t="shared" si="77"/>
        <v>#NUM!</v>
      </c>
      <c r="FJ130" s="60">
        <f ca="1">AVERAGE(OFFSET($FI$3,0,0,'Données projet'!$E$16+1,1))-AVERAGE(OFFSET($H$3,0,0,'Données projet'!$E$16+1,1))</f>
        <v>111.24788725253484</v>
      </c>
      <c r="FK130" s="60">
        <f t="shared" si="102"/>
        <v>82.434879813357327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projet'!$B$16,Paramètres!$A$1:$I$89,3,0)*0.475*44/12</f>
        <v>0</v>
      </c>
      <c r="FR130" s="23">
        <f>EXP(-LN(2)/25)*FR129+(1-EXP(-LN(2)/25))/(LN(2)/25)*Calculateur!FM130*Calculateur!FO130*VLOOKUP('Données projet'!$B$16,Paramètres!$A$1:$I$89,3,0)*0.475*44/12</f>
        <v>0</v>
      </c>
      <c r="FS130" s="23">
        <f>EXP(-LN(2)/2)*FS129+(1-EXP(-LN(2)/2))/(LN(2)/2)*FM130*FP130*VLOOKUP('Données projet'!$B$16,Paramètres!$A$1:$I$89,3,0)*0.475*44/12</f>
        <v>0</v>
      </c>
      <c r="FT130" s="24">
        <f t="shared" si="78"/>
        <v>0</v>
      </c>
      <c r="FU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1.0231815394945443E-12</v>
      </c>
      <c r="GA130" s="18">
        <f>FZ130*VLOOKUP('Données projet'!$B$17,Paramètres!$A$1:$I$89,3,0)*VLOOKUP('Données projet'!$B$17,Paramètres!$A$1:$I$89,5,0)</f>
        <v>4.5224624045658859E-13</v>
      </c>
      <c r="GB130" s="14">
        <f t="shared" si="103"/>
        <v>5.6995607121061449E-12</v>
      </c>
      <c r="GC130" s="22">
        <f t="shared" si="79"/>
        <v>1.0714397109046761E-11</v>
      </c>
      <c r="GD130" s="60">
        <f t="shared" si="80"/>
        <v>293.333333333344</v>
      </c>
      <c r="GE130" s="60">
        <f ca="1">AVERAGE(OFFSET($GD$3,0,0,'Données projet'!$E$17+1,1))-AVERAGE(OFFSET($H$3,0,0,'Données projet'!$E$17+1,1))</f>
        <v>323.56667371063662</v>
      </c>
      <c r="GF130" s="60">
        <f t="shared" si="104"/>
        <v>275.70373467723385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>
        <f>EXP(-LN(2)/35)*GL129+(1-EXP(-LN(2)/35))/(LN(2)/35)*GH130*GI130*VLOOKUP('Données projet'!$B$17,Paramètres!$A$1:$I$89,3,0)*0.475*44/12</f>
        <v>0</v>
      </c>
      <c r="GM130" s="23">
        <f>EXP(-LN(2)/25)*GM129+(1-EXP(-LN(2)/25))/(LN(2)/25)*Calculateur!GH130*Calculateur!GJ130*VLOOKUP('Données projet'!$B$17,Paramètres!$A$1:$I$89,3,0)*0.475*44/12</f>
        <v>0</v>
      </c>
      <c r="GN130" s="23">
        <f>EXP(-LN(2)/2)*GN129+(1-EXP(-LN(2)/2))/(LN(2)/2)*GH130*GK130*VLOOKUP('Données projet'!$B$17,Paramètres!$A$1:$I$89,3,0)*0.475*44/12</f>
        <v>0</v>
      </c>
      <c r="GO130" s="23">
        <f t="shared" si="81"/>
        <v>0</v>
      </c>
      <c r="GP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0" t="e">
        <f t="shared" si="83"/>
        <v>#N/A</v>
      </c>
      <c r="GZ130" s="60" t="e">
        <f ca="1">AVERAGE(OFFSET($GY$3,0,0,'Données projet'!$E$18+1,1))-AVERAGE(OFFSET($H$3,0,0,'Données projet'!$E$18+1,1))</f>
        <v>#N/A</v>
      </c>
      <c r="HA130" s="60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4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2">
        <f t="shared" si="86"/>
        <v>19.645641432461961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-1.1368683772161603E-13</v>
      </c>
      <c r="O131" s="14">
        <f>N131*VLOOKUP('Données projet'!$B$9,Paramètres!$A$1:$I$89,3,0)*VLOOKUP('Données projet'!$B$9,Paramètres!$A$1:$I$89,5,0)</f>
        <v>-6.7984728957526396E-14</v>
      </c>
      <c r="P131" s="14" t="e">
        <f t="shared" si="87"/>
        <v>#NUM!</v>
      </c>
      <c r="Q131" s="22" t="e">
        <f t="shared" ref="Q131:Q153" si="108">(O131+P131)*0.475*44/12</f>
        <v>#NUM!</v>
      </c>
      <c r="R131" s="60" t="e">
        <f t="shared" ref="R131:R194" si="109">Q131+(I131+J131)*44/12</f>
        <v>#NUM!</v>
      </c>
      <c r="S131" s="60">
        <f ca="1">AVERAGE(OFFSET($R$3,0,0,'Données projet'!$E$9+1,1))-AVERAGE(OFFSET($H$3,0,0,'Données projet'!$E$9+1,1))</f>
        <v>235.63766249714581</v>
      </c>
      <c r="T131" s="60">
        <f t="shared" si="88"/>
        <v>231.3297293785277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1.6474762039252233</v>
      </c>
      <c r="AA131" s="23">
        <f>EXP(-LN(2)/25)*AA130+(1-EXP(-LN(2)/25))/(LN(2)/25)*Calculateur!V131*Calculateur!X131*VLOOKUP('Données projet'!$B$9,Paramètres!$A$1:$I$89,3,0)*0.475*44/12</f>
        <v>1.1421709080044173</v>
      </c>
      <c r="AB131" s="23">
        <f>EXP(-LN(2)/2)*AB130+(1-EXP(-LN(2)/2))/(LN(2)/2)*V131*Y131*VLOOKUP('Données projet'!$B$9,Paramètres!$A$1:$I$89,3,0)*0.475*44/12</f>
        <v>1.2634217446281201E-14</v>
      </c>
      <c r="AC131" s="24">
        <f t="shared" si="57"/>
        <v>2.7896471119296531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3.2</v>
      </c>
      <c r="AI131" s="14">
        <f>IF('Données projet'!$A$62&gt;35,AI130+AH131-AQ130,IF(A131&lt;'Données projet'!$A$62,$AF$205^A131,IF(A131='Données projet'!$A$62,'Données projet'!$B$62,AI130+AH131-AQ130)))</f>
        <v>293.5999999999994</v>
      </c>
      <c r="AJ131" s="14">
        <f>AI131*VLOOKUP('Données projet'!$B$10,Paramètres!$A$1:$I$89,3,0)*VLOOKUP('Données projet'!$B$10,Paramètres!$A$1:$I$89,5,0)</f>
        <v>297.71039999999937</v>
      </c>
      <c r="AK131" s="14">
        <f t="shared" si="89"/>
        <v>70.696261560936534</v>
      </c>
      <c r="AL131" s="22">
        <f t="shared" si="58"/>
        <v>641.64160221862994</v>
      </c>
      <c r="AM131" s="60">
        <f t="shared" si="59"/>
        <v>934.9749355519632</v>
      </c>
      <c r="AN131" s="60">
        <f ca="1">AVERAGE(OFFSET($AM$3,0,0,'Données projet'!$E$10+1,1))-AVERAGE(OFFSET($H$3,0,0,'Données projet'!$E$10+1,1))</f>
        <v>350.3652766444938</v>
      </c>
      <c r="AO131" s="60">
        <f t="shared" si="90"/>
        <v>197.04549436738586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6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3.2</v>
      </c>
      <c r="BD131" s="13">
        <f>IF('Données projet'!$A$88&gt;35,BD130+BC131-BL130,IF(A131&lt;'Données projet'!$A$88,$BA$205^A131,IF(A131='Données projet'!$A$88,'Données projet'!$B$88,BD130+BC131-BL130)))</f>
        <v>293.5999999999994</v>
      </c>
      <c r="BE131" s="14">
        <f>BD131*VLOOKUP('Données projet'!$B$11,Paramètres!$A$1:$I$89,3,0)*VLOOKUP('Données projet'!$B$11,Paramètres!$A$1:$I$89,5,0)</f>
        <v>283.96991999999943</v>
      </c>
      <c r="BF131" s="14">
        <f t="shared" si="91"/>
        <v>67.805278435922148</v>
      </c>
      <c r="BG131" s="22">
        <f t="shared" si="61"/>
        <v>612.67513727589676</v>
      </c>
      <c r="BH131" s="60">
        <f t="shared" si="62"/>
        <v>906.00847060923002</v>
      </c>
      <c r="BI131" s="60">
        <f ca="1">AVERAGE(OFFSET($BH$3,0,0,'Données projet'!$E$11+1,1))-AVERAGE(OFFSET($H$3,0,0,'Données projet'!$E$11+1,1))</f>
        <v>330.39429528665841</v>
      </c>
      <c r="BJ131" s="60">
        <f t="shared" si="92"/>
        <v>186.45728006007261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1.7053025658242404E-13</v>
      </c>
      <c r="BZ131" s="14">
        <f>BY131*VLOOKUP('Données projet'!$B$12,Paramètres!$A$1:$I$89,3,0)*VLOOKUP('Données projet'!$B$12,Paramètres!$A$1:$I$89,5,0)</f>
        <v>1.1439169611549005E-13</v>
      </c>
      <c r="CA131" s="14">
        <f t="shared" si="93"/>
        <v>1.6918016515029816E-12</v>
      </c>
      <c r="CB131" s="22">
        <f t="shared" si="64"/>
        <v>3.1457867471021712E-12</v>
      </c>
      <c r="CC131" s="60">
        <f t="shared" si="65"/>
        <v>293.33333333333644</v>
      </c>
      <c r="CD131" s="60">
        <f ca="1">AVERAGE(OFFSET($CC$3,0,0,'Données projet'!$E$12+1,1))-AVERAGE(OFFSET($H$3,0,0,'Données projet'!$E$12+1,1))</f>
        <v>212.33913923444732</v>
      </c>
      <c r="CE131" s="60">
        <f t="shared" si="94"/>
        <v>183.51194426094372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-3.979039320256561E-13</v>
      </c>
      <c r="CU131" s="18">
        <f>CT131*VLOOKUP('Données projet'!$B$13,Paramètres!$A$1:$I$89,3,0)*VLOOKUP('Données projet'!$B$13,Paramètres!$A$1:$I$89,5,0)</f>
        <v>-3.4760887501761321E-13</v>
      </c>
      <c r="CV131" s="14" t="e">
        <f t="shared" si="95"/>
        <v>#NUM!</v>
      </c>
      <c r="CW131" s="22" t="e">
        <f t="shared" si="67"/>
        <v>#NUM!</v>
      </c>
      <c r="CX131" s="60" t="e">
        <f t="shared" si="68"/>
        <v>#NUM!</v>
      </c>
      <c r="CY131" s="60">
        <f ca="1">AVERAGE(OFFSET($CX$3,0,0,'Données projet'!$E$13+1,1))-AVERAGE(OFFSET($H$3,0,0,'Données projet'!$E$13+1,1))</f>
        <v>228.0393346366489</v>
      </c>
      <c r="CZ131" s="60">
        <f t="shared" si="96"/>
        <v>238.591781509447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3.2</v>
      </c>
      <c r="DO131" s="13">
        <f>IF('Données projet'!$A$166&gt;35,DO130+DN131-DW130,IF(A131&lt;'Données projet'!$A$166,$DL$205^A131,IF(A131='Données projet'!$A$166,'Données projet'!$B$166,DO130+DN131-DW130)))</f>
        <v>293.5999999999994</v>
      </c>
      <c r="DP131" s="18">
        <f>DO131*VLOOKUP('Données projet'!$B$14,Paramètres!$A$1:$I$89,3,0)*VLOOKUP('Données projet'!$B$14,Paramètres!$A$1:$I$89,5,0)</f>
        <v>265.64927999999946</v>
      </c>
      <c r="DQ131" s="14">
        <f t="shared" si="97"/>
        <v>63.925065540346907</v>
      </c>
      <c r="DR131" s="22">
        <f t="shared" si="70"/>
        <v>574.00865181610322</v>
      </c>
      <c r="DS131" s="60">
        <f t="shared" si="71"/>
        <v>867.3419851494366</v>
      </c>
      <c r="DT131" s="60">
        <f ca="1">AVERAGE(OFFSET($DS$3,0,0,'Données projet'!$E$14+1,1))-AVERAGE(OFFSET($H$3,0,0,'Données projet'!$E$14+1,1))</f>
        <v>303.73499739059076</v>
      </c>
      <c r="DU131" s="60">
        <f t="shared" si="98"/>
        <v>172.32171001882188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1.1368683772161603E-13</v>
      </c>
      <c r="EK131" s="18">
        <f>EJ131*VLOOKUP('Données projet'!$B$15,Paramètres!$A$1:$I$89,3,0)*VLOOKUP('Données projet'!$B$15,Paramètres!$A$1:$I$89,5,0)</f>
        <v>6.7984728957526396E-14</v>
      </c>
      <c r="EL131" s="14">
        <f t="shared" si="99"/>
        <v>1.0682447123141398E-12</v>
      </c>
      <c r="EM131" s="22">
        <f t="shared" si="73"/>
        <v>1.978932943548152E-12</v>
      </c>
      <c r="EN131" s="60">
        <f t="shared" si="74"/>
        <v>293.3333333333353</v>
      </c>
      <c r="EO131" s="60">
        <f ca="1">AVERAGE(OFFSET($EN$3,0,0,'Données projet'!$E$15+1,1))-AVERAGE(OFFSET($H$3,0,0,'Données projet'!$E$15+1,1))</f>
        <v>269.94948820700841</v>
      </c>
      <c r="EP131" s="60">
        <f t="shared" si="100"/>
        <v>183.45158355135192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0.90207947943831035</v>
      </c>
      <c r="EX131" s="23">
        <f>EXP(-LN(2)/2)*EX130+(1-EXP(-LN(2)/2))/(LN(2)/2)*ER131*EU131*VLOOKUP('Données projet'!$B$15,Paramètres!$A$1:$I$89,3,0)*0.475*44/12</f>
        <v>1.0015156145258781E-14</v>
      </c>
      <c r="EY131" s="24">
        <f t="shared" si="75"/>
        <v>0.90207947943832034</v>
      </c>
      <c r="EZ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>
        <f>FE131*VLOOKUP('Données projet'!$B$16,Paramètres!$A$1:$I$89,3,0)*VLOOKUP('Données projet'!$B$16,Paramètres!$A$1:$I$89,5,0)</f>
        <v>0</v>
      </c>
      <c r="FG131" s="14" t="e">
        <f t="shared" si="101"/>
        <v>#NUM!</v>
      </c>
      <c r="FH131" s="22" t="e">
        <f t="shared" si="76"/>
        <v>#NUM!</v>
      </c>
      <c r="FI131" s="60" t="e">
        <f t="shared" si="77"/>
        <v>#NUM!</v>
      </c>
      <c r="FJ131" s="60">
        <f ca="1">AVERAGE(OFFSET($FI$3,0,0,'Données projet'!$E$16+1,1))-AVERAGE(OFFSET($H$3,0,0,'Données projet'!$E$16+1,1))</f>
        <v>111.24788725253484</v>
      </c>
      <c r="FK131" s="60">
        <f t="shared" si="102"/>
        <v>82.434879813357327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projet'!$B$16,Paramètres!$A$1:$I$89,3,0)*0.475*44/12</f>
        <v>0</v>
      </c>
      <c r="FR131" s="23">
        <f>EXP(-LN(2)/25)*FR130+(1-EXP(-LN(2)/25))/(LN(2)/25)*Calculateur!FM131*Calculateur!FO131*VLOOKUP('Données projet'!$B$16,Paramètres!$A$1:$I$89,3,0)*0.475*44/12</f>
        <v>0</v>
      </c>
      <c r="FS131" s="23">
        <f>EXP(-LN(2)/2)*FS130+(1-EXP(-LN(2)/2))/(LN(2)/2)*FM131*FP131*VLOOKUP('Données projet'!$B$16,Paramètres!$A$1:$I$89,3,0)*0.475*44/12</f>
        <v>0</v>
      </c>
      <c r="FT131" s="24">
        <f t="shared" si="78"/>
        <v>0</v>
      </c>
      <c r="FU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1.0231815394945443E-12</v>
      </c>
      <c r="GA131" s="18">
        <f>FZ131*VLOOKUP('Données projet'!$B$17,Paramètres!$A$1:$I$89,3,0)*VLOOKUP('Données projet'!$B$17,Paramètres!$A$1:$I$89,5,0)</f>
        <v>4.5224624045658859E-13</v>
      </c>
      <c r="GB131" s="14">
        <f t="shared" si="103"/>
        <v>5.6995607121061449E-12</v>
      </c>
      <c r="GC131" s="22">
        <f t="shared" si="79"/>
        <v>1.0714397109046761E-11</v>
      </c>
      <c r="GD131" s="60">
        <f t="shared" si="80"/>
        <v>293.333333333344</v>
      </c>
      <c r="GE131" s="60">
        <f ca="1">AVERAGE(OFFSET($GD$3,0,0,'Données projet'!$E$17+1,1))-AVERAGE(OFFSET($H$3,0,0,'Données projet'!$E$17+1,1))</f>
        <v>323.56667371063662</v>
      </c>
      <c r="GF131" s="60">
        <f t="shared" si="104"/>
        <v>275.70373467723385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>
        <f>EXP(-LN(2)/35)*GL130+(1-EXP(-LN(2)/35))/(LN(2)/35)*GH131*GI131*VLOOKUP('Données projet'!$B$17,Paramètres!$A$1:$I$89,3,0)*0.475*44/12</f>
        <v>0</v>
      </c>
      <c r="GM131" s="23">
        <f>EXP(-LN(2)/25)*GM130+(1-EXP(-LN(2)/25))/(LN(2)/25)*Calculateur!GH131*Calculateur!GJ131*VLOOKUP('Données projet'!$B$17,Paramètres!$A$1:$I$89,3,0)*0.475*44/12</f>
        <v>0</v>
      </c>
      <c r="GN131" s="23">
        <f>EXP(-LN(2)/2)*GN130+(1-EXP(-LN(2)/2))/(LN(2)/2)*GH131*GK131*VLOOKUP('Données projet'!$B$17,Paramètres!$A$1:$I$89,3,0)*0.475*44/12</f>
        <v>0</v>
      </c>
      <c r="GO131" s="23">
        <f t="shared" si="81"/>
        <v>0</v>
      </c>
      <c r="GP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0" t="e">
        <f t="shared" si="83"/>
        <v>#N/A</v>
      </c>
      <c r="GZ131" s="60" t="e">
        <f ca="1">AVERAGE(OFFSET($GY$3,0,0,'Données projet'!$E$18+1,1))-AVERAGE(OFFSET($H$3,0,0,'Données projet'!$E$18+1,1))</f>
        <v>#N/A</v>
      </c>
      <c r="HA131" s="60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4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2">
        <f t="shared" si="86"/>
        <v>19.78119626646561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-1.1368683772161603E-13</v>
      </c>
      <c r="O132" s="14">
        <f>N132*VLOOKUP('Données projet'!$B$9,Paramètres!$A$1:$I$89,3,0)*VLOOKUP('Données projet'!$B$9,Paramètres!$A$1:$I$89,5,0)</f>
        <v>-6.7984728957526396E-14</v>
      </c>
      <c r="P132" s="14" t="e">
        <f t="shared" si="87"/>
        <v>#NUM!</v>
      </c>
      <c r="Q132" s="22" t="e">
        <f t="shared" si="108"/>
        <v>#NUM!</v>
      </c>
      <c r="R132" s="60" t="e">
        <f t="shared" si="109"/>
        <v>#NUM!</v>
      </c>
      <c r="S132" s="60">
        <f ca="1">AVERAGE(OFFSET($R$3,0,0,'Données projet'!$E$9+1,1))-AVERAGE(OFFSET($H$3,0,0,'Données projet'!$E$9+1,1))</f>
        <v>235.63766249714581</v>
      </c>
      <c r="T132" s="60">
        <f t="shared" si="88"/>
        <v>231.3297293785277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1.6151702004275124</v>
      </c>
      <c r="AA132" s="23">
        <f>EXP(-LN(2)/25)*AA131+(1-EXP(-LN(2)/25))/(LN(2)/25)*Calculateur!V132*Calculateur!X132*VLOOKUP('Données projet'!$B$9,Paramètres!$A$1:$I$89,3,0)*0.475*44/12</f>
        <v>1.110938184460879</v>
      </c>
      <c r="AB132" s="23">
        <f>EXP(-LN(2)/2)*AB131+(1-EXP(-LN(2)/2))/(LN(2)/2)*V132*Y132*VLOOKUP('Données projet'!$B$9,Paramètres!$A$1:$I$89,3,0)*0.475*44/12</f>
        <v>8.9337408312508223E-15</v>
      </c>
      <c r="AC132" s="24">
        <f t="shared" ref="AC132:AC153" si="111">SUM(Z132:AB132)</f>
        <v>2.7261083848884002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3.2</v>
      </c>
      <c r="AI132" s="14">
        <f>IF('Données projet'!$A$62&gt;35,AI131+AH132-AQ131,IF(A132&lt;'Données projet'!$A$62,$AF$205^A132,IF(A132='Données projet'!$A$62,'Données projet'!$B$62,AI131+AH132-AQ131)))</f>
        <v>296.79999999999939</v>
      </c>
      <c r="AJ132" s="14">
        <f>AI132*VLOOKUP('Données projet'!$B$10,Paramètres!$A$1:$I$89,3,0)*VLOOKUP('Données projet'!$B$10,Paramètres!$A$1:$I$89,5,0)</f>
        <v>300.95519999999942</v>
      </c>
      <c r="AK132" s="14">
        <f t="shared" si="89"/>
        <v>71.376673021759657</v>
      </c>
      <c r="AL132" s="22">
        <f t="shared" ref="AL132:AL153" si="112">(AJ132+AK132)*0.475*44/12</f>
        <v>648.47801217956373</v>
      </c>
      <c r="AM132" s="60">
        <f t="shared" ref="AM132:AM195" si="113">AL132+(AD132+AE132)*44/12</f>
        <v>941.81134551289711</v>
      </c>
      <c r="AN132" s="60">
        <f ca="1">AVERAGE(OFFSET($AM$3,0,0,'Données projet'!$E$10+1,1))-AVERAGE(OFFSET($H$3,0,0,'Données projet'!$E$10+1,1))</f>
        <v>350.3652766444938</v>
      </c>
      <c r="AO132" s="60">
        <f t="shared" si="90"/>
        <v>197.04549436738586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6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3.2</v>
      </c>
      <c r="BD132" s="13">
        <f>IF('Données projet'!$A$88&gt;35,BD131+BC132-BL131,IF(A132&lt;'Données projet'!$A$88,$BA$205^A132,IF(A132='Données projet'!$A$88,'Données projet'!$B$88,BD131+BC132-BL131)))</f>
        <v>296.79999999999939</v>
      </c>
      <c r="BE132" s="14">
        <f>BD132*VLOOKUP('Données projet'!$B$11,Paramètres!$A$1:$I$89,3,0)*VLOOKUP('Données projet'!$B$11,Paramètres!$A$1:$I$89,5,0)</f>
        <v>287.06495999999942</v>
      </c>
      <c r="BF132" s="14">
        <f t="shared" si="91"/>
        <v>68.457865822206202</v>
      </c>
      <c r="BG132" s="22">
        <f t="shared" ref="BG132:BG153" si="115">(BE132+BF132)*0.475*44/12</f>
        <v>619.20225497367471</v>
      </c>
      <c r="BH132" s="60">
        <f t="shared" ref="BH132:BH195" si="116">BG132+(AY132+AZ132)*44/12</f>
        <v>912.53558830700808</v>
      </c>
      <c r="BI132" s="60">
        <f ca="1">AVERAGE(OFFSET($BH$3,0,0,'Données projet'!$E$11+1,1))-AVERAGE(OFFSET($H$3,0,0,'Données projet'!$E$11+1,1))</f>
        <v>330.39429528665841</v>
      </c>
      <c r="BJ132" s="60">
        <f t="shared" si="92"/>
        <v>186.45728006007261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1.7053025658242404E-13</v>
      </c>
      <c r="BZ132" s="14">
        <f>BY132*VLOOKUP('Données projet'!$B$12,Paramètres!$A$1:$I$89,3,0)*VLOOKUP('Données projet'!$B$12,Paramètres!$A$1:$I$89,5,0)</f>
        <v>1.1439169611549005E-13</v>
      </c>
      <c r="CA132" s="14">
        <f t="shared" si="93"/>
        <v>1.6918016515029816E-12</v>
      </c>
      <c r="CB132" s="22">
        <f t="shared" ref="CB132:CB153" si="118">(BZ132+CA132)*0.475*44/12</f>
        <v>3.1457867471021712E-12</v>
      </c>
      <c r="CC132" s="60">
        <f t="shared" ref="CC132:CC195" si="119">CB132+(BT132+BU132)*44/12</f>
        <v>293.33333333333644</v>
      </c>
      <c r="CD132" s="60">
        <f ca="1">AVERAGE(OFFSET($CC$3,0,0,'Données projet'!$E$12+1,1))-AVERAGE(OFFSET($H$3,0,0,'Données projet'!$E$12+1,1))</f>
        <v>212.33913923444732</v>
      </c>
      <c r="CE132" s="60">
        <f t="shared" si="94"/>
        <v>183.51194426094372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-3.979039320256561E-13</v>
      </c>
      <c r="CU132" s="18">
        <f>CT132*VLOOKUP('Données projet'!$B$13,Paramètres!$A$1:$I$89,3,0)*VLOOKUP('Données projet'!$B$13,Paramètres!$A$1:$I$89,5,0)</f>
        <v>-3.4760887501761321E-13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0" t="e">
        <f t="shared" ref="CX132:CX195" si="122">CW132+(CO132+CP132)*44/12</f>
        <v>#NUM!</v>
      </c>
      <c r="CY132" s="60">
        <f ca="1">AVERAGE(OFFSET($CX$3,0,0,'Données projet'!$E$13+1,1))-AVERAGE(OFFSET($H$3,0,0,'Données projet'!$E$13+1,1))</f>
        <v>228.0393346366489</v>
      </c>
      <c r="CZ132" s="60">
        <f t="shared" si="96"/>
        <v>238.591781509447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3.2</v>
      </c>
      <c r="DO132" s="13">
        <f>IF('Données projet'!$A$166&gt;35,DO131+DN132-DW131,IF(A132&lt;'Données projet'!$A$166,$DL$205^A132,IF(A132='Données projet'!$A$166,'Données projet'!$B$166,DO131+DN132-DW131)))</f>
        <v>296.79999999999939</v>
      </c>
      <c r="DP132" s="18">
        <f>DO132*VLOOKUP('Données projet'!$B$14,Paramètres!$A$1:$I$89,3,0)*VLOOKUP('Données projet'!$B$14,Paramètres!$A$1:$I$89,5,0)</f>
        <v>268.54463999999945</v>
      </c>
      <c r="DQ132" s="14">
        <f t="shared" si="97"/>
        <v>64.540308076050593</v>
      </c>
      <c r="DR132" s="22">
        <f t="shared" ref="DR132:DR153" si="124">(DP132+DQ132)*0.475*44/12</f>
        <v>580.12295123245383</v>
      </c>
      <c r="DS132" s="60">
        <f t="shared" ref="DS132:DS195" si="125">DR132+(DJ132+DK132)*44/12</f>
        <v>873.4562845657872</v>
      </c>
      <c r="DT132" s="60">
        <f ca="1">AVERAGE(OFFSET($DS$3,0,0,'Données projet'!$E$14+1,1))-AVERAGE(OFFSET($H$3,0,0,'Données projet'!$E$14+1,1))</f>
        <v>303.73499739059076</v>
      </c>
      <c r="DU132" s="60">
        <f t="shared" si="98"/>
        <v>172.32171001882188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1.1368683772161603E-13</v>
      </c>
      <c r="EK132" s="18">
        <f>EJ132*VLOOKUP('Données projet'!$B$15,Paramètres!$A$1:$I$89,3,0)*VLOOKUP('Données projet'!$B$15,Paramètres!$A$1:$I$89,5,0)</f>
        <v>6.7984728957526396E-14</v>
      </c>
      <c r="EL132" s="14">
        <f t="shared" si="99"/>
        <v>1.0682447123141398E-12</v>
      </c>
      <c r="EM132" s="22">
        <f t="shared" ref="EM132:EM153" si="127">(EK132+EL132)*0.475*44/12</f>
        <v>1.978932943548152E-12</v>
      </c>
      <c r="EN132" s="60">
        <f t="shared" ref="EN132:EN195" si="128">EM132+(EE132+EF132)*44/12</f>
        <v>293.3333333333353</v>
      </c>
      <c r="EO132" s="60">
        <f ca="1">AVERAGE(OFFSET($EN$3,0,0,'Données projet'!$E$15+1,1))-AVERAGE(OFFSET($H$3,0,0,'Données projet'!$E$15+1,1))</f>
        <v>269.94948820700841</v>
      </c>
      <c r="EP132" s="60">
        <f t="shared" si="100"/>
        <v>183.45158355135192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0.87741206863477161</v>
      </c>
      <c r="EX132" s="23">
        <f>EXP(-LN(2)/2)*EX131+(1-EXP(-LN(2)/2))/(LN(2)/2)*ER132*EU132*VLOOKUP('Données projet'!$B$15,Paramètres!$A$1:$I$89,3,0)*0.475*44/12</f>
        <v>7.0817848249546078E-15</v>
      </c>
      <c r="EY132" s="24">
        <f t="shared" ref="EY132:EY153" si="129">SUM(EV132:EX132)</f>
        <v>0.87741206863477872</v>
      </c>
      <c r="EZ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>
        <f>FE132*VLOOKUP('Données projet'!$B$16,Paramètres!$A$1:$I$89,3,0)*VLOOKUP('Données projet'!$B$16,Paramètres!$A$1:$I$89,5,0)</f>
        <v>0</v>
      </c>
      <c r="FG132" s="14" t="e">
        <f t="shared" si="101"/>
        <v>#NUM!</v>
      </c>
      <c r="FH132" s="22" t="e">
        <f t="shared" ref="FH132:FH153" si="130">(FF132+FG132)*0.475*44/12</f>
        <v>#NUM!</v>
      </c>
      <c r="FI132" s="60" t="e">
        <f t="shared" ref="FI132:FI195" si="131">FH132+(EZ132+FA132)*44/12</f>
        <v>#NUM!</v>
      </c>
      <c r="FJ132" s="60">
        <f ca="1">AVERAGE(OFFSET($FI$3,0,0,'Données projet'!$E$16+1,1))-AVERAGE(OFFSET($H$3,0,0,'Données projet'!$E$16+1,1))</f>
        <v>111.24788725253484</v>
      </c>
      <c r="FK132" s="60">
        <f t="shared" si="102"/>
        <v>82.434879813357327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projet'!$B$16,Paramètres!$A$1:$I$89,3,0)*0.475*44/12</f>
        <v>0</v>
      </c>
      <c r="FR132" s="23">
        <f>EXP(-LN(2)/25)*FR131+(1-EXP(-LN(2)/25))/(LN(2)/25)*Calculateur!FM132*Calculateur!FO132*VLOOKUP('Données projet'!$B$16,Paramètres!$A$1:$I$89,3,0)*0.475*44/12</f>
        <v>0</v>
      </c>
      <c r="FS132" s="23">
        <f>EXP(-LN(2)/2)*FS131+(1-EXP(-LN(2)/2))/(LN(2)/2)*FM132*FP132*VLOOKUP('Données projet'!$B$16,Paramètres!$A$1:$I$89,3,0)*0.475*44/12</f>
        <v>0</v>
      </c>
      <c r="FT132" s="24">
        <f t="shared" ref="FT132:FT153" si="132">SUM(FQ132:FS132)</f>
        <v>0</v>
      </c>
      <c r="FU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1.0231815394945443E-12</v>
      </c>
      <c r="GA132" s="18">
        <f>FZ132*VLOOKUP('Données projet'!$B$17,Paramètres!$A$1:$I$89,3,0)*VLOOKUP('Données projet'!$B$17,Paramètres!$A$1:$I$89,5,0)</f>
        <v>4.5224624045658859E-13</v>
      </c>
      <c r="GB132" s="14">
        <f t="shared" si="103"/>
        <v>5.6995607121061449E-12</v>
      </c>
      <c r="GC132" s="22">
        <f t="shared" ref="GC132:GC153" si="133">(GA132+GB132)*0.475*44/12</f>
        <v>1.0714397109046761E-11</v>
      </c>
      <c r="GD132" s="60">
        <f t="shared" ref="GD132:GD195" si="134">GC132+(FU132+FV132)*44/12</f>
        <v>293.333333333344</v>
      </c>
      <c r="GE132" s="60">
        <f ca="1">AVERAGE(OFFSET($GD$3,0,0,'Données projet'!$E$17+1,1))-AVERAGE(OFFSET($H$3,0,0,'Données projet'!$E$17+1,1))</f>
        <v>323.56667371063662</v>
      </c>
      <c r="GF132" s="60">
        <f t="shared" si="104"/>
        <v>275.70373467723385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>
        <f>EXP(-LN(2)/35)*GL131+(1-EXP(-LN(2)/35))/(LN(2)/35)*GH132*GI132*VLOOKUP('Données projet'!$B$17,Paramètres!$A$1:$I$89,3,0)*0.475*44/12</f>
        <v>0</v>
      </c>
      <c r="GM132" s="23">
        <f>EXP(-LN(2)/25)*GM131+(1-EXP(-LN(2)/25))/(LN(2)/25)*Calculateur!GH132*Calculateur!GJ132*VLOOKUP('Données projet'!$B$17,Paramètres!$A$1:$I$89,3,0)*0.475*44/12</f>
        <v>0</v>
      </c>
      <c r="GN132" s="23">
        <f>EXP(-LN(2)/2)*GN131+(1-EXP(-LN(2)/2))/(LN(2)/2)*GH132*GK132*VLOOKUP('Données projet'!$B$17,Paramètres!$A$1:$I$89,3,0)*0.475*44/12</f>
        <v>0</v>
      </c>
      <c r="GO132" s="23">
        <f t="shared" ref="GO132:GO153" si="135">SUM(GL132:GN132)</f>
        <v>0</v>
      </c>
      <c r="GP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0" t="e">
        <f t="shared" ref="GY132:GY195" si="137">GX132+(GP132+GQ132)*44/12</f>
        <v>#N/A</v>
      </c>
      <c r="GZ132" s="60" t="e">
        <f ca="1">AVERAGE(OFFSET($GY$3,0,0,'Données projet'!$E$18+1,1))-AVERAGE(OFFSET($H$3,0,0,'Données projet'!$E$18+1,1))</f>
        <v>#N/A</v>
      </c>
      <c r="HA132" s="60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4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2">
        <f t="shared" ref="D133:D196" si="140">IFERROR(EXP(-1.0587+0.8836*LN(C133)+0.284),0)</f>
        <v>19.916628839746853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-1.1368683772161603E-13</v>
      </c>
      <c r="O133" s="14">
        <f>N133*VLOOKUP('Données projet'!$B$9,Paramètres!$A$1:$I$89,3,0)*VLOOKUP('Données projet'!$B$9,Paramètres!$A$1:$I$89,5,0)</f>
        <v>-6.7984728957526396E-14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0" t="e">
        <f t="shared" si="109"/>
        <v>#NUM!</v>
      </c>
      <c r="S133" s="60">
        <f ca="1">AVERAGE(OFFSET($R$3,0,0,'Données projet'!$E$9+1,1))-AVERAGE(OFFSET($H$3,0,0,'Données projet'!$E$9+1,1))</f>
        <v>235.63766249714581</v>
      </c>
      <c r="T133" s="60">
        <f t="shared" ref="T133:T196" si="142">$T$3</f>
        <v>231.3297293785277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1.583497697953675</v>
      </c>
      <c r="AA133" s="23">
        <f>EXP(-LN(2)/25)*AA132+(1-EXP(-LN(2)/25))/(LN(2)/25)*Calculateur!V133*Calculateur!X133*VLOOKUP('Données projet'!$B$9,Paramètres!$A$1:$I$89,3,0)*0.475*44/12</f>
        <v>1.0805595213850963</v>
      </c>
      <c r="AB133" s="23">
        <f>EXP(-LN(2)/2)*AB132+(1-EXP(-LN(2)/2))/(LN(2)/2)*V133*Y133*VLOOKUP('Données projet'!$B$9,Paramètres!$A$1:$I$89,3,0)*0.475*44/12</f>
        <v>6.3171087231406005E-15</v>
      </c>
      <c r="AC133" s="24">
        <f t="shared" si="111"/>
        <v>2.6640572193387775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>
        <f>VLOOKUP(A133,'Données projet'!$A$61:$I$81,2,0)</f>
        <v>300</v>
      </c>
      <c r="AG133" s="13">
        <f>VLOOKUP(A133,'Données projet'!$A$61:$I$81,9,0)</f>
        <v>3.2</v>
      </c>
      <c r="AH133" s="13">
        <f t="array" ref="AH133">INDEX(AG:AG,MIN(IF(ISNUMBER(AG133:AG329),ROW(AG133:AG329),"")))</f>
        <v>3.2</v>
      </c>
      <c r="AI133" s="14">
        <f>IF('Données projet'!$A$62&gt;35,AI132+AH133-AQ132,IF(A133&lt;'Données projet'!$A$62,$AF$205^A133,IF(A133='Données projet'!$A$62,'Données projet'!$B$62,AI132+AH133-AQ132)))</f>
        <v>299.99999999999937</v>
      </c>
      <c r="AJ133" s="14">
        <f>AI133*VLOOKUP('Données projet'!$B$10,Paramètres!$A$1:$I$89,3,0)*VLOOKUP('Données projet'!$B$10,Paramètres!$A$1:$I$89,5,0)</f>
        <v>304.19999999999936</v>
      </c>
      <c r="AK133" s="14">
        <f t="shared" ref="AK133:AK153" si="143">EXP(-1.0587+0.8836*LN(AJ133)+0.284)</f>
        <v>72.056231093480946</v>
      </c>
      <c r="AL133" s="22">
        <f t="shared" si="112"/>
        <v>655.31293582114483</v>
      </c>
      <c r="AM133" s="60">
        <f t="shared" si="113"/>
        <v>948.6462691544782</v>
      </c>
      <c r="AN133" s="60">
        <f ca="1">AVERAGE(OFFSET($AM$3,0,0,'Données projet'!$E$10+1,1))-AVERAGE(OFFSET($H$3,0,0,'Données projet'!$E$10+1,1))</f>
        <v>350.3652766444938</v>
      </c>
      <c r="AO133" s="60">
        <f t="shared" ref="AO133:AO196" si="144">$AO$3</f>
        <v>197.04549436738586</v>
      </c>
      <c r="AP133" s="16">
        <f>IF(ISNA(VLOOKUP(A133,'Données projet'!$A$61:$I$81,3,0)),0,VLOOKUP(A133,'Données projet'!$A$61:$I$81,3,0))</f>
        <v>11</v>
      </c>
      <c r="AQ133" s="16">
        <f>IF(ISNA(VLOOKUP(A133,'Données projet'!$A$61:$I$81,4,0)),0,VLOOKUP(A133,'Données projet'!$A$61:$I$81,4,0))</f>
        <v>31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6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>
        <f>VLOOKUP(A133,'Données projet'!$A$87:$I$107,2,0)</f>
        <v>300</v>
      </c>
      <c r="BB133" s="13">
        <f>VLOOKUP(A133,'Données projet'!$A$87:$I$107,9,0)</f>
        <v>3.2</v>
      </c>
      <c r="BC133" s="13">
        <f t="array" ref="BC133">INDEX(BB:BB,MIN(IF(ISNUMBER(BB133:BB329),ROW(BB133:BB329),"")))</f>
        <v>3.2</v>
      </c>
      <c r="BD133" s="13">
        <f>IF('Données projet'!$A$88&gt;35,BD132+BC133-BL132,IF(A133&lt;'Données projet'!$A$88,$BA$205^A133,IF(A133='Données projet'!$A$88,'Données projet'!$B$88,BD132+BC133-BL132)))</f>
        <v>299.99999999999937</v>
      </c>
      <c r="BE133" s="14">
        <f>BD133*VLOOKUP('Données projet'!$B$11,Paramètres!$A$1:$I$89,3,0)*VLOOKUP('Données projet'!$B$11,Paramètres!$A$1:$I$89,5,0)</f>
        <v>290.1599999999994</v>
      </c>
      <c r="BF133" s="14">
        <f t="shared" ref="BF133:BF153" si="145">EXP(-1.0587+0.8836*LN(BE133)+0.284)</f>
        <v>69.10963471703981</v>
      </c>
      <c r="BG133" s="22">
        <f t="shared" si="115"/>
        <v>625.72794713217661</v>
      </c>
      <c r="BH133" s="60">
        <f t="shared" si="116"/>
        <v>919.06128046550998</v>
      </c>
      <c r="BI133" s="60">
        <f ca="1">AVERAGE(OFFSET($BH$3,0,0,'Données projet'!$E$11+1,1))-AVERAGE(OFFSET($H$3,0,0,'Données projet'!$E$11+1,1))</f>
        <v>330.39429528665841</v>
      </c>
      <c r="BJ133" s="60">
        <f t="shared" ref="BJ133:BJ196" si="146">$BJ$3</f>
        <v>186.45728006007261</v>
      </c>
      <c r="BK133" s="16">
        <f>IF(ISNA(VLOOKUP(A133,'Données projet'!$A$87:$I$107,3,0)),0,VLOOKUP(A133,'Données projet'!$A$87:$I$107,3,0))</f>
        <v>11</v>
      </c>
      <c r="BL133" s="16">
        <f>IF(ISNA(VLOOKUP(A133,'Données projet'!$A$87:$I$107,4,0)),0,VLOOKUP(A133,'Données projet'!$A$87:$I$107,4,0))</f>
        <v>31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1.7053025658242404E-13</v>
      </c>
      <c r="BZ133" s="14">
        <f>BY133*VLOOKUP('Données projet'!$B$12,Paramètres!$A$1:$I$89,3,0)*VLOOKUP('Données projet'!$B$12,Paramètres!$A$1:$I$89,5,0)</f>
        <v>1.1439169611549005E-13</v>
      </c>
      <c r="CA133" s="14">
        <f t="shared" ref="CA133:CA153" si="147">EXP(-1.0587+0.8836*LN(BZ133)+0.284)</f>
        <v>1.6918016515029816E-12</v>
      </c>
      <c r="CB133" s="22">
        <f t="shared" si="118"/>
        <v>3.1457867471021712E-12</v>
      </c>
      <c r="CC133" s="60">
        <f t="shared" si="119"/>
        <v>293.33333333333644</v>
      </c>
      <c r="CD133" s="60">
        <f ca="1">AVERAGE(OFFSET($CC$3,0,0,'Données projet'!$E$12+1,1))-AVERAGE(OFFSET($H$3,0,0,'Données projet'!$E$12+1,1))</f>
        <v>212.33913923444732</v>
      </c>
      <c r="CE133" s="60">
        <f t="shared" ref="CE133:CE196" si="148">$CE$3</f>
        <v>183.51194426094372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-3.979039320256561E-13</v>
      </c>
      <c r="CU133" s="18">
        <f>CT133*VLOOKUP('Données projet'!$B$13,Paramètres!$A$1:$I$89,3,0)*VLOOKUP('Données projet'!$B$13,Paramètres!$A$1:$I$89,5,0)</f>
        <v>-3.4760887501761321E-13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0" t="e">
        <f t="shared" si="122"/>
        <v>#NUM!</v>
      </c>
      <c r="CY133" s="60">
        <f ca="1">AVERAGE(OFFSET($CX$3,0,0,'Données projet'!$E$13+1,1))-AVERAGE(OFFSET($H$3,0,0,'Données projet'!$E$13+1,1))</f>
        <v>228.0393346366489</v>
      </c>
      <c r="CZ133" s="60">
        <f t="shared" ref="CZ133:CZ196" si="150">$CZ$3</f>
        <v>238.591781509447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>
        <f>VLOOKUP(A133,'Données projet'!$A$165:$I$185,2,0)</f>
        <v>300</v>
      </c>
      <c r="DM133" s="13">
        <f>VLOOKUP(A133,'Données projet'!$A$165:$I$185,9,0)</f>
        <v>3.2</v>
      </c>
      <c r="DN133" s="13">
        <f t="array" ref="DN133">INDEX(DM:DM,MIN(IF(ISNUMBER(DM133:DM329),ROW(DM133:DM329),"")))</f>
        <v>3.2</v>
      </c>
      <c r="DO133" s="13">
        <f>IF('Données projet'!$A$166&gt;35,DO132+DN133-DW132,IF(A133&lt;'Données projet'!$A$166,$DL$205^A133,IF(A133='Données projet'!$A$166,'Données projet'!$B$166,DO132+DN133-DW132)))</f>
        <v>299.99999999999937</v>
      </c>
      <c r="DP133" s="18">
        <f>DO133*VLOOKUP('Données projet'!$B$14,Paramètres!$A$1:$I$89,3,0)*VLOOKUP('Données projet'!$B$14,Paramètres!$A$1:$I$89,5,0)</f>
        <v>271.43999999999943</v>
      </c>
      <c r="DQ133" s="14">
        <f t="shared" ref="DQ133:DQ153" si="151">EXP(-1.0587+0.8836*LN(DP133)+0.284)</f>
        <v>65.154778959151116</v>
      </c>
      <c r="DR133" s="22">
        <f t="shared" si="124"/>
        <v>586.23590668718714</v>
      </c>
      <c r="DS133" s="60">
        <f t="shared" si="125"/>
        <v>879.56924002052051</v>
      </c>
      <c r="DT133" s="60">
        <f ca="1">AVERAGE(OFFSET($DS$3,0,0,'Données projet'!$E$14+1,1))-AVERAGE(OFFSET($H$3,0,0,'Données projet'!$E$14+1,1))</f>
        <v>303.73499739059076</v>
      </c>
      <c r="DU133" s="60">
        <f t="shared" ref="DU133:DU196" si="152">$DU$3</f>
        <v>172.32171001882188</v>
      </c>
      <c r="DV133" s="16">
        <f>IF(ISNA(VLOOKUP(A133,'Données projet'!$A$165:$I$185,3,0)),0,VLOOKUP(A133,'Données projet'!$A$165:$I$185,3,0))</f>
        <v>11</v>
      </c>
      <c r="DW133" s="16">
        <f>IF(ISNA(VLOOKUP(A133,'Données projet'!$A$165:$I$185,4,0)),0,VLOOKUP(A133,'Données projet'!$A$165:$I$185,4,0))</f>
        <v>31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1.1368683772161603E-13</v>
      </c>
      <c r="EK133" s="18">
        <f>EJ133*VLOOKUP('Données projet'!$B$15,Paramètres!$A$1:$I$89,3,0)*VLOOKUP('Données projet'!$B$15,Paramètres!$A$1:$I$89,5,0)</f>
        <v>6.7984728957526396E-14</v>
      </c>
      <c r="EL133" s="14">
        <f t="shared" ref="EL133:EL153" si="153">EXP(-1.0587+0.8836*LN(EK133)+0.284)</f>
        <v>1.0682447123141398E-12</v>
      </c>
      <c r="EM133" s="22">
        <f t="shared" si="127"/>
        <v>1.978932943548152E-12</v>
      </c>
      <c r="EN133" s="60">
        <f t="shared" si="128"/>
        <v>293.3333333333353</v>
      </c>
      <c r="EO133" s="60">
        <f ca="1">AVERAGE(OFFSET($EN$3,0,0,'Données projet'!$E$15+1,1))-AVERAGE(OFFSET($H$3,0,0,'Données projet'!$E$15+1,1))</f>
        <v>269.94948820700841</v>
      </c>
      <c r="EP133" s="60">
        <f t="shared" ref="EP133:EP196" si="154">$EP$3</f>
        <v>183.45158355135192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0.85341918947685846</v>
      </c>
      <c r="EX133" s="23">
        <f>EXP(-LN(2)/2)*EX132+(1-EXP(-LN(2)/2))/(LN(2)/2)*ER133*EU133*VLOOKUP('Données projet'!$B$15,Paramètres!$A$1:$I$89,3,0)*0.475*44/12</f>
        <v>5.0075780726293913E-15</v>
      </c>
      <c r="EY133" s="24">
        <f t="shared" si="129"/>
        <v>0.85341918947686346</v>
      </c>
      <c r="EZ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>
        <f>FE133*VLOOKUP('Données projet'!$B$16,Paramètres!$A$1:$I$89,3,0)*VLOOKUP('Données projet'!$B$16,Paramètres!$A$1:$I$89,5,0)</f>
        <v>0</v>
      </c>
      <c r="FG133" s="14" t="e">
        <f t="shared" ref="FG133:FG153" si="155">EXP(-1.0587+0.8836*LN(FF133)+0.284)</f>
        <v>#NUM!</v>
      </c>
      <c r="FH133" s="22" t="e">
        <f t="shared" si="130"/>
        <v>#NUM!</v>
      </c>
      <c r="FI133" s="60" t="e">
        <f t="shared" si="131"/>
        <v>#NUM!</v>
      </c>
      <c r="FJ133" s="60">
        <f ca="1">AVERAGE(OFFSET($FI$3,0,0,'Données projet'!$E$16+1,1))-AVERAGE(OFFSET($H$3,0,0,'Données projet'!$E$16+1,1))</f>
        <v>111.24788725253484</v>
      </c>
      <c r="FK133" s="60">
        <f t="shared" ref="FK133:FK196" si="156">$FK$3</f>
        <v>82.434879813357327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projet'!$B$16,Paramètres!$A$1:$I$89,3,0)*0.475*44/12</f>
        <v>0</v>
      </c>
      <c r="FR133" s="23">
        <f>EXP(-LN(2)/25)*FR132+(1-EXP(-LN(2)/25))/(LN(2)/25)*Calculateur!FM133*Calculateur!FO133*VLOOKUP('Données projet'!$B$16,Paramètres!$A$1:$I$89,3,0)*0.475*44/12</f>
        <v>0</v>
      </c>
      <c r="FS133" s="23">
        <f>EXP(-LN(2)/2)*FS132+(1-EXP(-LN(2)/2))/(LN(2)/2)*FM133*FP133*VLOOKUP('Données projet'!$B$16,Paramètres!$A$1:$I$89,3,0)*0.475*44/12</f>
        <v>0</v>
      </c>
      <c r="FT133" s="24">
        <f t="shared" si="132"/>
        <v>0</v>
      </c>
      <c r="FU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1.0231815394945443E-12</v>
      </c>
      <c r="GA133" s="18">
        <f>FZ133*VLOOKUP('Données projet'!$B$17,Paramètres!$A$1:$I$89,3,0)*VLOOKUP('Données projet'!$B$17,Paramètres!$A$1:$I$89,5,0)</f>
        <v>4.5224624045658859E-13</v>
      </c>
      <c r="GB133" s="14">
        <f t="shared" ref="GB133:GB153" si="157">EXP(-1.0587+0.8836*LN(GA133)+0.284)</f>
        <v>5.6995607121061449E-12</v>
      </c>
      <c r="GC133" s="22">
        <f t="shared" si="133"/>
        <v>1.0714397109046761E-11</v>
      </c>
      <c r="GD133" s="60">
        <f t="shared" si="134"/>
        <v>293.333333333344</v>
      </c>
      <c r="GE133" s="60">
        <f ca="1">AVERAGE(OFFSET($GD$3,0,0,'Données projet'!$E$17+1,1))-AVERAGE(OFFSET($H$3,0,0,'Données projet'!$E$17+1,1))</f>
        <v>323.56667371063662</v>
      </c>
      <c r="GF133" s="60">
        <f t="shared" ref="GF133:GF196" si="158">$GF$3</f>
        <v>275.70373467723385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>
        <f>EXP(-LN(2)/35)*GL132+(1-EXP(-LN(2)/35))/(LN(2)/35)*GH133*GI133*VLOOKUP('Données projet'!$B$17,Paramètres!$A$1:$I$89,3,0)*0.475*44/12</f>
        <v>0</v>
      </c>
      <c r="GM133" s="23">
        <f>EXP(-LN(2)/25)*GM132+(1-EXP(-LN(2)/25))/(LN(2)/25)*Calculateur!GH133*Calculateur!GJ133*VLOOKUP('Données projet'!$B$17,Paramètres!$A$1:$I$89,3,0)*0.475*44/12</f>
        <v>0</v>
      </c>
      <c r="GN133" s="23">
        <f>EXP(-LN(2)/2)*GN132+(1-EXP(-LN(2)/2))/(LN(2)/2)*GH133*GK133*VLOOKUP('Données projet'!$B$17,Paramètres!$A$1:$I$89,3,0)*0.475*44/12</f>
        <v>0</v>
      </c>
      <c r="GO133" s="23">
        <f t="shared" si="135"/>
        <v>0</v>
      </c>
      <c r="GP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0" t="e">
        <f t="shared" si="137"/>
        <v>#N/A</v>
      </c>
      <c r="GZ133" s="60" t="e">
        <f ca="1">AVERAGE(OFFSET($GY$3,0,0,'Données projet'!$E$18+1,1))-AVERAGE(OFFSET($H$3,0,0,'Données projet'!$E$18+1,1))</f>
        <v>#N/A</v>
      </c>
      <c r="HA133" s="60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4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2">
        <f t="shared" si="140"/>
        <v>20.051940201794032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-1.1368683772161603E-13</v>
      </c>
      <c r="O134" s="14">
        <f>N134*VLOOKUP('Données projet'!$B$9,Paramètres!$A$1:$I$89,3,0)*VLOOKUP('Données projet'!$B$9,Paramètres!$A$1:$I$89,5,0)</f>
        <v>-6.7984728957526396E-14</v>
      </c>
      <c r="P134" s="14" t="e">
        <f t="shared" si="141"/>
        <v>#NUM!</v>
      </c>
      <c r="Q134" s="22" t="e">
        <f t="shared" si="108"/>
        <v>#NUM!</v>
      </c>
      <c r="R134" s="60" t="e">
        <f t="shared" si="109"/>
        <v>#NUM!</v>
      </c>
      <c r="S134" s="60">
        <f ca="1">AVERAGE(OFFSET($R$3,0,0,'Données projet'!$E$9+1,1))-AVERAGE(OFFSET($H$3,0,0,'Données projet'!$E$9+1,1))</f>
        <v>235.63766249714581</v>
      </c>
      <c r="T134" s="60">
        <f t="shared" si="142"/>
        <v>231.3297293785277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1.5524462739350307</v>
      </c>
      <c r="AA134" s="23">
        <f>EXP(-LN(2)/25)*AA133+(1-EXP(-LN(2)/25))/(LN(2)/25)*Calculateur!V134*Calculateur!X134*VLOOKUP('Données projet'!$B$9,Paramètres!$A$1:$I$89,3,0)*0.475*44/12</f>
        <v>1.0510115644486653</v>
      </c>
      <c r="AB134" s="23">
        <f>EXP(-LN(2)/2)*AB133+(1-EXP(-LN(2)/2))/(LN(2)/2)*V134*Y134*VLOOKUP('Données projet'!$B$9,Paramètres!$A$1:$I$89,3,0)*0.475*44/12</f>
        <v>4.4668704156254112E-15</v>
      </c>
      <c r="AC134" s="24">
        <f t="shared" si="111"/>
        <v>2.6034578383837004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2.7</v>
      </c>
      <c r="AI134" s="14">
        <f>IF('Données projet'!$A$62&gt;35,AI133+AH134-AQ133,IF(A134&lt;'Données projet'!$A$62,$AF$205^A134,IF(A134='Données projet'!$A$62,'Données projet'!$B$62,AI133+AH134-AQ133)))</f>
        <v>271.69999999999936</v>
      </c>
      <c r="AJ134" s="14">
        <f>AI134*VLOOKUP('Données projet'!$B$10,Paramètres!$A$1:$I$89,3,0)*VLOOKUP('Données projet'!$B$10,Paramètres!$A$1:$I$89,5,0)</f>
        <v>275.50379999999939</v>
      </c>
      <c r="AK134" s="14">
        <f t="shared" si="143"/>
        <v>66.015939215007748</v>
      </c>
      <c r="AL134" s="22">
        <f t="shared" si="112"/>
        <v>594.81354579947072</v>
      </c>
      <c r="AM134" s="60">
        <f t="shared" si="113"/>
        <v>888.14687913280409</v>
      </c>
      <c r="AN134" s="60">
        <f ca="1">AVERAGE(OFFSET($AM$3,0,0,'Données projet'!$E$10+1,1))-AVERAGE(OFFSET($H$3,0,0,'Données projet'!$E$10+1,1))</f>
        <v>350.3652766444938</v>
      </c>
      <c r="AO134" s="60">
        <f t="shared" si="144"/>
        <v>197.04549436738586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6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2.7</v>
      </c>
      <c r="BD134" s="13">
        <f>IF('Données projet'!$A$88&gt;35,BD133+BC134-BL133,IF(A134&lt;'Données projet'!$A$88,$BA$205^A134,IF(A134='Données projet'!$A$88,'Données projet'!$B$88,BD133+BC134-BL133)))</f>
        <v>271.69999999999936</v>
      </c>
      <c r="BE134" s="14">
        <f>BD134*VLOOKUP('Données projet'!$B$11,Paramètres!$A$1:$I$89,3,0)*VLOOKUP('Données projet'!$B$11,Paramètres!$A$1:$I$89,5,0)</f>
        <v>262.7882399999994</v>
      </c>
      <c r="BF134" s="14">
        <f t="shared" si="145"/>
        <v>63.316348571334714</v>
      </c>
      <c r="BG134" s="22">
        <f t="shared" si="115"/>
        <v>567.96549176174028</v>
      </c>
      <c r="BH134" s="60">
        <f t="shared" si="116"/>
        <v>861.29882509507365</v>
      </c>
      <c r="BI134" s="60">
        <f ca="1">AVERAGE(OFFSET($BH$3,0,0,'Données projet'!$E$11+1,1))-AVERAGE(OFFSET($H$3,0,0,'Données projet'!$E$11+1,1))</f>
        <v>330.39429528665841</v>
      </c>
      <c r="BJ134" s="60">
        <f t="shared" si="146"/>
        <v>186.45728006007261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1.7053025658242404E-13</v>
      </c>
      <c r="BZ134" s="14">
        <f>BY134*VLOOKUP('Données projet'!$B$12,Paramètres!$A$1:$I$89,3,0)*VLOOKUP('Données projet'!$B$12,Paramètres!$A$1:$I$89,5,0)</f>
        <v>1.1439169611549005E-13</v>
      </c>
      <c r="CA134" s="14">
        <f t="shared" si="147"/>
        <v>1.6918016515029816E-12</v>
      </c>
      <c r="CB134" s="22">
        <f t="shared" si="118"/>
        <v>3.1457867471021712E-12</v>
      </c>
      <c r="CC134" s="60">
        <f t="shared" si="119"/>
        <v>293.33333333333644</v>
      </c>
      <c r="CD134" s="60">
        <f ca="1">AVERAGE(OFFSET($CC$3,0,0,'Données projet'!$E$12+1,1))-AVERAGE(OFFSET($H$3,0,0,'Données projet'!$E$12+1,1))</f>
        <v>212.33913923444732</v>
      </c>
      <c r="CE134" s="60">
        <f t="shared" si="148"/>
        <v>183.51194426094372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-3.979039320256561E-13</v>
      </c>
      <c r="CU134" s="18">
        <f>CT134*VLOOKUP('Données projet'!$B$13,Paramètres!$A$1:$I$89,3,0)*VLOOKUP('Données projet'!$B$13,Paramètres!$A$1:$I$89,5,0)</f>
        <v>-3.4760887501761321E-13</v>
      </c>
      <c r="CV134" s="14" t="e">
        <f t="shared" si="149"/>
        <v>#NUM!</v>
      </c>
      <c r="CW134" s="22" t="e">
        <f t="shared" si="121"/>
        <v>#NUM!</v>
      </c>
      <c r="CX134" s="60" t="e">
        <f t="shared" si="122"/>
        <v>#NUM!</v>
      </c>
      <c r="CY134" s="60">
        <f ca="1">AVERAGE(OFFSET($CX$3,0,0,'Données projet'!$E$13+1,1))-AVERAGE(OFFSET($H$3,0,0,'Données projet'!$E$13+1,1))</f>
        <v>228.0393346366489</v>
      </c>
      <c r="CZ134" s="60">
        <f t="shared" si="150"/>
        <v>238.591781509447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2.7</v>
      </c>
      <c r="DO134" s="13">
        <f>IF('Données projet'!$A$166&gt;35,DO133+DN134-DW133,IF(A134&lt;'Données projet'!$A$166,$DL$205^A134,IF(A134='Données projet'!$A$166,'Données projet'!$B$166,DO133+DN134-DW133)))</f>
        <v>271.69999999999936</v>
      </c>
      <c r="DP134" s="18">
        <f>DO134*VLOOKUP('Données projet'!$B$14,Paramètres!$A$1:$I$89,3,0)*VLOOKUP('Données projet'!$B$14,Paramètres!$A$1:$I$89,5,0)</f>
        <v>245.8341599999994</v>
      </c>
      <c r="DQ134" s="14">
        <f t="shared" si="151"/>
        <v>59.693018383856675</v>
      </c>
      <c r="DR134" s="22">
        <f t="shared" si="124"/>
        <v>532.12650235188266</v>
      </c>
      <c r="DS134" s="60">
        <f t="shared" si="125"/>
        <v>825.45983568521592</v>
      </c>
      <c r="DT134" s="60">
        <f ca="1">AVERAGE(OFFSET($DS$3,0,0,'Données projet'!$E$14+1,1))-AVERAGE(OFFSET($H$3,0,0,'Données projet'!$E$14+1,1))</f>
        <v>303.73499739059076</v>
      </c>
      <c r="DU134" s="60">
        <f t="shared" si="152"/>
        <v>172.32171001882188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1.1368683772161603E-13</v>
      </c>
      <c r="EK134" s="18">
        <f>EJ134*VLOOKUP('Données projet'!$B$15,Paramètres!$A$1:$I$89,3,0)*VLOOKUP('Données projet'!$B$15,Paramètres!$A$1:$I$89,5,0)</f>
        <v>6.7984728957526396E-14</v>
      </c>
      <c r="EL134" s="14">
        <f t="shared" si="153"/>
        <v>1.0682447123141398E-12</v>
      </c>
      <c r="EM134" s="22">
        <f t="shared" si="127"/>
        <v>1.978932943548152E-12</v>
      </c>
      <c r="EN134" s="60">
        <f t="shared" si="128"/>
        <v>293.3333333333353</v>
      </c>
      <c r="EO134" s="60">
        <f ca="1">AVERAGE(OFFSET($EN$3,0,0,'Données projet'!$E$15+1,1))-AVERAGE(OFFSET($H$3,0,0,'Données projet'!$E$15+1,1))</f>
        <v>269.94948820700841</v>
      </c>
      <c r="EP134" s="60">
        <f t="shared" si="154"/>
        <v>183.45158355135192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0.83008239686124907</v>
      </c>
      <c r="EX134" s="23">
        <f>EXP(-LN(2)/2)*EX133+(1-EXP(-LN(2)/2))/(LN(2)/2)*ER134*EU134*VLOOKUP('Données projet'!$B$15,Paramètres!$A$1:$I$89,3,0)*0.475*44/12</f>
        <v>3.5408924124773047E-15</v>
      </c>
      <c r="EY134" s="24">
        <f t="shared" si="129"/>
        <v>0.83008239686125262</v>
      </c>
      <c r="EZ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>
        <f>FE134*VLOOKUP('Données projet'!$B$16,Paramètres!$A$1:$I$89,3,0)*VLOOKUP('Données projet'!$B$16,Paramètres!$A$1:$I$89,5,0)</f>
        <v>0</v>
      </c>
      <c r="FG134" s="14" t="e">
        <f t="shared" si="155"/>
        <v>#NUM!</v>
      </c>
      <c r="FH134" s="22" t="e">
        <f t="shared" si="130"/>
        <v>#NUM!</v>
      </c>
      <c r="FI134" s="60" t="e">
        <f t="shared" si="131"/>
        <v>#NUM!</v>
      </c>
      <c r="FJ134" s="60">
        <f ca="1">AVERAGE(OFFSET($FI$3,0,0,'Données projet'!$E$16+1,1))-AVERAGE(OFFSET($H$3,0,0,'Données projet'!$E$16+1,1))</f>
        <v>111.24788725253484</v>
      </c>
      <c r="FK134" s="60">
        <f t="shared" si="156"/>
        <v>82.434879813357327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projet'!$B$16,Paramètres!$A$1:$I$89,3,0)*0.475*44/12</f>
        <v>0</v>
      </c>
      <c r="FR134" s="23">
        <f>EXP(-LN(2)/25)*FR133+(1-EXP(-LN(2)/25))/(LN(2)/25)*Calculateur!FM134*Calculateur!FO134*VLOOKUP('Données projet'!$B$16,Paramètres!$A$1:$I$89,3,0)*0.475*44/12</f>
        <v>0</v>
      </c>
      <c r="FS134" s="23">
        <f>EXP(-LN(2)/2)*FS133+(1-EXP(-LN(2)/2))/(LN(2)/2)*FM134*FP134*VLOOKUP('Données projet'!$B$16,Paramètres!$A$1:$I$89,3,0)*0.475*44/12</f>
        <v>0</v>
      </c>
      <c r="FT134" s="24">
        <f t="shared" si="132"/>
        <v>0</v>
      </c>
      <c r="FU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1.0231815394945443E-12</v>
      </c>
      <c r="GA134" s="18">
        <f>FZ134*VLOOKUP('Données projet'!$B$17,Paramètres!$A$1:$I$89,3,0)*VLOOKUP('Données projet'!$B$17,Paramètres!$A$1:$I$89,5,0)</f>
        <v>4.5224624045658859E-13</v>
      </c>
      <c r="GB134" s="14">
        <f t="shared" si="157"/>
        <v>5.6995607121061449E-12</v>
      </c>
      <c r="GC134" s="22">
        <f t="shared" si="133"/>
        <v>1.0714397109046761E-11</v>
      </c>
      <c r="GD134" s="60">
        <f t="shared" si="134"/>
        <v>293.333333333344</v>
      </c>
      <c r="GE134" s="60">
        <f ca="1">AVERAGE(OFFSET($GD$3,0,0,'Données projet'!$E$17+1,1))-AVERAGE(OFFSET($H$3,0,0,'Données projet'!$E$17+1,1))</f>
        <v>323.56667371063662</v>
      </c>
      <c r="GF134" s="60">
        <f t="shared" si="158"/>
        <v>275.70373467723385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>
        <f>EXP(-LN(2)/35)*GL133+(1-EXP(-LN(2)/35))/(LN(2)/35)*GH134*GI134*VLOOKUP('Données projet'!$B$17,Paramètres!$A$1:$I$89,3,0)*0.475*44/12</f>
        <v>0</v>
      </c>
      <c r="GM134" s="23">
        <f>EXP(-LN(2)/25)*GM133+(1-EXP(-LN(2)/25))/(LN(2)/25)*Calculateur!GH134*Calculateur!GJ134*VLOOKUP('Données projet'!$B$17,Paramètres!$A$1:$I$89,3,0)*0.475*44/12</f>
        <v>0</v>
      </c>
      <c r="GN134" s="23">
        <f>EXP(-LN(2)/2)*GN133+(1-EXP(-LN(2)/2))/(LN(2)/2)*GH134*GK134*VLOOKUP('Données projet'!$B$17,Paramètres!$A$1:$I$89,3,0)*0.475*44/12</f>
        <v>0</v>
      </c>
      <c r="GO134" s="23">
        <f t="shared" si="135"/>
        <v>0</v>
      </c>
      <c r="GP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0" t="e">
        <f t="shared" si="137"/>
        <v>#N/A</v>
      </c>
      <c r="GZ134" s="60" t="e">
        <f ca="1">AVERAGE(OFFSET($GY$3,0,0,'Données projet'!$E$18+1,1))-AVERAGE(OFFSET($H$3,0,0,'Données projet'!$E$18+1,1))</f>
        <v>#N/A</v>
      </c>
      <c r="HA134" s="60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4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2">
        <f t="shared" si="140"/>
        <v>20.187131385147271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-1.1368683772161603E-13</v>
      </c>
      <c r="O135" s="14">
        <f>N135*VLOOKUP('Données projet'!$B$9,Paramètres!$A$1:$I$89,3,0)*VLOOKUP('Données projet'!$B$9,Paramètres!$A$1:$I$89,5,0)</f>
        <v>-6.7984728957526396E-14</v>
      </c>
      <c r="P135" s="14" t="e">
        <f t="shared" si="141"/>
        <v>#NUM!</v>
      </c>
      <c r="Q135" s="22" t="e">
        <f t="shared" si="108"/>
        <v>#NUM!</v>
      </c>
      <c r="R135" s="60" t="e">
        <f t="shared" si="109"/>
        <v>#NUM!</v>
      </c>
      <c r="S135" s="60">
        <f ca="1">AVERAGE(OFFSET($R$3,0,0,'Données projet'!$E$9+1,1))-AVERAGE(OFFSET($H$3,0,0,'Données projet'!$E$9+1,1))</f>
        <v>235.63766249714581</v>
      </c>
      <c r="T135" s="60">
        <f t="shared" si="142"/>
        <v>231.3297293785277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1.5220037494018934</v>
      </c>
      <c r="AA135" s="23">
        <f>EXP(-LN(2)/25)*AA134+(1-EXP(-LN(2)/25))/(LN(2)/25)*Calculateur!V135*Calculateur!X135*VLOOKUP('Données projet'!$B$9,Paramètres!$A$1:$I$89,3,0)*0.475*44/12</f>
        <v>1.0222715979485204</v>
      </c>
      <c r="AB135" s="23">
        <f>EXP(-LN(2)/2)*AB134+(1-EXP(-LN(2)/2))/(LN(2)/2)*V135*Y135*VLOOKUP('Données projet'!$B$9,Paramètres!$A$1:$I$89,3,0)*0.475*44/12</f>
        <v>3.1585543615703002E-15</v>
      </c>
      <c r="AC135" s="24">
        <f t="shared" si="111"/>
        <v>2.5442753473504172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2.7</v>
      </c>
      <c r="AI135" s="14">
        <f>IF('Données projet'!$A$62&gt;35,AI134+AH135-AQ134,IF(A135&lt;'Données projet'!$A$62,$AF$205^A135,IF(A135='Données projet'!$A$62,'Données projet'!$B$62,AI134+AH135-AQ134)))</f>
        <v>274.39999999999935</v>
      </c>
      <c r="AJ135" s="14">
        <f>AI135*VLOOKUP('Données projet'!$B$10,Paramètres!$A$1:$I$89,3,0)*VLOOKUP('Données projet'!$B$10,Paramètres!$A$1:$I$89,5,0)</f>
        <v>278.24159999999938</v>
      </c>
      <c r="AK135" s="14">
        <f t="shared" si="143"/>
        <v>66.595272276139625</v>
      </c>
      <c r="AL135" s="22">
        <f t="shared" si="112"/>
        <v>600.59088588094198</v>
      </c>
      <c r="AM135" s="60">
        <f t="shared" si="113"/>
        <v>893.92421921427535</v>
      </c>
      <c r="AN135" s="60">
        <f ca="1">AVERAGE(OFFSET($AM$3,0,0,'Données projet'!$E$10+1,1))-AVERAGE(OFFSET($H$3,0,0,'Données projet'!$E$10+1,1))</f>
        <v>350.3652766444938</v>
      </c>
      <c r="AO135" s="60">
        <f t="shared" si="144"/>
        <v>197.04549436738586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6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2.7</v>
      </c>
      <c r="BD135" s="13">
        <f>IF('Données projet'!$A$88&gt;35,BD134+BC135-BL134,IF(A135&lt;'Données projet'!$A$88,$BA$205^A135,IF(A135='Données projet'!$A$88,'Données projet'!$B$88,BD134+BC135-BL134)))</f>
        <v>274.39999999999935</v>
      </c>
      <c r="BE135" s="14">
        <f>BD135*VLOOKUP('Données projet'!$B$11,Paramètres!$A$1:$I$89,3,0)*VLOOKUP('Données projet'!$B$11,Paramètres!$A$1:$I$89,5,0)</f>
        <v>265.39967999999936</v>
      </c>
      <c r="BF135" s="14">
        <f t="shared" si="145"/>
        <v>63.87199095821434</v>
      </c>
      <c r="BG135" s="22">
        <f t="shared" si="115"/>
        <v>573.48149358555554</v>
      </c>
      <c r="BH135" s="60">
        <f t="shared" si="116"/>
        <v>866.81482691888891</v>
      </c>
      <c r="BI135" s="60">
        <f ca="1">AVERAGE(OFFSET($BH$3,0,0,'Données projet'!$E$11+1,1))-AVERAGE(OFFSET($H$3,0,0,'Données projet'!$E$11+1,1))</f>
        <v>330.39429528665841</v>
      </c>
      <c r="BJ135" s="60">
        <f t="shared" si="146"/>
        <v>186.45728006007261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1.7053025658242404E-13</v>
      </c>
      <c r="BZ135" s="14">
        <f>BY135*VLOOKUP('Données projet'!$B$12,Paramètres!$A$1:$I$89,3,0)*VLOOKUP('Données projet'!$B$12,Paramètres!$A$1:$I$89,5,0)</f>
        <v>1.1439169611549005E-13</v>
      </c>
      <c r="CA135" s="14">
        <f t="shared" si="147"/>
        <v>1.6918016515029816E-12</v>
      </c>
      <c r="CB135" s="22">
        <f t="shared" si="118"/>
        <v>3.1457867471021712E-12</v>
      </c>
      <c r="CC135" s="60">
        <f t="shared" si="119"/>
        <v>293.33333333333644</v>
      </c>
      <c r="CD135" s="60">
        <f ca="1">AVERAGE(OFFSET($CC$3,0,0,'Données projet'!$E$12+1,1))-AVERAGE(OFFSET($H$3,0,0,'Données projet'!$E$12+1,1))</f>
        <v>212.33913923444732</v>
      </c>
      <c r="CE135" s="60">
        <f t="shared" si="148"/>
        <v>183.51194426094372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-3.979039320256561E-13</v>
      </c>
      <c r="CU135" s="18">
        <f>CT135*VLOOKUP('Données projet'!$B$13,Paramètres!$A$1:$I$89,3,0)*VLOOKUP('Données projet'!$B$13,Paramètres!$A$1:$I$89,5,0)</f>
        <v>-3.4760887501761321E-13</v>
      </c>
      <c r="CV135" s="14" t="e">
        <f t="shared" si="149"/>
        <v>#NUM!</v>
      </c>
      <c r="CW135" s="22" t="e">
        <f t="shared" si="121"/>
        <v>#NUM!</v>
      </c>
      <c r="CX135" s="60" t="e">
        <f t="shared" si="122"/>
        <v>#NUM!</v>
      </c>
      <c r="CY135" s="60">
        <f ca="1">AVERAGE(OFFSET($CX$3,0,0,'Données projet'!$E$13+1,1))-AVERAGE(OFFSET($H$3,0,0,'Données projet'!$E$13+1,1))</f>
        <v>228.0393346366489</v>
      </c>
      <c r="CZ135" s="60">
        <f t="shared" si="150"/>
        <v>238.591781509447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2.7</v>
      </c>
      <c r="DO135" s="13">
        <f>IF('Données projet'!$A$166&gt;35,DO134+DN135-DW134,IF(A135&lt;'Données projet'!$A$166,$DL$205^A135,IF(A135='Données projet'!$A$166,'Données projet'!$B$166,DO134+DN135-DW134)))</f>
        <v>274.39999999999935</v>
      </c>
      <c r="DP135" s="18">
        <f>DO135*VLOOKUP('Données projet'!$B$14,Paramètres!$A$1:$I$89,3,0)*VLOOKUP('Données projet'!$B$14,Paramètres!$A$1:$I$89,5,0)</f>
        <v>248.2771199999994</v>
      </c>
      <c r="DQ135" s="14">
        <f t="shared" si="151"/>
        <v>60.216863677580257</v>
      </c>
      <c r="DR135" s="22">
        <f t="shared" si="124"/>
        <v>537.29368823845118</v>
      </c>
      <c r="DS135" s="60">
        <f t="shared" si="125"/>
        <v>830.62702157178455</v>
      </c>
      <c r="DT135" s="60">
        <f ca="1">AVERAGE(OFFSET($DS$3,0,0,'Données projet'!$E$14+1,1))-AVERAGE(OFFSET($H$3,0,0,'Données projet'!$E$14+1,1))</f>
        <v>303.73499739059076</v>
      </c>
      <c r="DU135" s="60">
        <f t="shared" si="152"/>
        <v>172.32171001882188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1.1368683772161603E-13</v>
      </c>
      <c r="EK135" s="18">
        <f>EJ135*VLOOKUP('Données projet'!$B$15,Paramètres!$A$1:$I$89,3,0)*VLOOKUP('Données projet'!$B$15,Paramètres!$A$1:$I$89,5,0)</f>
        <v>6.7984728957526396E-14</v>
      </c>
      <c r="EL135" s="14">
        <f t="shared" si="153"/>
        <v>1.0682447123141398E-12</v>
      </c>
      <c r="EM135" s="22">
        <f t="shared" si="127"/>
        <v>1.978932943548152E-12</v>
      </c>
      <c r="EN135" s="60">
        <f t="shared" si="128"/>
        <v>293.3333333333353</v>
      </c>
      <c r="EO135" s="60">
        <f ca="1">AVERAGE(OFFSET($EN$3,0,0,'Données projet'!$E$15+1,1))-AVERAGE(OFFSET($H$3,0,0,'Données projet'!$E$15+1,1))</f>
        <v>269.94948820700841</v>
      </c>
      <c r="EP135" s="60">
        <f t="shared" si="154"/>
        <v>183.45158355135192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0.80738375006694219</v>
      </c>
      <c r="EX135" s="23">
        <f>EXP(-LN(2)/2)*EX134+(1-EXP(-LN(2)/2))/(LN(2)/2)*ER135*EU135*VLOOKUP('Données projet'!$B$15,Paramètres!$A$1:$I$89,3,0)*0.475*44/12</f>
        <v>2.503789036314696E-15</v>
      </c>
      <c r="EY135" s="24">
        <f t="shared" si="129"/>
        <v>0.80738375006694474</v>
      </c>
      <c r="EZ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>
        <f>FE135*VLOOKUP('Données projet'!$B$16,Paramètres!$A$1:$I$89,3,0)*VLOOKUP('Données projet'!$B$16,Paramètres!$A$1:$I$89,5,0)</f>
        <v>0</v>
      </c>
      <c r="FG135" s="14" t="e">
        <f t="shared" si="155"/>
        <v>#NUM!</v>
      </c>
      <c r="FH135" s="22" t="e">
        <f t="shared" si="130"/>
        <v>#NUM!</v>
      </c>
      <c r="FI135" s="60" t="e">
        <f t="shared" si="131"/>
        <v>#NUM!</v>
      </c>
      <c r="FJ135" s="60">
        <f ca="1">AVERAGE(OFFSET($FI$3,0,0,'Données projet'!$E$16+1,1))-AVERAGE(OFFSET($H$3,0,0,'Données projet'!$E$16+1,1))</f>
        <v>111.24788725253484</v>
      </c>
      <c r="FK135" s="60">
        <f t="shared" si="156"/>
        <v>82.434879813357327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projet'!$B$16,Paramètres!$A$1:$I$89,3,0)*0.475*44/12</f>
        <v>0</v>
      </c>
      <c r="FR135" s="23">
        <f>EXP(-LN(2)/25)*FR134+(1-EXP(-LN(2)/25))/(LN(2)/25)*Calculateur!FM135*Calculateur!FO135*VLOOKUP('Données projet'!$B$16,Paramètres!$A$1:$I$89,3,0)*0.475*44/12</f>
        <v>0</v>
      </c>
      <c r="FS135" s="23">
        <f>EXP(-LN(2)/2)*FS134+(1-EXP(-LN(2)/2))/(LN(2)/2)*FM135*FP135*VLOOKUP('Données projet'!$B$16,Paramètres!$A$1:$I$89,3,0)*0.475*44/12</f>
        <v>0</v>
      </c>
      <c r="FT135" s="24">
        <f t="shared" si="132"/>
        <v>0</v>
      </c>
      <c r="FU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1.0231815394945443E-12</v>
      </c>
      <c r="GA135" s="18">
        <f>FZ135*VLOOKUP('Données projet'!$B$17,Paramètres!$A$1:$I$89,3,0)*VLOOKUP('Données projet'!$B$17,Paramètres!$A$1:$I$89,5,0)</f>
        <v>4.5224624045658859E-13</v>
      </c>
      <c r="GB135" s="14">
        <f t="shared" si="157"/>
        <v>5.6995607121061449E-12</v>
      </c>
      <c r="GC135" s="22">
        <f t="shared" si="133"/>
        <v>1.0714397109046761E-11</v>
      </c>
      <c r="GD135" s="60">
        <f t="shared" si="134"/>
        <v>293.333333333344</v>
      </c>
      <c r="GE135" s="60">
        <f ca="1">AVERAGE(OFFSET($GD$3,0,0,'Données projet'!$E$17+1,1))-AVERAGE(OFFSET($H$3,0,0,'Données projet'!$E$17+1,1))</f>
        <v>323.56667371063662</v>
      </c>
      <c r="GF135" s="60">
        <f t="shared" si="158"/>
        <v>275.70373467723385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>
        <f>EXP(-LN(2)/35)*GL134+(1-EXP(-LN(2)/35))/(LN(2)/35)*GH135*GI135*VLOOKUP('Données projet'!$B$17,Paramètres!$A$1:$I$89,3,0)*0.475*44/12</f>
        <v>0</v>
      </c>
      <c r="GM135" s="23">
        <f>EXP(-LN(2)/25)*GM134+(1-EXP(-LN(2)/25))/(LN(2)/25)*Calculateur!GH135*Calculateur!GJ135*VLOOKUP('Données projet'!$B$17,Paramètres!$A$1:$I$89,3,0)*0.475*44/12</f>
        <v>0</v>
      </c>
      <c r="GN135" s="23">
        <f>EXP(-LN(2)/2)*GN134+(1-EXP(-LN(2)/2))/(LN(2)/2)*GH135*GK135*VLOOKUP('Données projet'!$B$17,Paramètres!$A$1:$I$89,3,0)*0.475*44/12</f>
        <v>0</v>
      </c>
      <c r="GO135" s="23">
        <f t="shared" si="135"/>
        <v>0</v>
      </c>
      <c r="GP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0" t="e">
        <f t="shared" si="137"/>
        <v>#N/A</v>
      </c>
      <c r="GZ135" s="60" t="e">
        <f ca="1">AVERAGE(OFFSET($GY$3,0,0,'Données projet'!$E$18+1,1))-AVERAGE(OFFSET($H$3,0,0,'Données projet'!$E$18+1,1))</f>
        <v>#N/A</v>
      </c>
      <c r="HA135" s="60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4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2">
        <f t="shared" si="140"/>
        <v>20.322203405798462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-1.1368683772161603E-13</v>
      </c>
      <c r="O136" s="14">
        <f>N136*VLOOKUP('Données projet'!$B$9,Paramètres!$A$1:$I$89,3,0)*VLOOKUP('Données projet'!$B$9,Paramètres!$A$1:$I$89,5,0)</f>
        <v>-6.7984728957526396E-14</v>
      </c>
      <c r="P136" s="14" t="e">
        <f t="shared" si="141"/>
        <v>#NUM!</v>
      </c>
      <c r="Q136" s="22" t="e">
        <f t="shared" si="108"/>
        <v>#NUM!</v>
      </c>
      <c r="R136" s="60" t="e">
        <f t="shared" si="109"/>
        <v>#NUM!</v>
      </c>
      <c r="S136" s="60">
        <f ca="1">AVERAGE(OFFSET($R$3,0,0,'Données projet'!$E$9+1,1))-AVERAGE(OFFSET($H$3,0,0,'Données projet'!$E$9+1,1))</f>
        <v>235.63766249714581</v>
      </c>
      <c r="T136" s="60">
        <f t="shared" si="142"/>
        <v>231.3297293785277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1.4921581842067444</v>
      </c>
      <c r="AA136" s="23">
        <f>EXP(-LN(2)/25)*AA135+(1-EXP(-LN(2)/25))/(LN(2)/25)*Calculateur!V136*Calculateur!X136*VLOOKUP('Données projet'!$B$9,Paramètres!$A$1:$I$89,3,0)*0.475*44/12</f>
        <v>0.99431752734369117</v>
      </c>
      <c r="AB136" s="23">
        <f>EXP(-LN(2)/2)*AB135+(1-EXP(-LN(2)/2))/(LN(2)/2)*V136*Y136*VLOOKUP('Données projet'!$B$9,Paramètres!$A$1:$I$89,3,0)*0.475*44/12</f>
        <v>2.2334352078127056E-15</v>
      </c>
      <c r="AC136" s="24">
        <f t="shared" si="111"/>
        <v>2.4864757115504377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2.7</v>
      </c>
      <c r="AI136" s="14">
        <f>IF('Données projet'!$A$62&gt;35,AI135+AH136-AQ135,IF(A136&lt;'Données projet'!$A$62,$AF$205^A136,IF(A136='Données projet'!$A$62,'Données projet'!$B$62,AI135+AH136-AQ135)))</f>
        <v>277.09999999999934</v>
      </c>
      <c r="AJ136" s="14">
        <f>AI136*VLOOKUP('Données projet'!$B$10,Paramètres!$A$1:$I$89,3,0)*VLOOKUP('Données projet'!$B$10,Paramètres!$A$1:$I$89,5,0)</f>
        <v>280.97939999999937</v>
      </c>
      <c r="AK136" s="14">
        <f t="shared" si="143"/>
        <v>67.173942175199301</v>
      </c>
      <c r="AL136" s="22">
        <f t="shared" si="112"/>
        <v>606.36707095513759</v>
      </c>
      <c r="AM136" s="60">
        <f t="shared" si="113"/>
        <v>899.70040428847096</v>
      </c>
      <c r="AN136" s="60">
        <f ca="1">AVERAGE(OFFSET($AM$3,0,0,'Données projet'!$E$10+1,1))-AVERAGE(OFFSET($H$3,0,0,'Données projet'!$E$10+1,1))</f>
        <v>350.3652766444938</v>
      </c>
      <c r="AO136" s="60">
        <f t="shared" si="144"/>
        <v>197.04549436738586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6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2.7</v>
      </c>
      <c r="BD136" s="13">
        <f>IF('Données projet'!$A$88&gt;35,BD135+BC136-BL135,IF(A136&lt;'Données projet'!$A$88,$BA$205^A136,IF(A136='Données projet'!$A$88,'Données projet'!$B$88,BD135+BC136-BL135)))</f>
        <v>277.09999999999934</v>
      </c>
      <c r="BE136" s="14">
        <f>BD136*VLOOKUP('Données projet'!$B$11,Paramètres!$A$1:$I$89,3,0)*VLOOKUP('Données projet'!$B$11,Paramètres!$A$1:$I$89,5,0)</f>
        <v>268.01111999999938</v>
      </c>
      <c r="BF136" s="14">
        <f t="shared" si="145"/>
        <v>64.426997301716739</v>
      </c>
      <c r="BG136" s="22">
        <f t="shared" si="115"/>
        <v>578.99638763382234</v>
      </c>
      <c r="BH136" s="60">
        <f t="shared" si="116"/>
        <v>872.32972096715571</v>
      </c>
      <c r="BI136" s="60">
        <f ca="1">AVERAGE(OFFSET($BH$3,0,0,'Données projet'!$E$11+1,1))-AVERAGE(OFFSET($H$3,0,0,'Données projet'!$E$11+1,1))</f>
        <v>330.39429528665841</v>
      </c>
      <c r="BJ136" s="60">
        <f t="shared" si="146"/>
        <v>186.45728006007261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1.7053025658242404E-13</v>
      </c>
      <c r="BZ136" s="14">
        <f>BY136*VLOOKUP('Données projet'!$B$12,Paramètres!$A$1:$I$89,3,0)*VLOOKUP('Données projet'!$B$12,Paramètres!$A$1:$I$89,5,0)</f>
        <v>1.1439169611549005E-13</v>
      </c>
      <c r="CA136" s="14">
        <f t="shared" si="147"/>
        <v>1.6918016515029816E-12</v>
      </c>
      <c r="CB136" s="22">
        <f t="shared" si="118"/>
        <v>3.1457867471021712E-12</v>
      </c>
      <c r="CC136" s="60">
        <f t="shared" si="119"/>
        <v>293.33333333333644</v>
      </c>
      <c r="CD136" s="60">
        <f ca="1">AVERAGE(OFFSET($CC$3,0,0,'Données projet'!$E$12+1,1))-AVERAGE(OFFSET($H$3,0,0,'Données projet'!$E$12+1,1))</f>
        <v>212.33913923444732</v>
      </c>
      <c r="CE136" s="60">
        <f t="shared" si="148"/>
        <v>183.51194426094372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-3.979039320256561E-13</v>
      </c>
      <c r="CU136" s="18">
        <f>CT136*VLOOKUP('Données projet'!$B$13,Paramètres!$A$1:$I$89,3,0)*VLOOKUP('Données projet'!$B$13,Paramètres!$A$1:$I$89,5,0)</f>
        <v>-3.4760887501761321E-13</v>
      </c>
      <c r="CV136" s="14" t="e">
        <f t="shared" si="149"/>
        <v>#NUM!</v>
      </c>
      <c r="CW136" s="22" t="e">
        <f t="shared" si="121"/>
        <v>#NUM!</v>
      </c>
      <c r="CX136" s="60" t="e">
        <f t="shared" si="122"/>
        <v>#NUM!</v>
      </c>
      <c r="CY136" s="60">
        <f ca="1">AVERAGE(OFFSET($CX$3,0,0,'Données projet'!$E$13+1,1))-AVERAGE(OFFSET($H$3,0,0,'Données projet'!$E$13+1,1))</f>
        <v>228.0393346366489</v>
      </c>
      <c r="CZ136" s="60">
        <f t="shared" si="150"/>
        <v>238.591781509447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2.7</v>
      </c>
      <c r="DO136" s="13">
        <f>IF('Données projet'!$A$166&gt;35,DO135+DN136-DW135,IF(A136&lt;'Données projet'!$A$166,$DL$205^A136,IF(A136='Données projet'!$A$166,'Données projet'!$B$166,DO135+DN136-DW135)))</f>
        <v>277.09999999999934</v>
      </c>
      <c r="DP136" s="18">
        <f>DO136*VLOOKUP('Données projet'!$B$14,Paramètres!$A$1:$I$89,3,0)*VLOOKUP('Données projet'!$B$14,Paramètres!$A$1:$I$89,5,0)</f>
        <v>250.72007999999943</v>
      </c>
      <c r="DQ136" s="14">
        <f t="shared" si="151"/>
        <v>60.740109326032709</v>
      </c>
      <c r="DR136" s="22">
        <f t="shared" si="124"/>
        <v>542.45982974283925</v>
      </c>
      <c r="DS136" s="60">
        <f t="shared" si="125"/>
        <v>835.7931630761725</v>
      </c>
      <c r="DT136" s="60">
        <f ca="1">AVERAGE(OFFSET($DS$3,0,0,'Données projet'!$E$14+1,1))-AVERAGE(OFFSET($H$3,0,0,'Données projet'!$E$14+1,1))</f>
        <v>303.73499739059076</v>
      </c>
      <c r="DU136" s="60">
        <f t="shared" si="152"/>
        <v>172.32171001882188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1.1368683772161603E-13</v>
      </c>
      <c r="EK136" s="18">
        <f>EJ136*VLOOKUP('Données projet'!$B$15,Paramètres!$A$1:$I$89,3,0)*VLOOKUP('Données projet'!$B$15,Paramètres!$A$1:$I$89,5,0)</f>
        <v>6.7984728957526396E-14</v>
      </c>
      <c r="EL136" s="14">
        <f t="shared" si="153"/>
        <v>1.0682447123141398E-12</v>
      </c>
      <c r="EM136" s="22">
        <f t="shared" si="127"/>
        <v>1.978932943548152E-12</v>
      </c>
      <c r="EN136" s="60">
        <f t="shared" si="128"/>
        <v>293.3333333333353</v>
      </c>
      <c r="EO136" s="60">
        <f ca="1">AVERAGE(OFFSET($EN$3,0,0,'Données projet'!$E$15+1,1))-AVERAGE(OFFSET($H$3,0,0,'Données projet'!$E$15+1,1))</f>
        <v>269.94948820700841</v>
      </c>
      <c r="EP136" s="60">
        <f t="shared" si="154"/>
        <v>183.45158355135192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0.78530579896289554</v>
      </c>
      <c r="EX136" s="23">
        <f>EXP(-LN(2)/2)*EX135+(1-EXP(-LN(2)/2))/(LN(2)/2)*ER136*EU136*VLOOKUP('Données projet'!$B$15,Paramètres!$A$1:$I$89,3,0)*0.475*44/12</f>
        <v>1.7704462062386525E-15</v>
      </c>
      <c r="EY136" s="24">
        <f t="shared" si="129"/>
        <v>0.78530579896289732</v>
      </c>
      <c r="EZ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>
        <f>FE136*VLOOKUP('Données projet'!$B$16,Paramètres!$A$1:$I$89,3,0)*VLOOKUP('Données projet'!$B$16,Paramètres!$A$1:$I$89,5,0)</f>
        <v>0</v>
      </c>
      <c r="FG136" s="14" t="e">
        <f t="shared" si="155"/>
        <v>#NUM!</v>
      </c>
      <c r="FH136" s="22" t="e">
        <f t="shared" si="130"/>
        <v>#NUM!</v>
      </c>
      <c r="FI136" s="60" t="e">
        <f t="shared" si="131"/>
        <v>#NUM!</v>
      </c>
      <c r="FJ136" s="60">
        <f ca="1">AVERAGE(OFFSET($FI$3,0,0,'Données projet'!$E$16+1,1))-AVERAGE(OFFSET($H$3,0,0,'Données projet'!$E$16+1,1))</f>
        <v>111.24788725253484</v>
      </c>
      <c r="FK136" s="60">
        <f t="shared" si="156"/>
        <v>82.434879813357327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projet'!$B$16,Paramètres!$A$1:$I$89,3,0)*0.475*44/12</f>
        <v>0</v>
      </c>
      <c r="FR136" s="23">
        <f>EXP(-LN(2)/25)*FR135+(1-EXP(-LN(2)/25))/(LN(2)/25)*Calculateur!FM136*Calculateur!FO136*VLOOKUP('Données projet'!$B$16,Paramètres!$A$1:$I$89,3,0)*0.475*44/12</f>
        <v>0</v>
      </c>
      <c r="FS136" s="23">
        <f>EXP(-LN(2)/2)*FS135+(1-EXP(-LN(2)/2))/(LN(2)/2)*FM136*FP136*VLOOKUP('Données projet'!$B$16,Paramètres!$A$1:$I$89,3,0)*0.475*44/12</f>
        <v>0</v>
      </c>
      <c r="FT136" s="24">
        <f t="shared" si="132"/>
        <v>0</v>
      </c>
      <c r="FU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1.0231815394945443E-12</v>
      </c>
      <c r="GA136" s="18">
        <f>FZ136*VLOOKUP('Données projet'!$B$17,Paramètres!$A$1:$I$89,3,0)*VLOOKUP('Données projet'!$B$17,Paramètres!$A$1:$I$89,5,0)</f>
        <v>4.5224624045658859E-13</v>
      </c>
      <c r="GB136" s="14">
        <f t="shared" si="157"/>
        <v>5.6995607121061449E-12</v>
      </c>
      <c r="GC136" s="22">
        <f t="shared" si="133"/>
        <v>1.0714397109046761E-11</v>
      </c>
      <c r="GD136" s="60">
        <f t="shared" si="134"/>
        <v>293.333333333344</v>
      </c>
      <c r="GE136" s="60">
        <f ca="1">AVERAGE(OFFSET($GD$3,0,0,'Données projet'!$E$17+1,1))-AVERAGE(OFFSET($H$3,0,0,'Données projet'!$E$17+1,1))</f>
        <v>323.56667371063662</v>
      </c>
      <c r="GF136" s="60">
        <f t="shared" si="158"/>
        <v>275.70373467723385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>
        <f>EXP(-LN(2)/35)*GL135+(1-EXP(-LN(2)/35))/(LN(2)/35)*GH136*GI136*VLOOKUP('Données projet'!$B$17,Paramètres!$A$1:$I$89,3,0)*0.475*44/12</f>
        <v>0</v>
      </c>
      <c r="GM136" s="23">
        <f>EXP(-LN(2)/25)*GM135+(1-EXP(-LN(2)/25))/(LN(2)/25)*Calculateur!GH136*Calculateur!GJ136*VLOOKUP('Données projet'!$B$17,Paramètres!$A$1:$I$89,3,0)*0.475*44/12</f>
        <v>0</v>
      </c>
      <c r="GN136" s="23">
        <f>EXP(-LN(2)/2)*GN135+(1-EXP(-LN(2)/2))/(LN(2)/2)*GH136*GK136*VLOOKUP('Données projet'!$B$17,Paramètres!$A$1:$I$89,3,0)*0.475*44/12</f>
        <v>0</v>
      </c>
      <c r="GO136" s="23">
        <f t="shared" si="135"/>
        <v>0</v>
      </c>
      <c r="GP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0" t="e">
        <f t="shared" si="137"/>
        <v>#N/A</v>
      </c>
      <c r="GZ136" s="60" t="e">
        <f ca="1">AVERAGE(OFFSET($GY$3,0,0,'Données projet'!$E$18+1,1))-AVERAGE(OFFSET($H$3,0,0,'Données projet'!$E$18+1,1))</f>
        <v>#N/A</v>
      </c>
      <c r="HA136" s="60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4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2">
        <f t="shared" si="140"/>
        <v>20.457157263578868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-1.1368683772161603E-13</v>
      </c>
      <c r="O137" s="14">
        <f>N137*VLOOKUP('Données projet'!$B$9,Paramètres!$A$1:$I$89,3,0)*VLOOKUP('Données projet'!$B$9,Paramètres!$A$1:$I$89,5,0)</f>
        <v>-6.7984728957526396E-14</v>
      </c>
      <c r="P137" s="14" t="e">
        <f t="shared" si="141"/>
        <v>#NUM!</v>
      </c>
      <c r="Q137" s="22" t="e">
        <f t="shared" si="108"/>
        <v>#NUM!</v>
      </c>
      <c r="R137" s="60" t="e">
        <f t="shared" si="109"/>
        <v>#NUM!</v>
      </c>
      <c r="S137" s="60">
        <f ca="1">AVERAGE(OFFSET($R$3,0,0,'Données projet'!$E$9+1,1))-AVERAGE(OFFSET($H$3,0,0,'Données projet'!$E$9+1,1))</f>
        <v>235.63766249714581</v>
      </c>
      <c r="T137" s="60">
        <f t="shared" si="142"/>
        <v>231.3297293785277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1.462897872341075</v>
      </c>
      <c r="AA137" s="23">
        <f>EXP(-LN(2)/25)*AA136+(1-EXP(-LN(2)/25))/(LN(2)/25)*Calculateur!V137*Calculateur!X137*VLOOKUP('Données projet'!$B$9,Paramètres!$A$1:$I$89,3,0)*0.475*44/12</f>
        <v>0.96712786226959169</v>
      </c>
      <c r="AB137" s="23">
        <f>EXP(-LN(2)/2)*AB136+(1-EXP(-LN(2)/2))/(LN(2)/2)*V137*Y137*VLOOKUP('Données projet'!$B$9,Paramètres!$A$1:$I$89,3,0)*0.475*44/12</f>
        <v>1.5792771807851501E-15</v>
      </c>
      <c r="AC137" s="24">
        <f t="shared" si="111"/>
        <v>2.4300257346106684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2.7</v>
      </c>
      <c r="AI137" s="14">
        <f>IF('Données projet'!$A$62&gt;35,AI136+AH137-AQ136,IF(A137&lt;'Données projet'!$A$62,$AF$205^A137,IF(A137='Données projet'!$A$62,'Données projet'!$B$62,AI136+AH137-AQ136)))</f>
        <v>279.79999999999933</v>
      </c>
      <c r="AJ137" s="14">
        <f>AI137*VLOOKUP('Données projet'!$B$10,Paramètres!$A$1:$I$89,3,0)*VLOOKUP('Données projet'!$B$10,Paramètres!$A$1:$I$89,5,0)</f>
        <v>283.71719999999937</v>
      </c>
      <c r="AK137" s="14">
        <f t="shared" si="143"/>
        <v>67.751956122170526</v>
      </c>
      <c r="AL137" s="22">
        <f t="shared" si="112"/>
        <v>612.14211357944589</v>
      </c>
      <c r="AM137" s="60">
        <f t="shared" si="113"/>
        <v>905.47544691277926</v>
      </c>
      <c r="AN137" s="60">
        <f ca="1">AVERAGE(OFFSET($AM$3,0,0,'Données projet'!$E$10+1,1))-AVERAGE(OFFSET($H$3,0,0,'Données projet'!$E$10+1,1))</f>
        <v>350.3652766444938</v>
      </c>
      <c r="AO137" s="60">
        <f t="shared" si="144"/>
        <v>197.04549436738586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6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2.7</v>
      </c>
      <c r="BD137" s="13">
        <f>IF('Données projet'!$A$88&gt;35,BD136+BC137-BL136,IF(A137&lt;'Données projet'!$A$88,$BA$205^A137,IF(A137='Données projet'!$A$88,'Données projet'!$B$88,BD136+BC137-BL136)))</f>
        <v>279.79999999999933</v>
      </c>
      <c r="BE137" s="14">
        <f>BD137*VLOOKUP('Données projet'!$B$11,Paramètres!$A$1:$I$89,3,0)*VLOOKUP('Données projet'!$B$11,Paramètres!$A$1:$I$89,5,0)</f>
        <v>270.62255999999934</v>
      </c>
      <c r="BF137" s="14">
        <f t="shared" si="145"/>
        <v>64.981374516987898</v>
      </c>
      <c r="BG137" s="22">
        <f t="shared" si="115"/>
        <v>584.51018595041944</v>
      </c>
      <c r="BH137" s="60">
        <f t="shared" si="116"/>
        <v>877.84351928375281</v>
      </c>
      <c r="BI137" s="60">
        <f ca="1">AVERAGE(OFFSET($BH$3,0,0,'Données projet'!$E$11+1,1))-AVERAGE(OFFSET($H$3,0,0,'Données projet'!$E$11+1,1))</f>
        <v>330.39429528665841</v>
      </c>
      <c r="BJ137" s="60">
        <f t="shared" si="146"/>
        <v>186.45728006007261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1.7053025658242404E-13</v>
      </c>
      <c r="BZ137" s="14">
        <f>BY137*VLOOKUP('Données projet'!$B$12,Paramètres!$A$1:$I$89,3,0)*VLOOKUP('Données projet'!$B$12,Paramètres!$A$1:$I$89,5,0)</f>
        <v>1.1439169611549005E-13</v>
      </c>
      <c r="CA137" s="14">
        <f t="shared" si="147"/>
        <v>1.6918016515029816E-12</v>
      </c>
      <c r="CB137" s="22">
        <f t="shared" si="118"/>
        <v>3.1457867471021712E-12</v>
      </c>
      <c r="CC137" s="60">
        <f t="shared" si="119"/>
        <v>293.33333333333644</v>
      </c>
      <c r="CD137" s="60">
        <f ca="1">AVERAGE(OFFSET($CC$3,0,0,'Données projet'!$E$12+1,1))-AVERAGE(OFFSET($H$3,0,0,'Données projet'!$E$12+1,1))</f>
        <v>212.33913923444732</v>
      </c>
      <c r="CE137" s="60">
        <f t="shared" si="148"/>
        <v>183.51194426094372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-3.979039320256561E-13</v>
      </c>
      <c r="CU137" s="18">
        <f>CT137*VLOOKUP('Données projet'!$B$13,Paramètres!$A$1:$I$89,3,0)*VLOOKUP('Données projet'!$B$13,Paramètres!$A$1:$I$89,5,0)</f>
        <v>-3.4760887501761321E-13</v>
      </c>
      <c r="CV137" s="14" t="e">
        <f t="shared" si="149"/>
        <v>#NUM!</v>
      </c>
      <c r="CW137" s="22" t="e">
        <f t="shared" si="121"/>
        <v>#NUM!</v>
      </c>
      <c r="CX137" s="60" t="e">
        <f t="shared" si="122"/>
        <v>#NUM!</v>
      </c>
      <c r="CY137" s="60">
        <f ca="1">AVERAGE(OFFSET($CX$3,0,0,'Données projet'!$E$13+1,1))-AVERAGE(OFFSET($H$3,0,0,'Données projet'!$E$13+1,1))</f>
        <v>228.0393346366489</v>
      </c>
      <c r="CZ137" s="60">
        <f t="shared" si="150"/>
        <v>238.591781509447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2.7</v>
      </c>
      <c r="DO137" s="13">
        <f>IF('Données projet'!$A$166&gt;35,DO136+DN137-DW136,IF(A137&lt;'Données projet'!$A$166,$DL$205^A137,IF(A137='Données projet'!$A$166,'Données projet'!$B$166,DO136+DN137-DW136)))</f>
        <v>279.79999999999933</v>
      </c>
      <c r="DP137" s="18">
        <f>DO137*VLOOKUP('Données projet'!$B$14,Paramètres!$A$1:$I$89,3,0)*VLOOKUP('Données projet'!$B$14,Paramètres!$A$1:$I$89,5,0)</f>
        <v>253.16303999999937</v>
      </c>
      <c r="DQ137" s="14">
        <f t="shared" si="151"/>
        <v>61.262761848634923</v>
      </c>
      <c r="DR137" s="22">
        <f t="shared" si="124"/>
        <v>547.62493821970475</v>
      </c>
      <c r="DS137" s="60">
        <f t="shared" si="125"/>
        <v>840.958271553038</v>
      </c>
      <c r="DT137" s="60">
        <f ca="1">AVERAGE(OFFSET($DS$3,0,0,'Données projet'!$E$14+1,1))-AVERAGE(OFFSET($H$3,0,0,'Données projet'!$E$14+1,1))</f>
        <v>303.73499739059076</v>
      </c>
      <c r="DU137" s="60">
        <f t="shared" si="152"/>
        <v>172.32171001882188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1.1368683772161603E-13</v>
      </c>
      <c r="EK137" s="18">
        <f>EJ137*VLOOKUP('Données projet'!$B$15,Paramètres!$A$1:$I$89,3,0)*VLOOKUP('Données projet'!$B$15,Paramètres!$A$1:$I$89,5,0)</f>
        <v>6.7984728957526396E-14</v>
      </c>
      <c r="EL137" s="14">
        <f t="shared" si="153"/>
        <v>1.0682447123141398E-12</v>
      </c>
      <c r="EM137" s="22">
        <f t="shared" si="127"/>
        <v>1.978932943548152E-12</v>
      </c>
      <c r="EN137" s="60">
        <f t="shared" si="128"/>
        <v>293.3333333333353</v>
      </c>
      <c r="EO137" s="60">
        <f ca="1">AVERAGE(OFFSET($EN$3,0,0,'Données projet'!$E$15+1,1))-AVERAGE(OFFSET($H$3,0,0,'Données projet'!$E$15+1,1))</f>
        <v>269.94948820700841</v>
      </c>
      <c r="EP137" s="60">
        <f t="shared" si="154"/>
        <v>183.45158355135192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0.76383157059281803</v>
      </c>
      <c r="EX137" s="23">
        <f>EXP(-LN(2)/2)*EX136+(1-EXP(-LN(2)/2))/(LN(2)/2)*ER137*EU137*VLOOKUP('Données projet'!$B$15,Paramètres!$A$1:$I$89,3,0)*0.475*44/12</f>
        <v>1.2518945181573482E-15</v>
      </c>
      <c r="EY137" s="24">
        <f t="shared" si="129"/>
        <v>0.76383157059281925</v>
      </c>
      <c r="EZ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>
        <f>FE137*VLOOKUP('Données projet'!$B$16,Paramètres!$A$1:$I$89,3,0)*VLOOKUP('Données projet'!$B$16,Paramètres!$A$1:$I$89,5,0)</f>
        <v>0</v>
      </c>
      <c r="FG137" s="14" t="e">
        <f t="shared" si="155"/>
        <v>#NUM!</v>
      </c>
      <c r="FH137" s="22" t="e">
        <f t="shared" si="130"/>
        <v>#NUM!</v>
      </c>
      <c r="FI137" s="60" t="e">
        <f t="shared" si="131"/>
        <v>#NUM!</v>
      </c>
      <c r="FJ137" s="60">
        <f ca="1">AVERAGE(OFFSET($FI$3,0,0,'Données projet'!$E$16+1,1))-AVERAGE(OFFSET($H$3,0,0,'Données projet'!$E$16+1,1))</f>
        <v>111.24788725253484</v>
      </c>
      <c r="FK137" s="60">
        <f t="shared" si="156"/>
        <v>82.434879813357327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projet'!$B$16,Paramètres!$A$1:$I$89,3,0)*0.475*44/12</f>
        <v>0</v>
      </c>
      <c r="FR137" s="23">
        <f>EXP(-LN(2)/25)*FR136+(1-EXP(-LN(2)/25))/(LN(2)/25)*Calculateur!FM137*Calculateur!FO137*VLOOKUP('Données projet'!$B$16,Paramètres!$A$1:$I$89,3,0)*0.475*44/12</f>
        <v>0</v>
      </c>
      <c r="FS137" s="23">
        <f>EXP(-LN(2)/2)*FS136+(1-EXP(-LN(2)/2))/(LN(2)/2)*FM137*FP137*VLOOKUP('Données projet'!$B$16,Paramètres!$A$1:$I$89,3,0)*0.475*44/12</f>
        <v>0</v>
      </c>
      <c r="FT137" s="24">
        <f t="shared" si="132"/>
        <v>0</v>
      </c>
      <c r="FU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1.0231815394945443E-12</v>
      </c>
      <c r="GA137" s="18">
        <f>FZ137*VLOOKUP('Données projet'!$B$17,Paramètres!$A$1:$I$89,3,0)*VLOOKUP('Données projet'!$B$17,Paramètres!$A$1:$I$89,5,0)</f>
        <v>4.5224624045658859E-13</v>
      </c>
      <c r="GB137" s="14">
        <f t="shared" si="157"/>
        <v>5.6995607121061449E-12</v>
      </c>
      <c r="GC137" s="22">
        <f t="shared" si="133"/>
        <v>1.0714397109046761E-11</v>
      </c>
      <c r="GD137" s="60">
        <f t="shared" si="134"/>
        <v>293.333333333344</v>
      </c>
      <c r="GE137" s="60">
        <f ca="1">AVERAGE(OFFSET($GD$3,0,0,'Données projet'!$E$17+1,1))-AVERAGE(OFFSET($H$3,0,0,'Données projet'!$E$17+1,1))</f>
        <v>323.56667371063662</v>
      </c>
      <c r="GF137" s="60">
        <f t="shared" si="158"/>
        <v>275.70373467723385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>
        <f>EXP(-LN(2)/35)*GL136+(1-EXP(-LN(2)/35))/(LN(2)/35)*GH137*GI137*VLOOKUP('Données projet'!$B$17,Paramètres!$A$1:$I$89,3,0)*0.475*44/12</f>
        <v>0</v>
      </c>
      <c r="GM137" s="23">
        <f>EXP(-LN(2)/25)*GM136+(1-EXP(-LN(2)/25))/(LN(2)/25)*Calculateur!GH137*Calculateur!GJ137*VLOOKUP('Données projet'!$B$17,Paramètres!$A$1:$I$89,3,0)*0.475*44/12</f>
        <v>0</v>
      </c>
      <c r="GN137" s="23">
        <f>EXP(-LN(2)/2)*GN136+(1-EXP(-LN(2)/2))/(LN(2)/2)*GH137*GK137*VLOOKUP('Données projet'!$B$17,Paramètres!$A$1:$I$89,3,0)*0.475*44/12</f>
        <v>0</v>
      </c>
      <c r="GO137" s="23">
        <f t="shared" si="135"/>
        <v>0</v>
      </c>
      <c r="GP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0" t="e">
        <f t="shared" si="137"/>
        <v>#N/A</v>
      </c>
      <c r="GZ137" s="60" t="e">
        <f ca="1">AVERAGE(OFFSET($GY$3,0,0,'Données projet'!$E$18+1,1))-AVERAGE(OFFSET($H$3,0,0,'Données projet'!$E$18+1,1))</f>
        <v>#N/A</v>
      </c>
      <c r="HA137" s="60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4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2">
        <f t="shared" si="140"/>
        <v>20.591993942534774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-1.1368683772161603E-13</v>
      </c>
      <c r="O138" s="14">
        <f>N138*VLOOKUP('Données projet'!$B$9,Paramètres!$A$1:$I$89,3,0)*VLOOKUP('Données projet'!$B$9,Paramètres!$A$1:$I$89,5,0)</f>
        <v>-6.7984728957526396E-14</v>
      </c>
      <c r="P138" s="14" t="e">
        <f t="shared" si="141"/>
        <v>#NUM!</v>
      </c>
      <c r="Q138" s="22" t="e">
        <f t="shared" si="108"/>
        <v>#NUM!</v>
      </c>
      <c r="R138" s="60" t="e">
        <f t="shared" si="109"/>
        <v>#NUM!</v>
      </c>
      <c r="S138" s="60">
        <f ca="1">AVERAGE(OFFSET($R$3,0,0,'Données projet'!$E$9+1,1))-AVERAGE(OFFSET($H$3,0,0,'Données projet'!$E$9+1,1))</f>
        <v>235.63766249714581</v>
      </c>
      <c r="T138" s="60">
        <f t="shared" si="142"/>
        <v>231.3297293785277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1.4342113373440635</v>
      </c>
      <c r="AA138" s="23">
        <f>EXP(-LN(2)/25)*AA137+(1-EXP(-LN(2)/25))/(LN(2)/25)*Calculateur!V138*Calculateur!X138*VLOOKUP('Données projet'!$B$9,Paramètres!$A$1:$I$89,3,0)*0.475*44/12</f>
        <v>0.94068170001678586</v>
      </c>
      <c r="AB138" s="23">
        <f>EXP(-LN(2)/2)*AB137+(1-EXP(-LN(2)/2))/(LN(2)/2)*V138*Y138*VLOOKUP('Données projet'!$B$9,Paramètres!$A$1:$I$89,3,0)*0.475*44/12</f>
        <v>1.1167176039063528E-15</v>
      </c>
      <c r="AC138" s="24">
        <f t="shared" si="111"/>
        <v>2.3748930373608506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2.7</v>
      </c>
      <c r="AI138" s="14">
        <f>IF('Données projet'!$A$62&gt;35,AI137+AH138-AQ137,IF(A138&lt;'Données projet'!$A$62,$AF$205^A138,IF(A138='Données projet'!$A$62,'Données projet'!$B$62,AI137+AH138-AQ137)))</f>
        <v>282.49999999999932</v>
      </c>
      <c r="AJ138" s="14">
        <f>AI138*VLOOKUP('Données projet'!$B$10,Paramètres!$A$1:$I$89,3,0)*VLOOKUP('Données projet'!$B$10,Paramètres!$A$1:$I$89,5,0)</f>
        <v>286.45499999999936</v>
      </c>
      <c r="AK138" s="14">
        <f t="shared" si="143"/>
        <v>68.329321179865531</v>
      </c>
      <c r="AL138" s="22">
        <f t="shared" si="112"/>
        <v>617.91602605493142</v>
      </c>
      <c r="AM138" s="60">
        <f t="shared" si="113"/>
        <v>911.24935938826479</v>
      </c>
      <c r="AN138" s="60">
        <f ca="1">AVERAGE(OFFSET($AM$3,0,0,'Données projet'!$E$10+1,1))-AVERAGE(OFFSET($H$3,0,0,'Données projet'!$E$10+1,1))</f>
        <v>350.3652766444938</v>
      </c>
      <c r="AO138" s="60">
        <f t="shared" si="144"/>
        <v>197.04549436738586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6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2.7</v>
      </c>
      <c r="BD138" s="13">
        <f>IF('Données projet'!$A$88&gt;35,BD137+BC138-BL137,IF(A138&lt;'Données projet'!$A$88,$BA$205^A138,IF(A138='Données projet'!$A$88,'Données projet'!$B$88,BD137+BC138-BL137)))</f>
        <v>282.49999999999932</v>
      </c>
      <c r="BE138" s="14">
        <f>BD138*VLOOKUP('Données projet'!$B$11,Paramètres!$A$1:$I$89,3,0)*VLOOKUP('Données projet'!$B$11,Paramètres!$A$1:$I$89,5,0)</f>
        <v>273.23399999999936</v>
      </c>
      <c r="BF138" s="14">
        <f t="shared" si="145"/>
        <v>65.535129378020301</v>
      </c>
      <c r="BG138" s="22">
        <f t="shared" si="115"/>
        <v>590.0229003333842</v>
      </c>
      <c r="BH138" s="60">
        <f t="shared" si="116"/>
        <v>883.35623366671757</v>
      </c>
      <c r="BI138" s="60">
        <f ca="1">AVERAGE(OFFSET($BH$3,0,0,'Données projet'!$E$11+1,1))-AVERAGE(OFFSET($H$3,0,0,'Données projet'!$E$11+1,1))</f>
        <v>330.39429528665841</v>
      </c>
      <c r="BJ138" s="60">
        <f t="shared" si="146"/>
        <v>186.45728006007261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1.7053025658242404E-13</v>
      </c>
      <c r="BZ138" s="14">
        <f>BY138*VLOOKUP('Données projet'!$B$12,Paramètres!$A$1:$I$89,3,0)*VLOOKUP('Données projet'!$B$12,Paramètres!$A$1:$I$89,5,0)</f>
        <v>1.1439169611549005E-13</v>
      </c>
      <c r="CA138" s="14">
        <f t="shared" si="147"/>
        <v>1.6918016515029816E-12</v>
      </c>
      <c r="CB138" s="22">
        <f t="shared" si="118"/>
        <v>3.1457867471021712E-12</v>
      </c>
      <c r="CC138" s="60">
        <f t="shared" si="119"/>
        <v>293.33333333333644</v>
      </c>
      <c r="CD138" s="60">
        <f ca="1">AVERAGE(OFFSET($CC$3,0,0,'Données projet'!$E$12+1,1))-AVERAGE(OFFSET($H$3,0,0,'Données projet'!$E$12+1,1))</f>
        <v>212.33913923444732</v>
      </c>
      <c r="CE138" s="60">
        <f t="shared" si="148"/>
        <v>183.51194426094372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-3.979039320256561E-13</v>
      </c>
      <c r="CU138" s="18">
        <f>CT138*VLOOKUP('Données projet'!$B$13,Paramètres!$A$1:$I$89,3,0)*VLOOKUP('Données projet'!$B$13,Paramètres!$A$1:$I$89,5,0)</f>
        <v>-3.4760887501761321E-13</v>
      </c>
      <c r="CV138" s="14" t="e">
        <f t="shared" si="149"/>
        <v>#NUM!</v>
      </c>
      <c r="CW138" s="22" t="e">
        <f t="shared" si="121"/>
        <v>#NUM!</v>
      </c>
      <c r="CX138" s="60" t="e">
        <f t="shared" si="122"/>
        <v>#NUM!</v>
      </c>
      <c r="CY138" s="60">
        <f ca="1">AVERAGE(OFFSET($CX$3,0,0,'Données projet'!$E$13+1,1))-AVERAGE(OFFSET($H$3,0,0,'Données projet'!$E$13+1,1))</f>
        <v>228.0393346366489</v>
      </c>
      <c r="CZ138" s="60">
        <f t="shared" si="150"/>
        <v>238.591781509447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2.7</v>
      </c>
      <c r="DO138" s="13">
        <f>IF('Données projet'!$A$166&gt;35,DO137+DN138-DW137,IF(A138&lt;'Données projet'!$A$166,$DL$205^A138,IF(A138='Données projet'!$A$166,'Données projet'!$B$166,DO137+DN138-DW137)))</f>
        <v>282.49999999999932</v>
      </c>
      <c r="DP138" s="18">
        <f>DO138*VLOOKUP('Données projet'!$B$14,Paramètres!$A$1:$I$89,3,0)*VLOOKUP('Données projet'!$B$14,Paramètres!$A$1:$I$89,5,0)</f>
        <v>255.60599999999937</v>
      </c>
      <c r="DQ138" s="14">
        <f t="shared" si="151"/>
        <v>61.784827631732192</v>
      </c>
      <c r="DR138" s="22">
        <f t="shared" si="124"/>
        <v>552.78902479193243</v>
      </c>
      <c r="DS138" s="60">
        <f t="shared" si="125"/>
        <v>846.12235812526569</v>
      </c>
      <c r="DT138" s="60">
        <f ca="1">AVERAGE(OFFSET($DS$3,0,0,'Données projet'!$E$14+1,1))-AVERAGE(OFFSET($H$3,0,0,'Données projet'!$E$14+1,1))</f>
        <v>303.73499739059076</v>
      </c>
      <c r="DU138" s="60">
        <f t="shared" si="152"/>
        <v>172.32171001882188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1.1368683772161603E-13</v>
      </c>
      <c r="EK138" s="18">
        <f>EJ138*VLOOKUP('Données projet'!$B$15,Paramètres!$A$1:$I$89,3,0)*VLOOKUP('Données projet'!$B$15,Paramètres!$A$1:$I$89,5,0)</f>
        <v>6.7984728957526396E-14</v>
      </c>
      <c r="EL138" s="14">
        <f t="shared" si="153"/>
        <v>1.0682447123141398E-12</v>
      </c>
      <c r="EM138" s="22">
        <f t="shared" si="127"/>
        <v>1.978932943548152E-12</v>
      </c>
      <c r="EN138" s="60">
        <f t="shared" si="128"/>
        <v>293.3333333333353</v>
      </c>
      <c r="EO138" s="60">
        <f ca="1">AVERAGE(OFFSET($EN$3,0,0,'Données projet'!$E$15+1,1))-AVERAGE(OFFSET($H$3,0,0,'Données projet'!$E$15+1,1))</f>
        <v>269.94948820700841</v>
      </c>
      <c r="EP138" s="60">
        <f t="shared" si="154"/>
        <v>183.45158355135192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0.74294455612680088</v>
      </c>
      <c r="EX138" s="23">
        <f>EXP(-LN(2)/2)*EX137+(1-EXP(-LN(2)/2))/(LN(2)/2)*ER138*EU138*VLOOKUP('Données projet'!$B$15,Paramètres!$A$1:$I$89,3,0)*0.475*44/12</f>
        <v>8.8522310311932646E-16</v>
      </c>
      <c r="EY138" s="24">
        <f t="shared" si="129"/>
        <v>0.74294455612680177</v>
      </c>
      <c r="EZ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>
        <f>FE138*VLOOKUP('Données projet'!$B$16,Paramètres!$A$1:$I$89,3,0)*VLOOKUP('Données projet'!$B$16,Paramètres!$A$1:$I$89,5,0)</f>
        <v>0</v>
      </c>
      <c r="FG138" s="14" t="e">
        <f t="shared" si="155"/>
        <v>#NUM!</v>
      </c>
      <c r="FH138" s="22" t="e">
        <f t="shared" si="130"/>
        <v>#NUM!</v>
      </c>
      <c r="FI138" s="60" t="e">
        <f t="shared" si="131"/>
        <v>#NUM!</v>
      </c>
      <c r="FJ138" s="60">
        <f ca="1">AVERAGE(OFFSET($FI$3,0,0,'Données projet'!$E$16+1,1))-AVERAGE(OFFSET($H$3,0,0,'Données projet'!$E$16+1,1))</f>
        <v>111.24788725253484</v>
      </c>
      <c r="FK138" s="60">
        <f t="shared" si="156"/>
        <v>82.434879813357327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projet'!$B$16,Paramètres!$A$1:$I$89,3,0)*0.475*44/12</f>
        <v>0</v>
      </c>
      <c r="FR138" s="23">
        <f>EXP(-LN(2)/25)*FR137+(1-EXP(-LN(2)/25))/(LN(2)/25)*Calculateur!FM138*Calculateur!FO138*VLOOKUP('Données projet'!$B$16,Paramètres!$A$1:$I$89,3,0)*0.475*44/12</f>
        <v>0</v>
      </c>
      <c r="FS138" s="23">
        <f>EXP(-LN(2)/2)*FS137+(1-EXP(-LN(2)/2))/(LN(2)/2)*FM138*FP138*VLOOKUP('Données projet'!$B$16,Paramètres!$A$1:$I$89,3,0)*0.475*44/12</f>
        <v>0</v>
      </c>
      <c r="FT138" s="24">
        <f t="shared" si="132"/>
        <v>0</v>
      </c>
      <c r="FU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1.0231815394945443E-12</v>
      </c>
      <c r="GA138" s="18">
        <f>FZ138*VLOOKUP('Données projet'!$B$17,Paramètres!$A$1:$I$89,3,0)*VLOOKUP('Données projet'!$B$17,Paramètres!$A$1:$I$89,5,0)</f>
        <v>4.5224624045658859E-13</v>
      </c>
      <c r="GB138" s="14">
        <f t="shared" si="157"/>
        <v>5.6995607121061449E-12</v>
      </c>
      <c r="GC138" s="22">
        <f t="shared" si="133"/>
        <v>1.0714397109046761E-11</v>
      </c>
      <c r="GD138" s="60">
        <f t="shared" si="134"/>
        <v>293.333333333344</v>
      </c>
      <c r="GE138" s="60">
        <f ca="1">AVERAGE(OFFSET($GD$3,0,0,'Données projet'!$E$17+1,1))-AVERAGE(OFFSET($H$3,0,0,'Données projet'!$E$17+1,1))</f>
        <v>323.56667371063662</v>
      </c>
      <c r="GF138" s="60">
        <f t="shared" si="158"/>
        <v>275.70373467723385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>
        <f>EXP(-LN(2)/35)*GL137+(1-EXP(-LN(2)/35))/(LN(2)/35)*GH138*GI138*VLOOKUP('Données projet'!$B$17,Paramètres!$A$1:$I$89,3,0)*0.475*44/12</f>
        <v>0</v>
      </c>
      <c r="GM138" s="23">
        <f>EXP(-LN(2)/25)*GM137+(1-EXP(-LN(2)/25))/(LN(2)/25)*Calculateur!GH138*Calculateur!GJ138*VLOOKUP('Données projet'!$B$17,Paramètres!$A$1:$I$89,3,0)*0.475*44/12</f>
        <v>0</v>
      </c>
      <c r="GN138" s="23">
        <f>EXP(-LN(2)/2)*GN137+(1-EXP(-LN(2)/2))/(LN(2)/2)*GH138*GK138*VLOOKUP('Données projet'!$B$17,Paramètres!$A$1:$I$89,3,0)*0.475*44/12</f>
        <v>0</v>
      </c>
      <c r="GO138" s="23">
        <f t="shared" si="135"/>
        <v>0</v>
      </c>
      <c r="GP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0" t="e">
        <f t="shared" si="137"/>
        <v>#N/A</v>
      </c>
      <c r="GZ138" s="60" t="e">
        <f ca="1">AVERAGE(OFFSET($GY$3,0,0,'Données projet'!$E$18+1,1))-AVERAGE(OFFSET($H$3,0,0,'Données projet'!$E$18+1,1))</f>
        <v>#N/A</v>
      </c>
      <c r="HA138" s="60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4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2">
        <f t="shared" si="140"/>
        <v>20.726714411291841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-1.1368683772161603E-13</v>
      </c>
      <c r="O139" s="14">
        <f>N139*VLOOKUP('Données projet'!$B$9,Paramètres!$A$1:$I$89,3,0)*VLOOKUP('Données projet'!$B$9,Paramètres!$A$1:$I$89,5,0)</f>
        <v>-6.7984728957526396E-14</v>
      </c>
      <c r="P139" s="14" t="e">
        <f t="shared" si="141"/>
        <v>#NUM!</v>
      </c>
      <c r="Q139" s="22" t="e">
        <f t="shared" si="108"/>
        <v>#NUM!</v>
      </c>
      <c r="R139" s="60" t="e">
        <f t="shared" si="109"/>
        <v>#NUM!</v>
      </c>
      <c r="S139" s="60">
        <f ca="1">AVERAGE(OFFSET($R$3,0,0,'Données projet'!$E$9+1,1))-AVERAGE(OFFSET($H$3,0,0,'Données projet'!$E$9+1,1))</f>
        <v>235.63766249714581</v>
      </c>
      <c r="T139" s="60">
        <f t="shared" si="142"/>
        <v>231.3297293785277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1.4060873278012846</v>
      </c>
      <c r="AA139" s="23">
        <f>EXP(-LN(2)/25)*AA138+(1-EXP(-LN(2)/25))/(LN(2)/25)*Calculateur!V139*Calculateur!X139*VLOOKUP('Données projet'!$B$9,Paramètres!$A$1:$I$89,3,0)*0.475*44/12</f>
        <v>0.91495870946152624</v>
      </c>
      <c r="AB139" s="23">
        <f>EXP(-LN(2)/2)*AB138+(1-EXP(-LN(2)/2))/(LN(2)/2)*V139*Y139*VLOOKUP('Données projet'!$B$9,Paramètres!$A$1:$I$89,3,0)*0.475*44/12</f>
        <v>7.8963859039257506E-16</v>
      </c>
      <c r="AC139" s="24">
        <f t="shared" si="111"/>
        <v>2.3210460372628119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2.7</v>
      </c>
      <c r="AI139" s="14">
        <f>IF('Données projet'!$A$62&gt;35,AI138+AH139-AQ138,IF(A139&lt;'Données projet'!$A$62,$AF$205^A139,IF(A139='Données projet'!$A$62,'Données projet'!$B$62,AI138+AH139-AQ138)))</f>
        <v>285.19999999999931</v>
      </c>
      <c r="AJ139" s="14">
        <f>AI139*VLOOKUP('Données projet'!$B$10,Paramètres!$A$1:$I$89,3,0)*VLOOKUP('Données projet'!$B$10,Paramètres!$A$1:$I$89,5,0)</f>
        <v>289.19279999999935</v>
      </c>
      <c r="AK139" s="14">
        <f t="shared" si="143"/>
        <v>68.906044268306161</v>
      </c>
      <c r="AL139" s="22">
        <f t="shared" si="112"/>
        <v>623.68882043396547</v>
      </c>
      <c r="AM139" s="60">
        <f t="shared" si="113"/>
        <v>917.02215376729873</v>
      </c>
      <c r="AN139" s="60">
        <f ca="1">AVERAGE(OFFSET($AM$3,0,0,'Données projet'!$E$10+1,1))-AVERAGE(OFFSET($H$3,0,0,'Données projet'!$E$10+1,1))</f>
        <v>350.3652766444938</v>
      </c>
      <c r="AO139" s="60">
        <f t="shared" si="144"/>
        <v>197.04549436738586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6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2.7</v>
      </c>
      <c r="BD139" s="13">
        <f>IF('Données projet'!$A$88&gt;35,BD138+BC139-BL138,IF(A139&lt;'Données projet'!$A$88,$BA$205^A139,IF(A139='Données projet'!$A$88,'Données projet'!$B$88,BD138+BC139-BL138)))</f>
        <v>285.19999999999931</v>
      </c>
      <c r="BE139" s="14">
        <f>BD139*VLOOKUP('Données projet'!$B$11,Paramètres!$A$1:$I$89,3,0)*VLOOKUP('Données projet'!$B$11,Paramètres!$A$1:$I$89,5,0)</f>
        <v>275.84543999999931</v>
      </c>
      <c r="BF139" s="14">
        <f t="shared" si="145"/>
        <v>66.088268521855113</v>
      </c>
      <c r="BG139" s="22">
        <f t="shared" si="115"/>
        <v>595.53454234222977</v>
      </c>
      <c r="BH139" s="60">
        <f t="shared" si="116"/>
        <v>888.86787567556303</v>
      </c>
      <c r="BI139" s="60">
        <f ca="1">AVERAGE(OFFSET($BH$3,0,0,'Données projet'!$E$11+1,1))-AVERAGE(OFFSET($H$3,0,0,'Données projet'!$E$11+1,1))</f>
        <v>330.39429528665841</v>
      </c>
      <c r="BJ139" s="60">
        <f t="shared" si="146"/>
        <v>186.45728006007261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1.7053025658242404E-13</v>
      </c>
      <c r="BZ139" s="14">
        <f>BY139*VLOOKUP('Données projet'!$B$12,Paramètres!$A$1:$I$89,3,0)*VLOOKUP('Données projet'!$B$12,Paramètres!$A$1:$I$89,5,0)</f>
        <v>1.1439169611549005E-13</v>
      </c>
      <c r="CA139" s="14">
        <f t="shared" si="147"/>
        <v>1.6918016515029816E-12</v>
      </c>
      <c r="CB139" s="22">
        <f t="shared" si="118"/>
        <v>3.1457867471021712E-12</v>
      </c>
      <c r="CC139" s="60">
        <f t="shared" si="119"/>
        <v>293.33333333333644</v>
      </c>
      <c r="CD139" s="60">
        <f ca="1">AVERAGE(OFFSET($CC$3,0,0,'Données projet'!$E$12+1,1))-AVERAGE(OFFSET($H$3,0,0,'Données projet'!$E$12+1,1))</f>
        <v>212.33913923444732</v>
      </c>
      <c r="CE139" s="60">
        <f t="shared" si="148"/>
        <v>183.51194426094372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-3.979039320256561E-13</v>
      </c>
      <c r="CU139" s="18">
        <f>CT139*VLOOKUP('Données projet'!$B$13,Paramètres!$A$1:$I$89,3,0)*VLOOKUP('Données projet'!$B$13,Paramètres!$A$1:$I$89,5,0)</f>
        <v>-3.4760887501761321E-13</v>
      </c>
      <c r="CV139" s="14" t="e">
        <f t="shared" si="149"/>
        <v>#NUM!</v>
      </c>
      <c r="CW139" s="22" t="e">
        <f t="shared" si="121"/>
        <v>#NUM!</v>
      </c>
      <c r="CX139" s="60" t="e">
        <f t="shared" si="122"/>
        <v>#NUM!</v>
      </c>
      <c r="CY139" s="60">
        <f ca="1">AVERAGE(OFFSET($CX$3,0,0,'Données projet'!$E$13+1,1))-AVERAGE(OFFSET($H$3,0,0,'Données projet'!$E$13+1,1))</f>
        <v>228.0393346366489</v>
      </c>
      <c r="CZ139" s="60">
        <f t="shared" si="150"/>
        <v>238.591781509447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2.7</v>
      </c>
      <c r="DO139" s="13">
        <f>IF('Données projet'!$A$166&gt;35,DO138+DN139-DW138,IF(A139&lt;'Données projet'!$A$166,$DL$205^A139,IF(A139='Données projet'!$A$166,'Données projet'!$B$166,DO138+DN139-DW138)))</f>
        <v>285.19999999999931</v>
      </c>
      <c r="DP139" s="18">
        <f>DO139*VLOOKUP('Données projet'!$B$14,Paramètres!$A$1:$I$89,3,0)*VLOOKUP('Données projet'!$B$14,Paramètres!$A$1:$I$89,5,0)</f>
        <v>258.0489599999994</v>
      </c>
      <c r="DQ139" s="14">
        <f t="shared" si="151"/>
        <v>62.306312932555649</v>
      </c>
      <c r="DR139" s="22">
        <f t="shared" si="124"/>
        <v>557.95210035753337</v>
      </c>
      <c r="DS139" s="60">
        <f t="shared" si="125"/>
        <v>851.28543369086674</v>
      </c>
      <c r="DT139" s="60">
        <f ca="1">AVERAGE(OFFSET($DS$3,0,0,'Données projet'!$E$14+1,1))-AVERAGE(OFFSET($H$3,0,0,'Données projet'!$E$14+1,1))</f>
        <v>303.73499739059076</v>
      </c>
      <c r="DU139" s="60">
        <f t="shared" si="152"/>
        <v>172.32171001882188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1.1368683772161603E-13</v>
      </c>
      <c r="EK139" s="18">
        <f>EJ139*VLOOKUP('Données projet'!$B$15,Paramètres!$A$1:$I$89,3,0)*VLOOKUP('Données projet'!$B$15,Paramètres!$A$1:$I$89,5,0)</f>
        <v>6.7984728957526396E-14</v>
      </c>
      <c r="EL139" s="14">
        <f t="shared" si="153"/>
        <v>1.0682447123141398E-12</v>
      </c>
      <c r="EM139" s="22">
        <f t="shared" si="127"/>
        <v>1.978932943548152E-12</v>
      </c>
      <c r="EN139" s="60">
        <f t="shared" si="128"/>
        <v>293.3333333333353</v>
      </c>
      <c r="EO139" s="60">
        <f ca="1">AVERAGE(OFFSET($EN$3,0,0,'Données projet'!$E$15+1,1))-AVERAGE(OFFSET($H$3,0,0,'Données projet'!$E$15+1,1))</f>
        <v>269.94948820700841</v>
      </c>
      <c r="EP139" s="60">
        <f t="shared" si="154"/>
        <v>183.45158355135192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0.72262869816975728</v>
      </c>
      <c r="EX139" s="23">
        <f>EXP(-LN(2)/2)*EX138+(1-EXP(-LN(2)/2))/(LN(2)/2)*ER139*EU139*VLOOKUP('Données projet'!$B$15,Paramètres!$A$1:$I$89,3,0)*0.475*44/12</f>
        <v>6.2594725907867421E-16</v>
      </c>
      <c r="EY139" s="24">
        <f t="shared" si="129"/>
        <v>0.72262869816975794</v>
      </c>
      <c r="EZ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>
        <f>FE139*VLOOKUP('Données projet'!$B$16,Paramètres!$A$1:$I$89,3,0)*VLOOKUP('Données projet'!$B$16,Paramètres!$A$1:$I$89,5,0)</f>
        <v>0</v>
      </c>
      <c r="FG139" s="14" t="e">
        <f t="shared" si="155"/>
        <v>#NUM!</v>
      </c>
      <c r="FH139" s="22" t="e">
        <f t="shared" si="130"/>
        <v>#NUM!</v>
      </c>
      <c r="FI139" s="60" t="e">
        <f t="shared" si="131"/>
        <v>#NUM!</v>
      </c>
      <c r="FJ139" s="60">
        <f ca="1">AVERAGE(OFFSET($FI$3,0,0,'Données projet'!$E$16+1,1))-AVERAGE(OFFSET($H$3,0,0,'Données projet'!$E$16+1,1))</f>
        <v>111.24788725253484</v>
      </c>
      <c r="FK139" s="60">
        <f t="shared" si="156"/>
        <v>82.434879813357327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projet'!$B$16,Paramètres!$A$1:$I$89,3,0)*0.475*44/12</f>
        <v>0</v>
      </c>
      <c r="FR139" s="23">
        <f>EXP(-LN(2)/25)*FR138+(1-EXP(-LN(2)/25))/(LN(2)/25)*Calculateur!FM139*Calculateur!FO139*VLOOKUP('Données projet'!$B$16,Paramètres!$A$1:$I$89,3,0)*0.475*44/12</f>
        <v>0</v>
      </c>
      <c r="FS139" s="23">
        <f>EXP(-LN(2)/2)*FS138+(1-EXP(-LN(2)/2))/(LN(2)/2)*FM139*FP139*VLOOKUP('Données projet'!$B$16,Paramètres!$A$1:$I$89,3,0)*0.475*44/12</f>
        <v>0</v>
      </c>
      <c r="FT139" s="24">
        <f t="shared" si="132"/>
        <v>0</v>
      </c>
      <c r="FU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1.0231815394945443E-12</v>
      </c>
      <c r="GA139" s="18">
        <f>FZ139*VLOOKUP('Données projet'!$B$17,Paramètres!$A$1:$I$89,3,0)*VLOOKUP('Données projet'!$B$17,Paramètres!$A$1:$I$89,5,0)</f>
        <v>4.5224624045658859E-13</v>
      </c>
      <c r="GB139" s="14">
        <f t="shared" si="157"/>
        <v>5.6995607121061449E-12</v>
      </c>
      <c r="GC139" s="22">
        <f t="shared" si="133"/>
        <v>1.0714397109046761E-11</v>
      </c>
      <c r="GD139" s="60">
        <f t="shared" si="134"/>
        <v>293.333333333344</v>
      </c>
      <c r="GE139" s="60">
        <f ca="1">AVERAGE(OFFSET($GD$3,0,0,'Données projet'!$E$17+1,1))-AVERAGE(OFFSET($H$3,0,0,'Données projet'!$E$17+1,1))</f>
        <v>323.56667371063662</v>
      </c>
      <c r="GF139" s="60">
        <f t="shared" si="158"/>
        <v>275.70373467723385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>
        <f>EXP(-LN(2)/35)*GL138+(1-EXP(-LN(2)/35))/(LN(2)/35)*GH139*GI139*VLOOKUP('Données projet'!$B$17,Paramètres!$A$1:$I$89,3,0)*0.475*44/12</f>
        <v>0</v>
      </c>
      <c r="GM139" s="23">
        <f>EXP(-LN(2)/25)*GM138+(1-EXP(-LN(2)/25))/(LN(2)/25)*Calculateur!GH139*Calculateur!GJ139*VLOOKUP('Données projet'!$B$17,Paramètres!$A$1:$I$89,3,0)*0.475*44/12</f>
        <v>0</v>
      </c>
      <c r="GN139" s="23">
        <f>EXP(-LN(2)/2)*GN138+(1-EXP(-LN(2)/2))/(LN(2)/2)*GH139*GK139*VLOOKUP('Données projet'!$B$17,Paramètres!$A$1:$I$89,3,0)*0.475*44/12</f>
        <v>0</v>
      </c>
      <c r="GO139" s="23">
        <f t="shared" si="135"/>
        <v>0</v>
      </c>
      <c r="GP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0" t="e">
        <f t="shared" si="137"/>
        <v>#N/A</v>
      </c>
      <c r="GZ139" s="60" t="e">
        <f ca="1">AVERAGE(OFFSET($GY$3,0,0,'Données projet'!$E$18+1,1))-AVERAGE(OFFSET($H$3,0,0,'Données projet'!$E$18+1,1))</f>
        <v>#N/A</v>
      </c>
      <c r="HA139" s="60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4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2">
        <f t="shared" si="140"/>
        <v>20.861319623408168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-1.1368683772161603E-13</v>
      </c>
      <c r="O140" s="14">
        <f>N140*VLOOKUP('Données projet'!$B$9,Paramètres!$A$1:$I$89,3,0)*VLOOKUP('Données projet'!$B$9,Paramètres!$A$1:$I$89,5,0)</f>
        <v>-6.7984728957526396E-14</v>
      </c>
      <c r="P140" s="14" t="e">
        <f t="shared" si="141"/>
        <v>#NUM!</v>
      </c>
      <c r="Q140" s="22" t="e">
        <f t="shared" si="108"/>
        <v>#NUM!</v>
      </c>
      <c r="R140" s="60" t="e">
        <f t="shared" si="109"/>
        <v>#NUM!</v>
      </c>
      <c r="S140" s="60">
        <f ca="1">AVERAGE(OFFSET($R$3,0,0,'Données projet'!$E$9+1,1))-AVERAGE(OFFSET($H$3,0,0,'Données projet'!$E$9+1,1))</f>
        <v>235.63766249714581</v>
      </c>
      <c r="T140" s="60">
        <f t="shared" si="142"/>
        <v>231.3297293785277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1.3785148129316875</v>
      </c>
      <c r="AA140" s="23">
        <f>EXP(-LN(2)/25)*AA139+(1-EXP(-LN(2)/25))/(LN(2)/25)*Calculateur!V140*Calculateur!X140*VLOOKUP('Données projet'!$B$9,Paramètres!$A$1:$I$89,3,0)*0.475*44/12</f>
        <v>0.88993911543571347</v>
      </c>
      <c r="AB140" s="23">
        <f>EXP(-LN(2)/2)*AB139+(1-EXP(-LN(2)/2))/(LN(2)/2)*V140*Y140*VLOOKUP('Données projet'!$B$9,Paramètres!$A$1:$I$89,3,0)*0.475*44/12</f>
        <v>5.583588019531764E-16</v>
      </c>
      <c r="AC140" s="24">
        <f t="shared" si="111"/>
        <v>2.2684539283674012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2.7</v>
      </c>
      <c r="AI140" s="14">
        <f>IF('Données projet'!$A$62&gt;35,AI139+AH140-AQ139,IF(A140&lt;'Données projet'!$A$62,$AF$205^A140,IF(A140='Données projet'!$A$62,'Données projet'!$B$62,AI139+AH140-AQ139)))</f>
        <v>287.8999999999993</v>
      </c>
      <c r="AJ140" s="14">
        <f>AI140*VLOOKUP('Données projet'!$B$10,Paramètres!$A$1:$I$89,3,0)*VLOOKUP('Données projet'!$B$10,Paramètres!$A$1:$I$89,5,0)</f>
        <v>291.93059999999929</v>
      </c>
      <c r="AK140" s="14">
        <f t="shared" si="143"/>
        <v>69.482132168934584</v>
      </c>
      <c r="AL140" s="22">
        <f t="shared" si="112"/>
        <v>629.4605085275598</v>
      </c>
      <c r="AM140" s="60">
        <f t="shared" si="113"/>
        <v>922.79384186089305</v>
      </c>
      <c r="AN140" s="60">
        <f ca="1">AVERAGE(OFFSET($AM$3,0,0,'Données projet'!$E$10+1,1))-AVERAGE(OFFSET($H$3,0,0,'Données projet'!$E$10+1,1))</f>
        <v>350.3652766444938</v>
      </c>
      <c r="AO140" s="60">
        <f t="shared" si="144"/>
        <v>197.04549436738586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6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2.7</v>
      </c>
      <c r="BD140" s="13">
        <f>IF('Données projet'!$A$88&gt;35,BD139+BC140-BL139,IF(A140&lt;'Données projet'!$A$88,$BA$205^A140,IF(A140='Données projet'!$A$88,'Données projet'!$B$88,BD139+BC140-BL139)))</f>
        <v>287.8999999999993</v>
      </c>
      <c r="BE140" s="14">
        <f>BD140*VLOOKUP('Données projet'!$B$11,Paramètres!$A$1:$I$89,3,0)*VLOOKUP('Données projet'!$B$11,Paramètres!$A$1:$I$89,5,0)</f>
        <v>278.45687999999933</v>
      </c>
      <c r="BF140" s="14">
        <f t="shared" si="145"/>
        <v>66.640798452620999</v>
      </c>
      <c r="BG140" s="22">
        <f t="shared" si="115"/>
        <v>601.04512330498039</v>
      </c>
      <c r="BH140" s="60">
        <f t="shared" si="116"/>
        <v>894.37845663831376</v>
      </c>
      <c r="BI140" s="60">
        <f ca="1">AVERAGE(OFFSET($BH$3,0,0,'Données projet'!$E$11+1,1))-AVERAGE(OFFSET($H$3,0,0,'Données projet'!$E$11+1,1))</f>
        <v>330.39429528665841</v>
      </c>
      <c r="BJ140" s="60">
        <f t="shared" si="146"/>
        <v>186.45728006007261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1.7053025658242404E-13</v>
      </c>
      <c r="BZ140" s="14">
        <f>BY140*VLOOKUP('Données projet'!$B$12,Paramètres!$A$1:$I$89,3,0)*VLOOKUP('Données projet'!$B$12,Paramètres!$A$1:$I$89,5,0)</f>
        <v>1.1439169611549005E-13</v>
      </c>
      <c r="CA140" s="14">
        <f t="shared" si="147"/>
        <v>1.6918016515029816E-12</v>
      </c>
      <c r="CB140" s="22">
        <f t="shared" si="118"/>
        <v>3.1457867471021712E-12</v>
      </c>
      <c r="CC140" s="60">
        <f t="shared" si="119"/>
        <v>293.33333333333644</v>
      </c>
      <c r="CD140" s="60">
        <f ca="1">AVERAGE(OFFSET($CC$3,0,0,'Données projet'!$E$12+1,1))-AVERAGE(OFFSET($H$3,0,0,'Données projet'!$E$12+1,1))</f>
        <v>212.33913923444732</v>
      </c>
      <c r="CE140" s="60">
        <f t="shared" si="148"/>
        <v>183.51194426094372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-3.979039320256561E-13</v>
      </c>
      <c r="CU140" s="18">
        <f>CT140*VLOOKUP('Données projet'!$B$13,Paramètres!$A$1:$I$89,3,0)*VLOOKUP('Données projet'!$B$13,Paramètres!$A$1:$I$89,5,0)</f>
        <v>-3.4760887501761321E-13</v>
      </c>
      <c r="CV140" s="14" t="e">
        <f t="shared" si="149"/>
        <v>#NUM!</v>
      </c>
      <c r="CW140" s="22" t="e">
        <f t="shared" si="121"/>
        <v>#NUM!</v>
      </c>
      <c r="CX140" s="60" t="e">
        <f t="shared" si="122"/>
        <v>#NUM!</v>
      </c>
      <c r="CY140" s="60">
        <f ca="1">AVERAGE(OFFSET($CX$3,0,0,'Données projet'!$E$13+1,1))-AVERAGE(OFFSET($H$3,0,0,'Données projet'!$E$13+1,1))</f>
        <v>228.0393346366489</v>
      </c>
      <c r="CZ140" s="60">
        <f t="shared" si="150"/>
        <v>238.591781509447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2.7</v>
      </c>
      <c r="DO140" s="13">
        <f>IF('Données projet'!$A$166&gt;35,DO139+DN140-DW139,IF(A140&lt;'Données projet'!$A$166,$DL$205^A140,IF(A140='Données projet'!$A$166,'Données projet'!$B$166,DO139+DN140-DW139)))</f>
        <v>287.8999999999993</v>
      </c>
      <c r="DP140" s="18">
        <f>DO140*VLOOKUP('Données projet'!$B$14,Paramètres!$A$1:$I$89,3,0)*VLOOKUP('Données projet'!$B$14,Paramètres!$A$1:$I$89,5,0)</f>
        <v>260.49191999999937</v>
      </c>
      <c r="DQ140" s="14">
        <f t="shared" si="151"/>
        <v>62.827223883029681</v>
      </c>
      <c r="DR140" s="22">
        <f t="shared" si="124"/>
        <v>563.11417559627546</v>
      </c>
      <c r="DS140" s="60">
        <f t="shared" si="125"/>
        <v>856.44750892960883</v>
      </c>
      <c r="DT140" s="60">
        <f ca="1">AVERAGE(OFFSET($DS$3,0,0,'Données projet'!$E$14+1,1))-AVERAGE(OFFSET($H$3,0,0,'Données projet'!$E$14+1,1))</f>
        <v>303.73499739059076</v>
      </c>
      <c r="DU140" s="60">
        <f t="shared" si="152"/>
        <v>172.32171001882188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1.1368683772161603E-13</v>
      </c>
      <c r="EK140" s="18">
        <f>EJ140*VLOOKUP('Données projet'!$B$15,Paramètres!$A$1:$I$89,3,0)*VLOOKUP('Données projet'!$B$15,Paramètres!$A$1:$I$89,5,0)</f>
        <v>6.7984728957526396E-14</v>
      </c>
      <c r="EL140" s="14">
        <f t="shared" si="153"/>
        <v>1.0682447123141398E-12</v>
      </c>
      <c r="EM140" s="22">
        <f t="shared" si="127"/>
        <v>1.978932943548152E-12</v>
      </c>
      <c r="EN140" s="60">
        <f t="shared" si="128"/>
        <v>293.3333333333353</v>
      </c>
      <c r="EO140" s="60">
        <f ca="1">AVERAGE(OFFSET($EN$3,0,0,'Données projet'!$E$15+1,1))-AVERAGE(OFFSET($H$3,0,0,'Données projet'!$E$15+1,1))</f>
        <v>269.94948820700841</v>
      </c>
      <c r="EP140" s="60">
        <f t="shared" si="154"/>
        <v>183.45158355135192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0.70286837841691363</v>
      </c>
      <c r="EX140" s="23">
        <f>EXP(-LN(2)/2)*EX139+(1-EXP(-LN(2)/2))/(LN(2)/2)*ER140*EU140*VLOOKUP('Données projet'!$B$15,Paramètres!$A$1:$I$89,3,0)*0.475*44/12</f>
        <v>4.4261155155966328E-16</v>
      </c>
      <c r="EY140" s="24">
        <f t="shared" si="129"/>
        <v>0.70286837841691407</v>
      </c>
      <c r="EZ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>
        <f>FE140*VLOOKUP('Données projet'!$B$16,Paramètres!$A$1:$I$89,3,0)*VLOOKUP('Données projet'!$B$16,Paramètres!$A$1:$I$89,5,0)</f>
        <v>0</v>
      </c>
      <c r="FG140" s="14" t="e">
        <f t="shared" si="155"/>
        <v>#NUM!</v>
      </c>
      <c r="FH140" s="22" t="e">
        <f t="shared" si="130"/>
        <v>#NUM!</v>
      </c>
      <c r="FI140" s="60" t="e">
        <f t="shared" si="131"/>
        <v>#NUM!</v>
      </c>
      <c r="FJ140" s="60">
        <f ca="1">AVERAGE(OFFSET($FI$3,0,0,'Données projet'!$E$16+1,1))-AVERAGE(OFFSET($H$3,0,0,'Données projet'!$E$16+1,1))</f>
        <v>111.24788725253484</v>
      </c>
      <c r="FK140" s="60">
        <f t="shared" si="156"/>
        <v>82.434879813357327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projet'!$B$16,Paramètres!$A$1:$I$89,3,0)*0.475*44/12</f>
        <v>0</v>
      </c>
      <c r="FR140" s="23">
        <f>EXP(-LN(2)/25)*FR139+(1-EXP(-LN(2)/25))/(LN(2)/25)*Calculateur!FM140*Calculateur!FO140*VLOOKUP('Données projet'!$B$16,Paramètres!$A$1:$I$89,3,0)*0.475*44/12</f>
        <v>0</v>
      </c>
      <c r="FS140" s="23">
        <f>EXP(-LN(2)/2)*FS139+(1-EXP(-LN(2)/2))/(LN(2)/2)*FM140*FP140*VLOOKUP('Données projet'!$B$16,Paramètres!$A$1:$I$89,3,0)*0.475*44/12</f>
        <v>0</v>
      </c>
      <c r="FT140" s="24">
        <f t="shared" si="132"/>
        <v>0</v>
      </c>
      <c r="FU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1.0231815394945443E-12</v>
      </c>
      <c r="GA140" s="18">
        <f>FZ140*VLOOKUP('Données projet'!$B$17,Paramètres!$A$1:$I$89,3,0)*VLOOKUP('Données projet'!$B$17,Paramètres!$A$1:$I$89,5,0)</f>
        <v>4.5224624045658859E-13</v>
      </c>
      <c r="GB140" s="14">
        <f t="shared" si="157"/>
        <v>5.6995607121061449E-12</v>
      </c>
      <c r="GC140" s="22">
        <f t="shared" si="133"/>
        <v>1.0714397109046761E-11</v>
      </c>
      <c r="GD140" s="60">
        <f t="shared" si="134"/>
        <v>293.333333333344</v>
      </c>
      <c r="GE140" s="60">
        <f ca="1">AVERAGE(OFFSET($GD$3,0,0,'Données projet'!$E$17+1,1))-AVERAGE(OFFSET($H$3,0,0,'Données projet'!$E$17+1,1))</f>
        <v>323.56667371063662</v>
      </c>
      <c r="GF140" s="60">
        <f t="shared" si="158"/>
        <v>275.70373467723385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>
        <f>EXP(-LN(2)/35)*GL139+(1-EXP(-LN(2)/35))/(LN(2)/35)*GH140*GI140*VLOOKUP('Données projet'!$B$17,Paramètres!$A$1:$I$89,3,0)*0.475*44/12</f>
        <v>0</v>
      </c>
      <c r="GM140" s="23">
        <f>EXP(-LN(2)/25)*GM139+(1-EXP(-LN(2)/25))/(LN(2)/25)*Calculateur!GH140*Calculateur!GJ140*VLOOKUP('Données projet'!$B$17,Paramètres!$A$1:$I$89,3,0)*0.475*44/12</f>
        <v>0</v>
      </c>
      <c r="GN140" s="23">
        <f>EXP(-LN(2)/2)*GN139+(1-EXP(-LN(2)/2))/(LN(2)/2)*GH140*GK140*VLOOKUP('Données projet'!$B$17,Paramètres!$A$1:$I$89,3,0)*0.475*44/12</f>
        <v>0</v>
      </c>
      <c r="GO140" s="23">
        <f t="shared" si="135"/>
        <v>0</v>
      </c>
      <c r="GP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0" t="e">
        <f t="shared" si="137"/>
        <v>#N/A</v>
      </c>
      <c r="GZ140" s="60" t="e">
        <f ca="1">AVERAGE(OFFSET($GY$3,0,0,'Données projet'!$E$18+1,1))-AVERAGE(OFFSET($H$3,0,0,'Données projet'!$E$18+1,1))</f>
        <v>#N/A</v>
      </c>
      <c r="HA140" s="60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4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2">
        <f t="shared" si="140"/>
        <v>20.995810517717057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-1.1368683772161603E-13</v>
      </c>
      <c r="O141" s="14">
        <f>N141*VLOOKUP('Données projet'!$B$9,Paramètres!$A$1:$I$89,3,0)*VLOOKUP('Données projet'!$B$9,Paramètres!$A$1:$I$89,5,0)</f>
        <v>-6.7984728957526396E-14</v>
      </c>
      <c r="P141" s="14" t="e">
        <f t="shared" si="141"/>
        <v>#NUM!</v>
      </c>
      <c r="Q141" s="22" t="e">
        <f t="shared" si="108"/>
        <v>#NUM!</v>
      </c>
      <c r="R141" s="60" t="e">
        <f t="shared" si="109"/>
        <v>#NUM!</v>
      </c>
      <c r="S141" s="60">
        <f ca="1">AVERAGE(OFFSET($R$3,0,0,'Données projet'!$E$9+1,1))-AVERAGE(OFFSET($H$3,0,0,'Données projet'!$E$9+1,1))</f>
        <v>235.63766249714581</v>
      </c>
      <c r="T141" s="60">
        <f t="shared" si="142"/>
        <v>231.3297293785277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1.3514829782611097</v>
      </c>
      <c r="AA141" s="23">
        <f>EXP(-LN(2)/25)*AA140+(1-EXP(-LN(2)/25))/(LN(2)/25)*Calculateur!V141*Calculateur!X141*VLOOKUP('Données projet'!$B$9,Paramètres!$A$1:$I$89,3,0)*0.475*44/12</f>
        <v>0.86560368352425976</v>
      </c>
      <c r="AB141" s="23">
        <f>EXP(-LN(2)/2)*AB140+(1-EXP(-LN(2)/2))/(LN(2)/2)*V141*Y141*VLOOKUP('Données projet'!$B$9,Paramètres!$A$1:$I$89,3,0)*0.475*44/12</f>
        <v>3.9481929519628753E-16</v>
      </c>
      <c r="AC141" s="24">
        <f t="shared" si="111"/>
        <v>2.2170866617853702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2.7</v>
      </c>
      <c r="AI141" s="14">
        <f>IF('Données projet'!$A$62&gt;35,AI140+AH141-AQ140,IF(A141&lt;'Données projet'!$A$62,$AF$205^A141,IF(A141='Données projet'!$A$62,'Données projet'!$B$62,AI140+AH141-AQ140)))</f>
        <v>290.59999999999928</v>
      </c>
      <c r="AJ141" s="14">
        <f>AI141*VLOOKUP('Données projet'!$B$10,Paramètres!$A$1:$I$89,3,0)*VLOOKUP('Données projet'!$B$10,Paramètres!$A$1:$I$89,5,0)</f>
        <v>294.66839999999928</v>
      </c>
      <c r="AK141" s="14">
        <f t="shared" si="143"/>
        <v>70.057591528661433</v>
      </c>
      <c r="AL141" s="22">
        <f t="shared" si="112"/>
        <v>635.23110191241733</v>
      </c>
      <c r="AM141" s="60">
        <f t="shared" si="113"/>
        <v>928.5644352457507</v>
      </c>
      <c r="AN141" s="60">
        <f ca="1">AVERAGE(OFFSET($AM$3,0,0,'Données projet'!$E$10+1,1))-AVERAGE(OFFSET($H$3,0,0,'Données projet'!$E$10+1,1))</f>
        <v>350.3652766444938</v>
      </c>
      <c r="AO141" s="60">
        <f t="shared" si="144"/>
        <v>197.04549436738586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6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2.7</v>
      </c>
      <c r="BD141" s="13">
        <f>IF('Données projet'!$A$88&gt;35,BD140+BC141-BL140,IF(A141&lt;'Données projet'!$A$88,$BA$205^A141,IF(A141='Données projet'!$A$88,'Données projet'!$B$88,BD140+BC141-BL140)))</f>
        <v>290.59999999999928</v>
      </c>
      <c r="BE141" s="14">
        <f>BD141*VLOOKUP('Données projet'!$B$11,Paramètres!$A$1:$I$89,3,0)*VLOOKUP('Données projet'!$B$11,Paramètres!$A$1:$I$89,5,0)</f>
        <v>281.06831999999929</v>
      </c>
      <c r="BF141" s="14">
        <f t="shared" si="145"/>
        <v>67.192725545416536</v>
      </c>
      <c r="BG141" s="22">
        <f t="shared" si="115"/>
        <v>606.55465432493247</v>
      </c>
      <c r="BH141" s="60">
        <f t="shared" si="116"/>
        <v>899.88798765826573</v>
      </c>
      <c r="BI141" s="60">
        <f ca="1">AVERAGE(OFFSET($BH$3,0,0,'Données projet'!$E$11+1,1))-AVERAGE(OFFSET($H$3,0,0,'Données projet'!$E$11+1,1))</f>
        <v>330.39429528665841</v>
      </c>
      <c r="BJ141" s="60">
        <f t="shared" si="146"/>
        <v>186.45728006007261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1.7053025658242404E-13</v>
      </c>
      <c r="BZ141" s="14">
        <f>BY141*VLOOKUP('Données projet'!$B$12,Paramètres!$A$1:$I$89,3,0)*VLOOKUP('Données projet'!$B$12,Paramètres!$A$1:$I$89,5,0)</f>
        <v>1.1439169611549005E-13</v>
      </c>
      <c r="CA141" s="14">
        <f t="shared" si="147"/>
        <v>1.6918016515029816E-12</v>
      </c>
      <c r="CB141" s="22">
        <f t="shared" si="118"/>
        <v>3.1457867471021712E-12</v>
      </c>
      <c r="CC141" s="60">
        <f t="shared" si="119"/>
        <v>293.33333333333644</v>
      </c>
      <c r="CD141" s="60">
        <f ca="1">AVERAGE(OFFSET($CC$3,0,0,'Données projet'!$E$12+1,1))-AVERAGE(OFFSET($H$3,0,0,'Données projet'!$E$12+1,1))</f>
        <v>212.33913923444732</v>
      </c>
      <c r="CE141" s="60">
        <f t="shared" si="148"/>
        <v>183.51194426094372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-3.979039320256561E-13</v>
      </c>
      <c r="CU141" s="18">
        <f>CT141*VLOOKUP('Données projet'!$B$13,Paramètres!$A$1:$I$89,3,0)*VLOOKUP('Données projet'!$B$13,Paramètres!$A$1:$I$89,5,0)</f>
        <v>-3.4760887501761321E-13</v>
      </c>
      <c r="CV141" s="14" t="e">
        <f t="shared" si="149"/>
        <v>#NUM!</v>
      </c>
      <c r="CW141" s="22" t="e">
        <f t="shared" si="121"/>
        <v>#NUM!</v>
      </c>
      <c r="CX141" s="60" t="e">
        <f t="shared" si="122"/>
        <v>#NUM!</v>
      </c>
      <c r="CY141" s="60">
        <f ca="1">AVERAGE(OFFSET($CX$3,0,0,'Données projet'!$E$13+1,1))-AVERAGE(OFFSET($H$3,0,0,'Données projet'!$E$13+1,1))</f>
        <v>228.0393346366489</v>
      </c>
      <c r="CZ141" s="60">
        <f t="shared" si="150"/>
        <v>238.591781509447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2.7</v>
      </c>
      <c r="DO141" s="13">
        <f>IF('Données projet'!$A$166&gt;35,DO140+DN141-DW140,IF(A141&lt;'Données projet'!$A$166,$DL$205^A141,IF(A141='Données projet'!$A$166,'Données projet'!$B$166,DO140+DN141-DW140)))</f>
        <v>290.59999999999928</v>
      </c>
      <c r="DP141" s="18">
        <f>DO141*VLOOKUP('Données projet'!$B$14,Paramètres!$A$1:$I$89,3,0)*VLOOKUP('Données projet'!$B$14,Paramètres!$A$1:$I$89,5,0)</f>
        <v>262.93487999999934</v>
      </c>
      <c r="DQ141" s="14">
        <f t="shared" si="151"/>
        <v>63.347566493432652</v>
      </c>
      <c r="DR141" s="22">
        <f t="shared" si="124"/>
        <v>568.27526097606062</v>
      </c>
      <c r="DS141" s="60">
        <f t="shared" si="125"/>
        <v>861.60859430939399</v>
      </c>
      <c r="DT141" s="60">
        <f ca="1">AVERAGE(OFFSET($DS$3,0,0,'Données projet'!$E$14+1,1))-AVERAGE(OFFSET($H$3,0,0,'Données projet'!$E$14+1,1))</f>
        <v>303.73499739059076</v>
      </c>
      <c r="DU141" s="60">
        <f t="shared" si="152"/>
        <v>172.32171001882188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1.1368683772161603E-13</v>
      </c>
      <c r="EK141" s="18">
        <f>EJ141*VLOOKUP('Données projet'!$B$15,Paramètres!$A$1:$I$89,3,0)*VLOOKUP('Données projet'!$B$15,Paramètres!$A$1:$I$89,5,0)</f>
        <v>6.7984728957526396E-14</v>
      </c>
      <c r="EL141" s="14">
        <f t="shared" si="153"/>
        <v>1.0682447123141398E-12</v>
      </c>
      <c r="EM141" s="22">
        <f t="shared" si="127"/>
        <v>1.978932943548152E-12</v>
      </c>
      <c r="EN141" s="60">
        <f t="shared" si="128"/>
        <v>293.3333333333353</v>
      </c>
      <c r="EO141" s="60">
        <f ca="1">AVERAGE(OFFSET($EN$3,0,0,'Données projet'!$E$15+1,1))-AVERAGE(OFFSET($H$3,0,0,'Données projet'!$E$15+1,1))</f>
        <v>269.94948820700841</v>
      </c>
      <c r="EP141" s="60">
        <f t="shared" si="154"/>
        <v>183.45158355135192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0.68364840564686158</v>
      </c>
      <c r="EX141" s="23">
        <f>EXP(-LN(2)/2)*EX140+(1-EXP(-LN(2)/2))/(LN(2)/2)*ER141*EU141*VLOOKUP('Données projet'!$B$15,Paramètres!$A$1:$I$89,3,0)*0.475*44/12</f>
        <v>3.1297362953933715E-16</v>
      </c>
      <c r="EY141" s="24">
        <f t="shared" si="129"/>
        <v>0.68364840564686191</v>
      </c>
      <c r="EZ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>
        <f>FE141*VLOOKUP('Données projet'!$B$16,Paramètres!$A$1:$I$89,3,0)*VLOOKUP('Données projet'!$B$16,Paramètres!$A$1:$I$89,5,0)</f>
        <v>0</v>
      </c>
      <c r="FG141" s="14" t="e">
        <f t="shared" si="155"/>
        <v>#NUM!</v>
      </c>
      <c r="FH141" s="22" t="e">
        <f t="shared" si="130"/>
        <v>#NUM!</v>
      </c>
      <c r="FI141" s="60" t="e">
        <f t="shared" si="131"/>
        <v>#NUM!</v>
      </c>
      <c r="FJ141" s="60">
        <f ca="1">AVERAGE(OFFSET($FI$3,0,0,'Données projet'!$E$16+1,1))-AVERAGE(OFFSET($H$3,0,0,'Données projet'!$E$16+1,1))</f>
        <v>111.24788725253484</v>
      </c>
      <c r="FK141" s="60">
        <f t="shared" si="156"/>
        <v>82.434879813357327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projet'!$B$16,Paramètres!$A$1:$I$89,3,0)*0.475*44/12</f>
        <v>0</v>
      </c>
      <c r="FR141" s="23">
        <f>EXP(-LN(2)/25)*FR140+(1-EXP(-LN(2)/25))/(LN(2)/25)*Calculateur!FM141*Calculateur!FO141*VLOOKUP('Données projet'!$B$16,Paramètres!$A$1:$I$89,3,0)*0.475*44/12</f>
        <v>0</v>
      </c>
      <c r="FS141" s="23">
        <f>EXP(-LN(2)/2)*FS140+(1-EXP(-LN(2)/2))/(LN(2)/2)*FM141*FP141*VLOOKUP('Données projet'!$B$16,Paramètres!$A$1:$I$89,3,0)*0.475*44/12</f>
        <v>0</v>
      </c>
      <c r="FT141" s="24">
        <f t="shared" si="132"/>
        <v>0</v>
      </c>
      <c r="FU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1.0231815394945443E-12</v>
      </c>
      <c r="GA141" s="18">
        <f>FZ141*VLOOKUP('Données projet'!$B$17,Paramètres!$A$1:$I$89,3,0)*VLOOKUP('Données projet'!$B$17,Paramètres!$A$1:$I$89,5,0)</f>
        <v>4.5224624045658859E-13</v>
      </c>
      <c r="GB141" s="14">
        <f t="shared" si="157"/>
        <v>5.6995607121061449E-12</v>
      </c>
      <c r="GC141" s="22">
        <f t="shared" si="133"/>
        <v>1.0714397109046761E-11</v>
      </c>
      <c r="GD141" s="60">
        <f t="shared" si="134"/>
        <v>293.333333333344</v>
      </c>
      <c r="GE141" s="60">
        <f ca="1">AVERAGE(OFFSET($GD$3,0,0,'Données projet'!$E$17+1,1))-AVERAGE(OFFSET($H$3,0,0,'Données projet'!$E$17+1,1))</f>
        <v>323.56667371063662</v>
      </c>
      <c r="GF141" s="60">
        <f t="shared" si="158"/>
        <v>275.70373467723385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>
        <f>EXP(-LN(2)/35)*GL140+(1-EXP(-LN(2)/35))/(LN(2)/35)*GH141*GI141*VLOOKUP('Données projet'!$B$17,Paramètres!$A$1:$I$89,3,0)*0.475*44/12</f>
        <v>0</v>
      </c>
      <c r="GM141" s="23">
        <f>EXP(-LN(2)/25)*GM140+(1-EXP(-LN(2)/25))/(LN(2)/25)*Calculateur!GH141*Calculateur!GJ141*VLOOKUP('Données projet'!$B$17,Paramètres!$A$1:$I$89,3,0)*0.475*44/12</f>
        <v>0</v>
      </c>
      <c r="GN141" s="23">
        <f>EXP(-LN(2)/2)*GN140+(1-EXP(-LN(2)/2))/(LN(2)/2)*GH141*GK141*VLOOKUP('Données projet'!$B$17,Paramètres!$A$1:$I$89,3,0)*0.475*44/12</f>
        <v>0</v>
      </c>
      <c r="GO141" s="23">
        <f t="shared" si="135"/>
        <v>0</v>
      </c>
      <c r="GP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0" t="e">
        <f t="shared" si="137"/>
        <v>#N/A</v>
      </c>
      <c r="GZ141" s="60" t="e">
        <f ca="1">AVERAGE(OFFSET($GY$3,0,0,'Données projet'!$E$18+1,1))-AVERAGE(OFFSET($H$3,0,0,'Données projet'!$E$18+1,1))</f>
        <v>#N/A</v>
      </c>
      <c r="HA141" s="60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4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2">
        <f t="shared" si="140"/>
        <v>21.130188018659304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-1.1368683772161603E-13</v>
      </c>
      <c r="O142" s="14">
        <f>N142*VLOOKUP('Données projet'!$B$9,Paramètres!$A$1:$I$89,3,0)*VLOOKUP('Données projet'!$B$9,Paramètres!$A$1:$I$89,5,0)</f>
        <v>-6.7984728957526396E-14</v>
      </c>
      <c r="P142" s="14" t="e">
        <f t="shared" si="141"/>
        <v>#NUM!</v>
      </c>
      <c r="Q142" s="22" t="e">
        <f t="shared" si="108"/>
        <v>#NUM!</v>
      </c>
      <c r="R142" s="60" t="e">
        <f t="shared" si="109"/>
        <v>#NUM!</v>
      </c>
      <c r="S142" s="60">
        <f ca="1">AVERAGE(OFFSET($R$3,0,0,'Données projet'!$E$9+1,1))-AVERAGE(OFFSET($H$3,0,0,'Données projet'!$E$9+1,1))</f>
        <v>235.63766249714581</v>
      </c>
      <c r="T142" s="60">
        <f t="shared" si="142"/>
        <v>231.3297293785277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1.3249812213806309</v>
      </c>
      <c r="AA142" s="23">
        <f>EXP(-LN(2)/25)*AA141+(1-EXP(-LN(2)/25))/(LN(2)/25)*Calculateur!V142*Calculateur!X142*VLOOKUP('Données projet'!$B$9,Paramètres!$A$1:$I$89,3,0)*0.475*44/12</f>
        <v>0.84193370527816958</v>
      </c>
      <c r="AB142" s="23">
        <f>EXP(-LN(2)/2)*AB141+(1-EXP(-LN(2)/2))/(LN(2)/2)*V142*Y142*VLOOKUP('Données projet'!$B$9,Paramètres!$A$1:$I$89,3,0)*0.475*44/12</f>
        <v>2.791794009765882E-16</v>
      </c>
      <c r="AC142" s="24">
        <f t="shared" si="111"/>
        <v>2.166914926658801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2.7</v>
      </c>
      <c r="AI142" s="14">
        <f>IF('Données projet'!$A$62&gt;35,AI141+AH142-AQ141,IF(A142&lt;'Données projet'!$A$62,$AF$205^A142,IF(A142='Données projet'!$A$62,'Données projet'!$B$62,AI141+AH142-AQ141)))</f>
        <v>293.29999999999927</v>
      </c>
      <c r="AJ142" s="14">
        <f>AI142*VLOOKUP('Données projet'!$B$10,Paramètres!$A$1:$I$89,3,0)*VLOOKUP('Données projet'!$B$10,Paramètres!$A$1:$I$89,5,0)</f>
        <v>297.40619999999927</v>
      </c>
      <c r="AK142" s="14">
        <f t="shared" si="143"/>
        <v>70.632428863759543</v>
      </c>
      <c r="AL142" s="22">
        <f t="shared" si="112"/>
        <v>641.0006119377133</v>
      </c>
      <c r="AM142" s="60">
        <f t="shared" si="113"/>
        <v>934.33394527104656</v>
      </c>
      <c r="AN142" s="60">
        <f ca="1">AVERAGE(OFFSET($AM$3,0,0,'Données projet'!$E$10+1,1))-AVERAGE(OFFSET($H$3,0,0,'Données projet'!$E$10+1,1))</f>
        <v>350.3652766444938</v>
      </c>
      <c r="AO142" s="60">
        <f t="shared" si="144"/>
        <v>197.04549436738586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6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2.7</v>
      </c>
      <c r="BD142" s="13">
        <f>IF('Données projet'!$A$88&gt;35,BD141+BC142-BL141,IF(A142&lt;'Données projet'!$A$88,$BA$205^A142,IF(A142='Données projet'!$A$88,'Données projet'!$B$88,BD141+BC142-BL141)))</f>
        <v>293.29999999999927</v>
      </c>
      <c r="BE142" s="14">
        <f>BD142*VLOOKUP('Données projet'!$B$11,Paramètres!$A$1:$I$89,3,0)*VLOOKUP('Données projet'!$B$11,Paramètres!$A$1:$I$89,5,0)</f>
        <v>283.67975999999931</v>
      </c>
      <c r="BF142" s="14">
        <f t="shared" si="145"/>
        <v>67.74405605004435</v>
      </c>
      <c r="BG142" s="22">
        <f t="shared" si="115"/>
        <v>612.06314628715938</v>
      </c>
      <c r="BH142" s="60">
        <f t="shared" si="116"/>
        <v>905.39647962049276</v>
      </c>
      <c r="BI142" s="60">
        <f ca="1">AVERAGE(OFFSET($BH$3,0,0,'Données projet'!$E$11+1,1))-AVERAGE(OFFSET($H$3,0,0,'Données projet'!$E$11+1,1))</f>
        <v>330.39429528665841</v>
      </c>
      <c r="BJ142" s="60">
        <f t="shared" si="146"/>
        <v>186.45728006007261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1.7053025658242404E-13</v>
      </c>
      <c r="BZ142" s="14">
        <f>BY142*VLOOKUP('Données projet'!$B$12,Paramètres!$A$1:$I$89,3,0)*VLOOKUP('Données projet'!$B$12,Paramètres!$A$1:$I$89,5,0)</f>
        <v>1.1439169611549005E-13</v>
      </c>
      <c r="CA142" s="14">
        <f t="shared" si="147"/>
        <v>1.6918016515029816E-12</v>
      </c>
      <c r="CB142" s="22">
        <f t="shared" si="118"/>
        <v>3.1457867471021712E-12</v>
      </c>
      <c r="CC142" s="60">
        <f t="shared" si="119"/>
        <v>293.33333333333644</v>
      </c>
      <c r="CD142" s="60">
        <f ca="1">AVERAGE(OFFSET($CC$3,0,0,'Données projet'!$E$12+1,1))-AVERAGE(OFFSET($H$3,0,0,'Données projet'!$E$12+1,1))</f>
        <v>212.33913923444732</v>
      </c>
      <c r="CE142" s="60">
        <f t="shared" si="148"/>
        <v>183.51194426094372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-3.979039320256561E-13</v>
      </c>
      <c r="CU142" s="18">
        <f>CT142*VLOOKUP('Données projet'!$B$13,Paramètres!$A$1:$I$89,3,0)*VLOOKUP('Données projet'!$B$13,Paramètres!$A$1:$I$89,5,0)</f>
        <v>-3.4760887501761321E-13</v>
      </c>
      <c r="CV142" s="14" t="e">
        <f t="shared" si="149"/>
        <v>#NUM!</v>
      </c>
      <c r="CW142" s="22" t="e">
        <f t="shared" si="121"/>
        <v>#NUM!</v>
      </c>
      <c r="CX142" s="60" t="e">
        <f t="shared" si="122"/>
        <v>#NUM!</v>
      </c>
      <c r="CY142" s="60">
        <f ca="1">AVERAGE(OFFSET($CX$3,0,0,'Données projet'!$E$13+1,1))-AVERAGE(OFFSET($H$3,0,0,'Données projet'!$E$13+1,1))</f>
        <v>228.0393346366489</v>
      </c>
      <c r="CZ142" s="60">
        <f t="shared" si="150"/>
        <v>238.591781509447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2.7</v>
      </c>
      <c r="DO142" s="13">
        <f>IF('Données projet'!$A$166&gt;35,DO141+DN142-DW141,IF(A142&lt;'Données projet'!$A$166,$DL$205^A142,IF(A142='Données projet'!$A$166,'Données projet'!$B$166,DO141+DN142-DW141)))</f>
        <v>293.29999999999927</v>
      </c>
      <c r="DP142" s="18">
        <f>DO142*VLOOKUP('Données projet'!$B$14,Paramètres!$A$1:$I$89,3,0)*VLOOKUP('Données projet'!$B$14,Paramètres!$A$1:$I$89,5,0)</f>
        <v>265.37783999999937</v>
      </c>
      <c r="DQ142" s="14">
        <f t="shared" si="151"/>
        <v>63.867346655917089</v>
      </c>
      <c r="DR142" s="22">
        <f t="shared" si="124"/>
        <v>573.43536675905443</v>
      </c>
      <c r="DS142" s="60">
        <f t="shared" si="125"/>
        <v>866.76870009238769</v>
      </c>
      <c r="DT142" s="60">
        <f ca="1">AVERAGE(OFFSET($DS$3,0,0,'Données projet'!$E$14+1,1))-AVERAGE(OFFSET($H$3,0,0,'Données projet'!$E$14+1,1))</f>
        <v>303.73499739059076</v>
      </c>
      <c r="DU142" s="60">
        <f t="shared" si="152"/>
        <v>172.32171001882188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1.1368683772161603E-13</v>
      </c>
      <c r="EK142" s="18">
        <f>EJ142*VLOOKUP('Données projet'!$B$15,Paramètres!$A$1:$I$89,3,0)*VLOOKUP('Données projet'!$B$15,Paramètres!$A$1:$I$89,5,0)</f>
        <v>6.7984728957526396E-14</v>
      </c>
      <c r="EL142" s="14">
        <f t="shared" si="153"/>
        <v>1.0682447123141398E-12</v>
      </c>
      <c r="EM142" s="22">
        <f t="shared" si="127"/>
        <v>1.978932943548152E-12</v>
      </c>
      <c r="EN142" s="60">
        <f t="shared" si="128"/>
        <v>293.3333333333353</v>
      </c>
      <c r="EO142" s="60">
        <f ca="1">AVERAGE(OFFSET($EN$3,0,0,'Données projet'!$E$15+1,1))-AVERAGE(OFFSET($H$3,0,0,'Données projet'!$E$15+1,1))</f>
        <v>269.94948820700841</v>
      </c>
      <c r="EP142" s="60">
        <f t="shared" si="154"/>
        <v>183.45158355135192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0.66495400404294103</v>
      </c>
      <c r="EX142" s="23">
        <f>EXP(-LN(2)/2)*EX141+(1-EXP(-LN(2)/2))/(LN(2)/2)*ER142*EU142*VLOOKUP('Données projet'!$B$15,Paramètres!$A$1:$I$89,3,0)*0.475*44/12</f>
        <v>2.2130577577983169E-16</v>
      </c>
      <c r="EY142" s="24">
        <f t="shared" si="129"/>
        <v>0.66495400404294125</v>
      </c>
      <c r="EZ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>
        <f>FE142*VLOOKUP('Données projet'!$B$16,Paramètres!$A$1:$I$89,3,0)*VLOOKUP('Données projet'!$B$16,Paramètres!$A$1:$I$89,5,0)</f>
        <v>0</v>
      </c>
      <c r="FG142" s="14" t="e">
        <f t="shared" si="155"/>
        <v>#NUM!</v>
      </c>
      <c r="FH142" s="22" t="e">
        <f t="shared" si="130"/>
        <v>#NUM!</v>
      </c>
      <c r="FI142" s="60" t="e">
        <f t="shared" si="131"/>
        <v>#NUM!</v>
      </c>
      <c r="FJ142" s="60">
        <f ca="1">AVERAGE(OFFSET($FI$3,0,0,'Données projet'!$E$16+1,1))-AVERAGE(OFFSET($H$3,0,0,'Données projet'!$E$16+1,1))</f>
        <v>111.24788725253484</v>
      </c>
      <c r="FK142" s="60">
        <f t="shared" si="156"/>
        <v>82.434879813357327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projet'!$B$16,Paramètres!$A$1:$I$89,3,0)*0.475*44/12</f>
        <v>0</v>
      </c>
      <c r="FR142" s="23">
        <f>EXP(-LN(2)/25)*FR141+(1-EXP(-LN(2)/25))/(LN(2)/25)*Calculateur!FM142*Calculateur!FO142*VLOOKUP('Données projet'!$B$16,Paramètres!$A$1:$I$89,3,0)*0.475*44/12</f>
        <v>0</v>
      </c>
      <c r="FS142" s="23">
        <f>EXP(-LN(2)/2)*FS141+(1-EXP(-LN(2)/2))/(LN(2)/2)*FM142*FP142*VLOOKUP('Données projet'!$B$16,Paramètres!$A$1:$I$89,3,0)*0.475*44/12</f>
        <v>0</v>
      </c>
      <c r="FT142" s="24">
        <f t="shared" si="132"/>
        <v>0</v>
      </c>
      <c r="FU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1.0231815394945443E-12</v>
      </c>
      <c r="GA142" s="18">
        <f>FZ142*VLOOKUP('Données projet'!$B$17,Paramètres!$A$1:$I$89,3,0)*VLOOKUP('Données projet'!$B$17,Paramètres!$A$1:$I$89,5,0)</f>
        <v>4.5224624045658859E-13</v>
      </c>
      <c r="GB142" s="14">
        <f t="shared" si="157"/>
        <v>5.6995607121061449E-12</v>
      </c>
      <c r="GC142" s="22">
        <f t="shared" si="133"/>
        <v>1.0714397109046761E-11</v>
      </c>
      <c r="GD142" s="60">
        <f t="shared" si="134"/>
        <v>293.333333333344</v>
      </c>
      <c r="GE142" s="60">
        <f ca="1">AVERAGE(OFFSET($GD$3,0,0,'Données projet'!$E$17+1,1))-AVERAGE(OFFSET($H$3,0,0,'Données projet'!$E$17+1,1))</f>
        <v>323.56667371063662</v>
      </c>
      <c r="GF142" s="60">
        <f t="shared" si="158"/>
        <v>275.70373467723385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>
        <f>EXP(-LN(2)/35)*GL141+(1-EXP(-LN(2)/35))/(LN(2)/35)*GH142*GI142*VLOOKUP('Données projet'!$B$17,Paramètres!$A$1:$I$89,3,0)*0.475*44/12</f>
        <v>0</v>
      </c>
      <c r="GM142" s="23">
        <f>EXP(-LN(2)/25)*GM141+(1-EXP(-LN(2)/25))/(LN(2)/25)*Calculateur!GH142*Calculateur!GJ142*VLOOKUP('Données projet'!$B$17,Paramètres!$A$1:$I$89,3,0)*0.475*44/12</f>
        <v>0</v>
      </c>
      <c r="GN142" s="23">
        <f>EXP(-LN(2)/2)*GN141+(1-EXP(-LN(2)/2))/(LN(2)/2)*GH142*GK142*VLOOKUP('Données projet'!$B$17,Paramètres!$A$1:$I$89,3,0)*0.475*44/12</f>
        <v>0</v>
      </c>
      <c r="GO142" s="23">
        <f t="shared" si="135"/>
        <v>0</v>
      </c>
      <c r="GP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0" t="e">
        <f t="shared" si="137"/>
        <v>#N/A</v>
      </c>
      <c r="GZ142" s="60" t="e">
        <f ca="1">AVERAGE(OFFSET($GY$3,0,0,'Données projet'!$E$18+1,1))-AVERAGE(OFFSET($H$3,0,0,'Données projet'!$E$18+1,1))</f>
        <v>#N/A</v>
      </c>
      <c r="HA142" s="60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4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2">
        <f t="shared" si="140"/>
        <v>21.264453036605797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-1.1368683772161603E-13</v>
      </c>
      <c r="O143" s="14">
        <f>N143*VLOOKUP('Données projet'!$B$9,Paramètres!$A$1:$I$89,3,0)*VLOOKUP('Données projet'!$B$9,Paramètres!$A$1:$I$89,5,0)</f>
        <v>-6.7984728957526396E-14</v>
      </c>
      <c r="P143" s="14" t="e">
        <f t="shared" si="141"/>
        <v>#NUM!</v>
      </c>
      <c r="Q143" s="22" t="e">
        <f t="shared" si="108"/>
        <v>#NUM!</v>
      </c>
      <c r="R143" s="60" t="e">
        <f t="shared" si="109"/>
        <v>#NUM!</v>
      </c>
      <c r="S143" s="60">
        <f ca="1">AVERAGE(OFFSET($R$3,0,0,'Données projet'!$E$9+1,1))-AVERAGE(OFFSET($H$3,0,0,'Données projet'!$E$9+1,1))</f>
        <v>235.63766249714581</v>
      </c>
      <c r="T143" s="60">
        <f t="shared" si="142"/>
        <v>231.3297293785277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1.2989991477881027</v>
      </c>
      <c r="AA143" s="23">
        <f>EXP(-LN(2)/25)*AA142+(1-EXP(-LN(2)/25))/(LN(2)/25)*Calculateur!V143*Calculateur!X143*VLOOKUP('Données projet'!$B$9,Paramètres!$A$1:$I$89,3,0)*0.475*44/12</f>
        <v>0.8189109838319687</v>
      </c>
      <c r="AB143" s="23">
        <f>EXP(-LN(2)/2)*AB142+(1-EXP(-LN(2)/2))/(LN(2)/2)*V143*Y143*VLOOKUP('Données projet'!$B$9,Paramètres!$A$1:$I$89,3,0)*0.475*44/12</f>
        <v>1.9740964759814376E-16</v>
      </c>
      <c r="AC143" s="24">
        <f t="shared" si="111"/>
        <v>2.1179101316200715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>
        <f>VLOOKUP(A143,'Données projet'!$A$61:$I$81,2,0)</f>
        <v>296</v>
      </c>
      <c r="AG143" s="13">
        <f>VLOOKUP(A143,'Données projet'!$A$61:$I$81,9,0)</f>
        <v>2.7</v>
      </c>
      <c r="AH143" s="13">
        <f t="array" ref="AH143">INDEX(AG:AG,MIN(IF(ISNUMBER(AG143:AG339),ROW(AG143:AG339),"")))</f>
        <v>2.7</v>
      </c>
      <c r="AI143" s="14">
        <f>IF('Données projet'!$A$62&gt;35,AI142+AH143-AQ142,IF(A143&lt;'Données projet'!$A$62,$AF$205^A143,IF(A143='Données projet'!$A$62,'Données projet'!$B$62,AI142+AH143-AQ142)))</f>
        <v>295.99999999999926</v>
      </c>
      <c r="AJ143" s="14">
        <f>AI143*VLOOKUP('Données projet'!$B$10,Paramètres!$A$1:$I$89,3,0)*VLOOKUP('Données projet'!$B$10,Paramètres!$A$1:$I$89,5,0)</f>
        <v>300.14399999999927</v>
      </c>
      <c r="AK143" s="14">
        <f t="shared" si="143"/>
        <v>71.206650563609728</v>
      </c>
      <c r="AL143" s="22">
        <f t="shared" si="112"/>
        <v>646.76904973161891</v>
      </c>
      <c r="AM143" s="60">
        <f t="shared" si="113"/>
        <v>940.10238306495216</v>
      </c>
      <c r="AN143" s="60">
        <f ca="1">AVERAGE(OFFSET($AM$3,0,0,'Données projet'!$E$10+1,1))-AVERAGE(OFFSET($H$3,0,0,'Données projet'!$E$10+1,1))</f>
        <v>350.3652766444938</v>
      </c>
      <c r="AO143" s="60">
        <f t="shared" si="144"/>
        <v>197.04549436738586</v>
      </c>
      <c r="AP143" s="16">
        <f>IF(ISNA(VLOOKUP(A143,'Données projet'!$A$61:$I$81,3,0)),0,VLOOKUP(A143,'Données projet'!$A$61:$I$81,3,0))</f>
        <v>12</v>
      </c>
      <c r="AQ143" s="16">
        <f>IF(ISNA(VLOOKUP(A143,'Données projet'!$A$61:$I$81,4,0)),0,VLOOKUP(A143,'Données projet'!$A$61:$I$81,4,0))</f>
        <v>27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6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>
        <f>VLOOKUP(A143,'Données projet'!$A$87:$I$107,2,0)</f>
        <v>296</v>
      </c>
      <c r="BB143" s="13">
        <f>VLOOKUP(A143,'Données projet'!$A$87:$I$107,9,0)</f>
        <v>2.7</v>
      </c>
      <c r="BC143" s="13">
        <f t="array" ref="BC143">INDEX(BB:BB,MIN(IF(ISNUMBER(BB143:BB339),ROW(BB143:BB339),"")))</f>
        <v>2.7</v>
      </c>
      <c r="BD143" s="13">
        <f>IF('Données projet'!$A$88&gt;35,BD142+BC143-BL142,IF(A143&lt;'Données projet'!$A$88,$BA$205^A143,IF(A143='Données projet'!$A$88,'Données projet'!$B$88,BD142+BC143-BL142)))</f>
        <v>295.99999999999926</v>
      </c>
      <c r="BE143" s="14">
        <f>BD143*VLOOKUP('Données projet'!$B$11,Paramètres!$A$1:$I$89,3,0)*VLOOKUP('Données projet'!$B$11,Paramètres!$A$1:$I$89,5,0)</f>
        <v>286.29119999999926</v>
      </c>
      <c r="BF143" s="14">
        <f t="shared" si="145"/>
        <v>68.294796094604223</v>
      </c>
      <c r="BG143" s="22">
        <f t="shared" si="115"/>
        <v>617.57060986476779</v>
      </c>
      <c r="BH143" s="60">
        <f t="shared" si="116"/>
        <v>910.90394319810116</v>
      </c>
      <c r="BI143" s="60">
        <f ca="1">AVERAGE(OFFSET($BH$3,0,0,'Données projet'!$E$11+1,1))-AVERAGE(OFFSET($H$3,0,0,'Données projet'!$E$11+1,1))</f>
        <v>330.39429528665841</v>
      </c>
      <c r="BJ143" s="60">
        <f t="shared" si="146"/>
        <v>186.45728006007261</v>
      </c>
      <c r="BK143" s="16">
        <f>IF(ISNA(VLOOKUP(A143,'Données projet'!$A$87:$I$107,3,0)),0,VLOOKUP(A143,'Données projet'!$A$87:$I$107,3,0))</f>
        <v>12</v>
      </c>
      <c r="BL143" s="16">
        <f>IF(ISNA(VLOOKUP(A143,'Données projet'!$A$87:$I$107,4,0)),0,VLOOKUP(A143,'Données projet'!$A$87:$I$107,4,0))</f>
        <v>27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1.7053025658242404E-13</v>
      </c>
      <c r="BZ143" s="14">
        <f>BY143*VLOOKUP('Données projet'!$B$12,Paramètres!$A$1:$I$89,3,0)*VLOOKUP('Données projet'!$B$12,Paramètres!$A$1:$I$89,5,0)</f>
        <v>1.1439169611549005E-13</v>
      </c>
      <c r="CA143" s="14">
        <f t="shared" si="147"/>
        <v>1.6918016515029816E-12</v>
      </c>
      <c r="CB143" s="22">
        <f t="shared" si="118"/>
        <v>3.1457867471021712E-12</v>
      </c>
      <c r="CC143" s="60">
        <f t="shared" si="119"/>
        <v>293.33333333333644</v>
      </c>
      <c r="CD143" s="60">
        <f ca="1">AVERAGE(OFFSET($CC$3,0,0,'Données projet'!$E$12+1,1))-AVERAGE(OFFSET($H$3,0,0,'Données projet'!$E$12+1,1))</f>
        <v>212.33913923444732</v>
      </c>
      <c r="CE143" s="60">
        <f t="shared" si="148"/>
        <v>183.51194426094372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-3.979039320256561E-13</v>
      </c>
      <c r="CU143" s="18">
        <f>CT143*VLOOKUP('Données projet'!$B$13,Paramètres!$A$1:$I$89,3,0)*VLOOKUP('Données projet'!$B$13,Paramètres!$A$1:$I$89,5,0)</f>
        <v>-3.4760887501761321E-13</v>
      </c>
      <c r="CV143" s="14" t="e">
        <f t="shared" si="149"/>
        <v>#NUM!</v>
      </c>
      <c r="CW143" s="22" t="e">
        <f t="shared" si="121"/>
        <v>#NUM!</v>
      </c>
      <c r="CX143" s="60" t="e">
        <f t="shared" si="122"/>
        <v>#NUM!</v>
      </c>
      <c r="CY143" s="60">
        <f ca="1">AVERAGE(OFFSET($CX$3,0,0,'Données projet'!$E$13+1,1))-AVERAGE(OFFSET($H$3,0,0,'Données projet'!$E$13+1,1))</f>
        <v>228.0393346366489</v>
      </c>
      <c r="CZ143" s="60">
        <f t="shared" si="150"/>
        <v>238.591781509447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>
        <f>VLOOKUP(A143,'Données projet'!$A$165:$I$185,2,0)</f>
        <v>296</v>
      </c>
      <c r="DM143" s="13">
        <f>VLOOKUP(A143,'Données projet'!$A$165:$I$185,9,0)</f>
        <v>2.7</v>
      </c>
      <c r="DN143" s="13">
        <f t="array" ref="DN143">INDEX(DM:DM,MIN(IF(ISNUMBER(DM143:DM339),ROW(DM143:DM339),"")))</f>
        <v>2.7</v>
      </c>
      <c r="DO143" s="13">
        <f>IF('Données projet'!$A$166&gt;35,DO142+DN143-DW142,IF(A143&lt;'Données projet'!$A$166,$DL$205^A143,IF(A143='Données projet'!$A$166,'Données projet'!$B$166,DO142+DN143-DW142)))</f>
        <v>295.99999999999926</v>
      </c>
      <c r="DP143" s="18">
        <f>DO143*VLOOKUP('Données projet'!$B$14,Paramètres!$A$1:$I$89,3,0)*VLOOKUP('Données projet'!$B$14,Paramètres!$A$1:$I$89,5,0)</f>
        <v>267.82079999999934</v>
      </c>
      <c r="DQ143" s="14">
        <f t="shared" si="151"/>
        <v>64.386570147897245</v>
      </c>
      <c r="DR143" s="22">
        <f t="shared" si="124"/>
        <v>578.59450300758647</v>
      </c>
      <c r="DS143" s="60">
        <f t="shared" si="125"/>
        <v>871.92783634091984</v>
      </c>
      <c r="DT143" s="60">
        <f ca="1">AVERAGE(OFFSET($DS$3,0,0,'Données projet'!$E$14+1,1))-AVERAGE(OFFSET($H$3,0,0,'Données projet'!$E$14+1,1))</f>
        <v>303.73499739059076</v>
      </c>
      <c r="DU143" s="60">
        <f t="shared" si="152"/>
        <v>172.32171001882188</v>
      </c>
      <c r="DV143" s="16">
        <f>IF(ISNA(VLOOKUP(A143,'Données projet'!$A$165:$I$185,3,0)),0,VLOOKUP(A143,'Données projet'!$A$165:$I$185,3,0))</f>
        <v>12</v>
      </c>
      <c r="DW143" s="16">
        <f>IF(ISNA(VLOOKUP(A143,'Données projet'!$A$165:$I$185,4,0)),0,VLOOKUP(A143,'Données projet'!$A$165:$I$185,4,0))</f>
        <v>27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1.1368683772161603E-13</v>
      </c>
      <c r="EK143" s="18">
        <f>EJ143*VLOOKUP('Données projet'!$B$15,Paramètres!$A$1:$I$89,3,0)*VLOOKUP('Données projet'!$B$15,Paramètres!$A$1:$I$89,5,0)</f>
        <v>6.7984728957526396E-14</v>
      </c>
      <c r="EL143" s="14">
        <f t="shared" si="153"/>
        <v>1.0682447123141398E-12</v>
      </c>
      <c r="EM143" s="22">
        <f t="shared" si="127"/>
        <v>1.978932943548152E-12</v>
      </c>
      <c r="EN143" s="60">
        <f t="shared" si="128"/>
        <v>293.3333333333353</v>
      </c>
      <c r="EO143" s="60">
        <f ca="1">AVERAGE(OFFSET($EN$3,0,0,'Données projet'!$E$15+1,1))-AVERAGE(OFFSET($H$3,0,0,'Données projet'!$E$15+1,1))</f>
        <v>269.94948820700841</v>
      </c>
      <c r="EP143" s="60">
        <f t="shared" si="154"/>
        <v>183.45158355135192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0.64677080183397551</v>
      </c>
      <c r="EX143" s="23">
        <f>EXP(-LN(2)/2)*EX142+(1-EXP(-LN(2)/2))/(LN(2)/2)*ER143*EU143*VLOOKUP('Données projet'!$B$15,Paramètres!$A$1:$I$89,3,0)*0.475*44/12</f>
        <v>1.564868147696686E-16</v>
      </c>
      <c r="EY143" s="24">
        <f t="shared" si="129"/>
        <v>0.64677080183397562</v>
      </c>
      <c r="EZ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>
        <f>FE143*VLOOKUP('Données projet'!$B$16,Paramètres!$A$1:$I$89,3,0)*VLOOKUP('Données projet'!$B$16,Paramètres!$A$1:$I$89,5,0)</f>
        <v>0</v>
      </c>
      <c r="FG143" s="14" t="e">
        <f t="shared" si="155"/>
        <v>#NUM!</v>
      </c>
      <c r="FH143" s="22" t="e">
        <f t="shared" si="130"/>
        <v>#NUM!</v>
      </c>
      <c r="FI143" s="60" t="e">
        <f t="shared" si="131"/>
        <v>#NUM!</v>
      </c>
      <c r="FJ143" s="60">
        <f ca="1">AVERAGE(OFFSET($FI$3,0,0,'Données projet'!$E$16+1,1))-AVERAGE(OFFSET($H$3,0,0,'Données projet'!$E$16+1,1))</f>
        <v>111.24788725253484</v>
      </c>
      <c r="FK143" s="60">
        <f t="shared" si="156"/>
        <v>82.434879813357327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projet'!$B$16,Paramètres!$A$1:$I$89,3,0)*0.475*44/12</f>
        <v>0</v>
      </c>
      <c r="FR143" s="23">
        <f>EXP(-LN(2)/25)*FR142+(1-EXP(-LN(2)/25))/(LN(2)/25)*Calculateur!FM143*Calculateur!FO143*VLOOKUP('Données projet'!$B$16,Paramètres!$A$1:$I$89,3,0)*0.475*44/12</f>
        <v>0</v>
      </c>
      <c r="FS143" s="23">
        <f>EXP(-LN(2)/2)*FS142+(1-EXP(-LN(2)/2))/(LN(2)/2)*FM143*FP143*VLOOKUP('Données projet'!$B$16,Paramètres!$A$1:$I$89,3,0)*0.475*44/12</f>
        <v>0</v>
      </c>
      <c r="FT143" s="24">
        <f t="shared" si="132"/>
        <v>0</v>
      </c>
      <c r="FU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1.0231815394945443E-12</v>
      </c>
      <c r="GA143" s="18">
        <f>FZ143*VLOOKUP('Données projet'!$B$17,Paramètres!$A$1:$I$89,3,0)*VLOOKUP('Données projet'!$B$17,Paramètres!$A$1:$I$89,5,0)</f>
        <v>4.5224624045658859E-13</v>
      </c>
      <c r="GB143" s="14">
        <f t="shared" si="157"/>
        <v>5.6995607121061449E-12</v>
      </c>
      <c r="GC143" s="22">
        <f t="shared" si="133"/>
        <v>1.0714397109046761E-11</v>
      </c>
      <c r="GD143" s="60">
        <f t="shared" si="134"/>
        <v>293.333333333344</v>
      </c>
      <c r="GE143" s="60">
        <f ca="1">AVERAGE(OFFSET($GD$3,0,0,'Données projet'!$E$17+1,1))-AVERAGE(OFFSET($H$3,0,0,'Données projet'!$E$17+1,1))</f>
        <v>323.56667371063662</v>
      </c>
      <c r="GF143" s="60">
        <f t="shared" si="158"/>
        <v>275.70373467723385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>
        <f>EXP(-LN(2)/35)*GL142+(1-EXP(-LN(2)/35))/(LN(2)/35)*GH143*GI143*VLOOKUP('Données projet'!$B$17,Paramètres!$A$1:$I$89,3,0)*0.475*44/12</f>
        <v>0</v>
      </c>
      <c r="GM143" s="23">
        <f>EXP(-LN(2)/25)*GM142+(1-EXP(-LN(2)/25))/(LN(2)/25)*Calculateur!GH143*Calculateur!GJ143*VLOOKUP('Données projet'!$B$17,Paramètres!$A$1:$I$89,3,0)*0.475*44/12</f>
        <v>0</v>
      </c>
      <c r="GN143" s="23">
        <f>EXP(-LN(2)/2)*GN142+(1-EXP(-LN(2)/2))/(LN(2)/2)*GH143*GK143*VLOOKUP('Données projet'!$B$17,Paramètres!$A$1:$I$89,3,0)*0.475*44/12</f>
        <v>0</v>
      </c>
      <c r="GO143" s="23">
        <f t="shared" si="135"/>
        <v>0</v>
      </c>
      <c r="GP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0" t="e">
        <f t="shared" si="137"/>
        <v>#N/A</v>
      </c>
      <c r="GZ143" s="60" t="e">
        <f ca="1">AVERAGE(OFFSET($GY$3,0,0,'Données projet'!$E$18+1,1))-AVERAGE(OFFSET($H$3,0,0,'Données projet'!$E$18+1,1))</f>
        <v>#N/A</v>
      </c>
      <c r="HA143" s="60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4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2">
        <f t="shared" si="140"/>
        <v>21.39860646817062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-1.1368683772161603E-13</v>
      </c>
      <c r="O144" s="14">
        <f>N144*VLOOKUP('Données projet'!$B$9,Paramètres!$A$1:$I$89,3,0)*VLOOKUP('Données projet'!$B$9,Paramètres!$A$1:$I$89,5,0)</f>
        <v>-6.7984728957526396E-14</v>
      </c>
      <c r="P144" s="14" t="e">
        <f t="shared" si="141"/>
        <v>#NUM!</v>
      </c>
      <c r="Q144" s="22" t="e">
        <f t="shared" si="108"/>
        <v>#NUM!</v>
      </c>
      <c r="R144" s="60" t="e">
        <f t="shared" si="109"/>
        <v>#NUM!</v>
      </c>
      <c r="S144" s="60">
        <f ca="1">AVERAGE(OFFSET($R$3,0,0,'Données projet'!$E$9+1,1))-AVERAGE(OFFSET($H$3,0,0,'Données projet'!$E$9+1,1))</f>
        <v>235.63766249714581</v>
      </c>
      <c r="T144" s="60">
        <f t="shared" si="142"/>
        <v>231.3297293785277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1.2735265668112239</v>
      </c>
      <c r="AA144" s="23">
        <f>EXP(-LN(2)/25)*AA143+(1-EXP(-LN(2)/25))/(LN(2)/25)*Calculateur!V144*Calculateur!X144*VLOOKUP('Données projet'!$B$9,Paramètres!$A$1:$I$89,3,0)*0.475*44/12</f>
        <v>0.79651781991442649</v>
      </c>
      <c r="AB144" s="23">
        <f>EXP(-LN(2)/2)*AB143+(1-EXP(-LN(2)/2))/(LN(2)/2)*V144*Y144*VLOOKUP('Données projet'!$B$9,Paramètres!$A$1:$I$89,3,0)*0.475*44/12</f>
        <v>1.395897004882941E-16</v>
      </c>
      <c r="AC144" s="24">
        <f t="shared" si="111"/>
        <v>2.0700443867256504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2.4</v>
      </c>
      <c r="AI144" s="14">
        <f>IF('Données projet'!$A$62&gt;35,AI143+AH144-AQ143,IF(A144&lt;'Données projet'!$A$62,$AF$205^A144,IF(A144='Données projet'!$A$62,'Données projet'!$B$62,AI143+AH144-AQ143)))</f>
        <v>271.39999999999924</v>
      </c>
      <c r="AJ144" s="14">
        <f>AI144*VLOOKUP('Données projet'!$B$10,Paramètres!$A$1:$I$89,3,0)*VLOOKUP('Données projet'!$B$10,Paramètres!$A$1:$I$89,5,0)</f>
        <v>275.19959999999924</v>
      </c>
      <c r="AK144" s="14">
        <f t="shared" si="143"/>
        <v>65.951527620662489</v>
      </c>
      <c r="AL144" s="22">
        <f t="shared" si="112"/>
        <v>594.17154727265245</v>
      </c>
      <c r="AM144" s="60">
        <f t="shared" si="113"/>
        <v>887.50488060598582</v>
      </c>
      <c r="AN144" s="60">
        <f ca="1">AVERAGE(OFFSET($AM$3,0,0,'Données projet'!$E$10+1,1))-AVERAGE(OFFSET($H$3,0,0,'Données projet'!$E$10+1,1))</f>
        <v>350.3652766444938</v>
      </c>
      <c r="AO144" s="60">
        <f t="shared" si="144"/>
        <v>197.04549436738586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6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2.4</v>
      </c>
      <c r="BD144" s="13">
        <f>IF('Données projet'!$A$88&gt;35,BD143+BC144-BL143,IF(A144&lt;'Données projet'!$A$88,$BA$205^A144,IF(A144='Données projet'!$A$88,'Données projet'!$B$88,BD143+BC144-BL143)))</f>
        <v>271.39999999999924</v>
      </c>
      <c r="BE144" s="14">
        <f>BD144*VLOOKUP('Données projet'!$B$11,Paramètres!$A$1:$I$89,3,0)*VLOOKUP('Données projet'!$B$11,Paramètres!$A$1:$I$89,5,0)</f>
        <v>262.49807999999928</v>
      </c>
      <c r="BF144" s="14">
        <f t="shared" si="145"/>
        <v>63.254570961137979</v>
      </c>
      <c r="BG144" s="22">
        <f t="shared" si="115"/>
        <v>567.35253375731406</v>
      </c>
      <c r="BH144" s="60">
        <f t="shared" si="116"/>
        <v>860.68586709064743</v>
      </c>
      <c r="BI144" s="60">
        <f ca="1">AVERAGE(OFFSET($BH$3,0,0,'Données projet'!$E$11+1,1))-AVERAGE(OFFSET($H$3,0,0,'Données projet'!$E$11+1,1))</f>
        <v>330.39429528665841</v>
      </c>
      <c r="BJ144" s="60">
        <f t="shared" si="146"/>
        <v>186.45728006007261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1.7053025658242404E-13</v>
      </c>
      <c r="BZ144" s="14">
        <f>BY144*VLOOKUP('Données projet'!$B$12,Paramètres!$A$1:$I$89,3,0)*VLOOKUP('Données projet'!$B$12,Paramètres!$A$1:$I$89,5,0)</f>
        <v>1.1439169611549005E-13</v>
      </c>
      <c r="CA144" s="14">
        <f t="shared" si="147"/>
        <v>1.6918016515029816E-12</v>
      </c>
      <c r="CB144" s="22">
        <f t="shared" si="118"/>
        <v>3.1457867471021712E-12</v>
      </c>
      <c r="CC144" s="60">
        <f t="shared" si="119"/>
        <v>293.33333333333644</v>
      </c>
      <c r="CD144" s="60">
        <f ca="1">AVERAGE(OFFSET($CC$3,0,0,'Données projet'!$E$12+1,1))-AVERAGE(OFFSET($H$3,0,0,'Données projet'!$E$12+1,1))</f>
        <v>212.33913923444732</v>
      </c>
      <c r="CE144" s="60">
        <f t="shared" si="148"/>
        <v>183.51194426094372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-3.979039320256561E-13</v>
      </c>
      <c r="CU144" s="18">
        <f>CT144*VLOOKUP('Données projet'!$B$13,Paramètres!$A$1:$I$89,3,0)*VLOOKUP('Données projet'!$B$13,Paramètres!$A$1:$I$89,5,0)</f>
        <v>-3.4760887501761321E-13</v>
      </c>
      <c r="CV144" s="14" t="e">
        <f t="shared" si="149"/>
        <v>#NUM!</v>
      </c>
      <c r="CW144" s="22" t="e">
        <f t="shared" si="121"/>
        <v>#NUM!</v>
      </c>
      <c r="CX144" s="60" t="e">
        <f t="shared" si="122"/>
        <v>#NUM!</v>
      </c>
      <c r="CY144" s="60">
        <f ca="1">AVERAGE(OFFSET($CX$3,0,0,'Données projet'!$E$13+1,1))-AVERAGE(OFFSET($H$3,0,0,'Données projet'!$E$13+1,1))</f>
        <v>228.0393346366489</v>
      </c>
      <c r="CZ144" s="60">
        <f t="shared" si="150"/>
        <v>238.591781509447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2.4</v>
      </c>
      <c r="DO144" s="13">
        <f>IF('Données projet'!$A$166&gt;35,DO143+DN144-DW143,IF(A144&lt;'Données projet'!$A$166,$DL$205^A144,IF(A144='Données projet'!$A$166,'Données projet'!$B$166,DO143+DN144-DW143)))</f>
        <v>271.39999999999924</v>
      </c>
      <c r="DP144" s="18">
        <f>DO144*VLOOKUP('Données projet'!$B$14,Paramètres!$A$1:$I$89,3,0)*VLOOKUP('Données projet'!$B$14,Paramètres!$A$1:$I$89,5,0)</f>
        <v>245.5627199999993</v>
      </c>
      <c r="DQ144" s="14">
        <f t="shared" si="151"/>
        <v>59.634776048276741</v>
      </c>
      <c r="DR144" s="22">
        <f t="shared" si="124"/>
        <v>531.55230561741405</v>
      </c>
      <c r="DS144" s="60">
        <f t="shared" si="125"/>
        <v>824.88563895074731</v>
      </c>
      <c r="DT144" s="60">
        <f ca="1">AVERAGE(OFFSET($DS$3,0,0,'Données projet'!$E$14+1,1))-AVERAGE(OFFSET($H$3,0,0,'Données projet'!$E$14+1,1))</f>
        <v>303.73499739059076</v>
      </c>
      <c r="DU144" s="60">
        <f t="shared" si="152"/>
        <v>172.32171001882188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1.1368683772161603E-13</v>
      </c>
      <c r="EK144" s="18">
        <f>EJ144*VLOOKUP('Données projet'!$B$15,Paramètres!$A$1:$I$89,3,0)*VLOOKUP('Données projet'!$B$15,Paramètres!$A$1:$I$89,5,0)</f>
        <v>6.7984728957526396E-14</v>
      </c>
      <c r="EL144" s="14">
        <f t="shared" si="153"/>
        <v>1.0682447123141398E-12</v>
      </c>
      <c r="EM144" s="22">
        <f t="shared" si="127"/>
        <v>1.978932943548152E-12</v>
      </c>
      <c r="EN144" s="60">
        <f t="shared" si="128"/>
        <v>293.3333333333353</v>
      </c>
      <c r="EO144" s="60">
        <f ca="1">AVERAGE(OFFSET($EN$3,0,0,'Données projet'!$E$15+1,1))-AVERAGE(OFFSET($H$3,0,0,'Données projet'!$E$15+1,1))</f>
        <v>269.94948820700841</v>
      </c>
      <c r="EP144" s="60">
        <f t="shared" si="154"/>
        <v>183.45158355135192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0.62908482024562717</v>
      </c>
      <c r="EX144" s="23">
        <f>EXP(-LN(2)/2)*EX143+(1-EXP(-LN(2)/2))/(LN(2)/2)*ER144*EU144*VLOOKUP('Données projet'!$B$15,Paramètres!$A$1:$I$89,3,0)*0.475*44/12</f>
        <v>1.1065288788991586E-16</v>
      </c>
      <c r="EY144" s="24">
        <f t="shared" si="129"/>
        <v>0.62908482024562729</v>
      </c>
      <c r="EZ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>
        <f>FE144*VLOOKUP('Données projet'!$B$16,Paramètres!$A$1:$I$89,3,0)*VLOOKUP('Données projet'!$B$16,Paramètres!$A$1:$I$89,5,0)</f>
        <v>0</v>
      </c>
      <c r="FG144" s="14" t="e">
        <f t="shared" si="155"/>
        <v>#NUM!</v>
      </c>
      <c r="FH144" s="22" t="e">
        <f t="shared" si="130"/>
        <v>#NUM!</v>
      </c>
      <c r="FI144" s="60" t="e">
        <f t="shared" si="131"/>
        <v>#NUM!</v>
      </c>
      <c r="FJ144" s="60">
        <f ca="1">AVERAGE(OFFSET($FI$3,0,0,'Données projet'!$E$16+1,1))-AVERAGE(OFFSET($H$3,0,0,'Données projet'!$E$16+1,1))</f>
        <v>111.24788725253484</v>
      </c>
      <c r="FK144" s="60">
        <f t="shared" si="156"/>
        <v>82.434879813357327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projet'!$B$16,Paramètres!$A$1:$I$89,3,0)*0.475*44/12</f>
        <v>0</v>
      </c>
      <c r="FR144" s="23">
        <f>EXP(-LN(2)/25)*FR143+(1-EXP(-LN(2)/25))/(LN(2)/25)*Calculateur!FM144*Calculateur!FO144*VLOOKUP('Données projet'!$B$16,Paramètres!$A$1:$I$89,3,0)*0.475*44/12</f>
        <v>0</v>
      </c>
      <c r="FS144" s="23">
        <f>EXP(-LN(2)/2)*FS143+(1-EXP(-LN(2)/2))/(LN(2)/2)*FM144*FP144*VLOOKUP('Données projet'!$B$16,Paramètres!$A$1:$I$89,3,0)*0.475*44/12</f>
        <v>0</v>
      </c>
      <c r="FT144" s="24">
        <f t="shared" si="132"/>
        <v>0</v>
      </c>
      <c r="FU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1.0231815394945443E-12</v>
      </c>
      <c r="GA144" s="18">
        <f>FZ144*VLOOKUP('Données projet'!$B$17,Paramètres!$A$1:$I$89,3,0)*VLOOKUP('Données projet'!$B$17,Paramètres!$A$1:$I$89,5,0)</f>
        <v>4.5224624045658859E-13</v>
      </c>
      <c r="GB144" s="14">
        <f t="shared" si="157"/>
        <v>5.6995607121061449E-12</v>
      </c>
      <c r="GC144" s="22">
        <f t="shared" si="133"/>
        <v>1.0714397109046761E-11</v>
      </c>
      <c r="GD144" s="60">
        <f t="shared" si="134"/>
        <v>293.333333333344</v>
      </c>
      <c r="GE144" s="60">
        <f ca="1">AVERAGE(OFFSET($GD$3,0,0,'Données projet'!$E$17+1,1))-AVERAGE(OFFSET($H$3,0,0,'Données projet'!$E$17+1,1))</f>
        <v>323.56667371063662</v>
      </c>
      <c r="GF144" s="60">
        <f t="shared" si="158"/>
        <v>275.70373467723385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>
        <f>EXP(-LN(2)/35)*GL143+(1-EXP(-LN(2)/35))/(LN(2)/35)*GH144*GI144*VLOOKUP('Données projet'!$B$17,Paramètres!$A$1:$I$89,3,0)*0.475*44/12</f>
        <v>0</v>
      </c>
      <c r="GM144" s="23">
        <f>EXP(-LN(2)/25)*GM143+(1-EXP(-LN(2)/25))/(LN(2)/25)*Calculateur!GH144*Calculateur!GJ144*VLOOKUP('Données projet'!$B$17,Paramètres!$A$1:$I$89,3,0)*0.475*44/12</f>
        <v>0</v>
      </c>
      <c r="GN144" s="23">
        <f>EXP(-LN(2)/2)*GN143+(1-EXP(-LN(2)/2))/(LN(2)/2)*GH144*GK144*VLOOKUP('Données projet'!$B$17,Paramètres!$A$1:$I$89,3,0)*0.475*44/12</f>
        <v>0</v>
      </c>
      <c r="GO144" s="23">
        <f t="shared" si="135"/>
        <v>0</v>
      </c>
      <c r="GP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0" t="e">
        <f t="shared" si="137"/>
        <v>#N/A</v>
      </c>
      <c r="GZ144" s="60" t="e">
        <f ca="1">AVERAGE(OFFSET($GY$3,0,0,'Données projet'!$E$18+1,1))-AVERAGE(OFFSET($H$3,0,0,'Données projet'!$E$18+1,1))</f>
        <v>#N/A</v>
      </c>
      <c r="HA144" s="60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4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2">
        <f t="shared" si="140"/>
        <v>21.532649196514924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-1.1368683772161603E-13</v>
      </c>
      <c r="O145" s="14">
        <f>N145*VLOOKUP('Données projet'!$B$9,Paramètres!$A$1:$I$89,3,0)*VLOOKUP('Données projet'!$B$9,Paramètres!$A$1:$I$89,5,0)</f>
        <v>-6.7984728957526396E-14</v>
      </c>
      <c r="P145" s="14" t="e">
        <f t="shared" si="141"/>
        <v>#NUM!</v>
      </c>
      <c r="Q145" s="22" t="e">
        <f t="shared" si="108"/>
        <v>#NUM!</v>
      </c>
      <c r="R145" s="60" t="e">
        <f t="shared" si="109"/>
        <v>#NUM!</v>
      </c>
      <c r="S145" s="60">
        <f ca="1">AVERAGE(OFFSET($R$3,0,0,'Données projet'!$E$9+1,1))-AVERAGE(OFFSET($H$3,0,0,'Données projet'!$E$9+1,1))</f>
        <v>235.63766249714581</v>
      </c>
      <c r="T145" s="60">
        <f t="shared" si="142"/>
        <v>231.3297293785277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1.2485534876105615</v>
      </c>
      <c r="AA145" s="23">
        <f>EXP(-LN(2)/25)*AA144+(1-EXP(-LN(2)/25))/(LN(2)/25)*Calculateur!V145*Calculateur!X145*VLOOKUP('Données projet'!$B$9,Paramètres!$A$1:$I$89,3,0)*0.475*44/12</f>
        <v>0.77473699824181486</v>
      </c>
      <c r="AB145" s="23">
        <f>EXP(-LN(2)/2)*AB144+(1-EXP(-LN(2)/2))/(LN(2)/2)*V145*Y145*VLOOKUP('Données projet'!$B$9,Paramètres!$A$1:$I$89,3,0)*0.475*44/12</f>
        <v>9.8704823799071882E-17</v>
      </c>
      <c r="AC145" s="24">
        <f t="shared" si="111"/>
        <v>2.0232904858523764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2.4</v>
      </c>
      <c r="AI145" s="14">
        <f>IF('Données projet'!$A$62&gt;35,AI144+AH145-AQ144,IF(A145&lt;'Données projet'!$A$62,$AF$205^A145,IF(A145='Données projet'!$A$62,'Données projet'!$B$62,AI144+AH145-AQ144)))</f>
        <v>273.79999999999922</v>
      </c>
      <c r="AJ145" s="14">
        <f>AI145*VLOOKUP('Données projet'!$B$10,Paramètres!$A$1:$I$89,3,0)*VLOOKUP('Données projet'!$B$10,Paramètres!$A$1:$I$89,5,0)</f>
        <v>277.63319999999919</v>
      </c>
      <c r="AK145" s="14">
        <f t="shared" si="143"/>
        <v>66.466589162975524</v>
      </c>
      <c r="AL145" s="22">
        <f t="shared" si="112"/>
        <v>599.30713279218094</v>
      </c>
      <c r="AM145" s="60">
        <f t="shared" si="113"/>
        <v>892.64046612551419</v>
      </c>
      <c r="AN145" s="60">
        <f ca="1">AVERAGE(OFFSET($AM$3,0,0,'Données projet'!$E$10+1,1))-AVERAGE(OFFSET($H$3,0,0,'Données projet'!$E$10+1,1))</f>
        <v>350.3652766444938</v>
      </c>
      <c r="AO145" s="60">
        <f t="shared" si="144"/>
        <v>197.04549436738586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6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2.4</v>
      </c>
      <c r="BD145" s="13">
        <f>IF('Données projet'!$A$88&gt;35,BD144+BC145-BL144,IF(A145&lt;'Données projet'!$A$88,$BA$205^A145,IF(A145='Données projet'!$A$88,'Données projet'!$B$88,BD144+BC145-BL144)))</f>
        <v>273.79999999999922</v>
      </c>
      <c r="BE145" s="14">
        <f>BD145*VLOOKUP('Données projet'!$B$11,Paramètres!$A$1:$I$89,3,0)*VLOOKUP('Données projet'!$B$11,Paramètres!$A$1:$I$89,5,0)</f>
        <v>264.81935999999928</v>
      </c>
      <c r="BF145" s="14">
        <f t="shared" si="145"/>
        <v>63.748570085236892</v>
      </c>
      <c r="BG145" s="22">
        <f t="shared" si="115"/>
        <v>572.25581156511964</v>
      </c>
      <c r="BH145" s="60">
        <f t="shared" si="116"/>
        <v>865.58914489845301</v>
      </c>
      <c r="BI145" s="60">
        <f ca="1">AVERAGE(OFFSET($BH$3,0,0,'Données projet'!$E$11+1,1))-AVERAGE(OFFSET($H$3,0,0,'Données projet'!$E$11+1,1))</f>
        <v>330.39429528665841</v>
      </c>
      <c r="BJ145" s="60">
        <f t="shared" si="146"/>
        <v>186.45728006007261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1.7053025658242404E-13</v>
      </c>
      <c r="BZ145" s="14">
        <f>BY145*VLOOKUP('Données projet'!$B$12,Paramètres!$A$1:$I$89,3,0)*VLOOKUP('Données projet'!$B$12,Paramètres!$A$1:$I$89,5,0)</f>
        <v>1.1439169611549005E-13</v>
      </c>
      <c r="CA145" s="14">
        <f t="shared" si="147"/>
        <v>1.6918016515029816E-12</v>
      </c>
      <c r="CB145" s="22">
        <f t="shared" si="118"/>
        <v>3.1457867471021712E-12</v>
      </c>
      <c r="CC145" s="60">
        <f t="shared" si="119"/>
        <v>293.33333333333644</v>
      </c>
      <c r="CD145" s="60">
        <f ca="1">AVERAGE(OFFSET($CC$3,0,0,'Données projet'!$E$12+1,1))-AVERAGE(OFFSET($H$3,0,0,'Données projet'!$E$12+1,1))</f>
        <v>212.33913923444732</v>
      </c>
      <c r="CE145" s="60">
        <f t="shared" si="148"/>
        <v>183.51194426094372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-3.979039320256561E-13</v>
      </c>
      <c r="CU145" s="18">
        <f>CT145*VLOOKUP('Données projet'!$B$13,Paramètres!$A$1:$I$89,3,0)*VLOOKUP('Données projet'!$B$13,Paramètres!$A$1:$I$89,5,0)</f>
        <v>-3.4760887501761321E-13</v>
      </c>
      <c r="CV145" s="14" t="e">
        <f t="shared" si="149"/>
        <v>#NUM!</v>
      </c>
      <c r="CW145" s="22" t="e">
        <f t="shared" si="121"/>
        <v>#NUM!</v>
      </c>
      <c r="CX145" s="60" t="e">
        <f t="shared" si="122"/>
        <v>#NUM!</v>
      </c>
      <c r="CY145" s="60">
        <f ca="1">AVERAGE(OFFSET($CX$3,0,0,'Données projet'!$E$13+1,1))-AVERAGE(OFFSET($H$3,0,0,'Données projet'!$E$13+1,1))</f>
        <v>228.0393346366489</v>
      </c>
      <c r="CZ145" s="60">
        <f t="shared" si="150"/>
        <v>238.591781509447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2.4</v>
      </c>
      <c r="DO145" s="13">
        <f>IF('Données projet'!$A$166&gt;35,DO144+DN145-DW144,IF(A145&lt;'Données projet'!$A$166,$DL$205^A145,IF(A145='Données projet'!$A$166,'Données projet'!$B$166,DO144+DN145-DW144)))</f>
        <v>273.79999999999922</v>
      </c>
      <c r="DP145" s="18">
        <f>DO145*VLOOKUP('Données projet'!$B$14,Paramètres!$A$1:$I$89,3,0)*VLOOKUP('Données projet'!$B$14,Paramètres!$A$1:$I$89,5,0)</f>
        <v>247.73423999999929</v>
      </c>
      <c r="DQ145" s="14">
        <f t="shared" si="151"/>
        <v>60.100505665694953</v>
      </c>
      <c r="DR145" s="22">
        <f t="shared" si="124"/>
        <v>536.14551536775082</v>
      </c>
      <c r="DS145" s="60">
        <f t="shared" si="125"/>
        <v>829.47884870108419</v>
      </c>
      <c r="DT145" s="60">
        <f ca="1">AVERAGE(OFFSET($DS$3,0,0,'Données projet'!$E$14+1,1))-AVERAGE(OFFSET($H$3,0,0,'Données projet'!$E$14+1,1))</f>
        <v>303.73499739059076</v>
      </c>
      <c r="DU145" s="60">
        <f t="shared" si="152"/>
        <v>172.32171001882188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1.1368683772161603E-13</v>
      </c>
      <c r="EK145" s="18">
        <f>EJ145*VLOOKUP('Données projet'!$B$15,Paramètres!$A$1:$I$89,3,0)*VLOOKUP('Données projet'!$B$15,Paramètres!$A$1:$I$89,5,0)</f>
        <v>6.7984728957526396E-14</v>
      </c>
      <c r="EL145" s="14">
        <f t="shared" si="153"/>
        <v>1.0682447123141398E-12</v>
      </c>
      <c r="EM145" s="22">
        <f t="shared" si="127"/>
        <v>1.978932943548152E-12</v>
      </c>
      <c r="EN145" s="60">
        <f t="shared" si="128"/>
        <v>293.3333333333353</v>
      </c>
      <c r="EO145" s="60">
        <f ca="1">AVERAGE(OFFSET($EN$3,0,0,'Données projet'!$E$15+1,1))-AVERAGE(OFFSET($H$3,0,0,'Données projet'!$E$15+1,1))</f>
        <v>269.94948820700841</v>
      </c>
      <c r="EP145" s="60">
        <f t="shared" si="154"/>
        <v>183.45158355135192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0.61188246275387759</v>
      </c>
      <c r="EX145" s="23">
        <f>EXP(-LN(2)/2)*EX144+(1-EXP(-LN(2)/2))/(LN(2)/2)*ER145*EU145*VLOOKUP('Données projet'!$B$15,Paramètres!$A$1:$I$89,3,0)*0.475*44/12</f>
        <v>7.8243407384834313E-17</v>
      </c>
      <c r="EY145" s="24">
        <f t="shared" si="129"/>
        <v>0.6118824627538777</v>
      </c>
      <c r="EZ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>
        <f>FE145*VLOOKUP('Données projet'!$B$16,Paramètres!$A$1:$I$89,3,0)*VLOOKUP('Données projet'!$B$16,Paramètres!$A$1:$I$89,5,0)</f>
        <v>0</v>
      </c>
      <c r="FG145" s="14" t="e">
        <f t="shared" si="155"/>
        <v>#NUM!</v>
      </c>
      <c r="FH145" s="22" t="e">
        <f t="shared" si="130"/>
        <v>#NUM!</v>
      </c>
      <c r="FI145" s="60" t="e">
        <f t="shared" si="131"/>
        <v>#NUM!</v>
      </c>
      <c r="FJ145" s="60">
        <f ca="1">AVERAGE(OFFSET($FI$3,0,0,'Données projet'!$E$16+1,1))-AVERAGE(OFFSET($H$3,0,0,'Données projet'!$E$16+1,1))</f>
        <v>111.24788725253484</v>
      </c>
      <c r="FK145" s="60">
        <f t="shared" si="156"/>
        <v>82.434879813357327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projet'!$B$16,Paramètres!$A$1:$I$89,3,0)*0.475*44/12</f>
        <v>0</v>
      </c>
      <c r="FR145" s="23">
        <f>EXP(-LN(2)/25)*FR144+(1-EXP(-LN(2)/25))/(LN(2)/25)*Calculateur!FM145*Calculateur!FO145*VLOOKUP('Données projet'!$B$16,Paramètres!$A$1:$I$89,3,0)*0.475*44/12</f>
        <v>0</v>
      </c>
      <c r="FS145" s="23">
        <f>EXP(-LN(2)/2)*FS144+(1-EXP(-LN(2)/2))/(LN(2)/2)*FM145*FP145*VLOOKUP('Données projet'!$B$16,Paramètres!$A$1:$I$89,3,0)*0.475*44/12</f>
        <v>0</v>
      </c>
      <c r="FT145" s="24">
        <f t="shared" si="132"/>
        <v>0</v>
      </c>
      <c r="FU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1.0231815394945443E-12</v>
      </c>
      <c r="GA145" s="18">
        <f>FZ145*VLOOKUP('Données projet'!$B$17,Paramètres!$A$1:$I$89,3,0)*VLOOKUP('Données projet'!$B$17,Paramètres!$A$1:$I$89,5,0)</f>
        <v>4.5224624045658859E-13</v>
      </c>
      <c r="GB145" s="14">
        <f t="shared" si="157"/>
        <v>5.6995607121061449E-12</v>
      </c>
      <c r="GC145" s="22">
        <f t="shared" si="133"/>
        <v>1.0714397109046761E-11</v>
      </c>
      <c r="GD145" s="60">
        <f t="shared" si="134"/>
        <v>293.333333333344</v>
      </c>
      <c r="GE145" s="60">
        <f ca="1">AVERAGE(OFFSET($GD$3,0,0,'Données projet'!$E$17+1,1))-AVERAGE(OFFSET($H$3,0,0,'Données projet'!$E$17+1,1))</f>
        <v>323.56667371063662</v>
      </c>
      <c r="GF145" s="60">
        <f t="shared" si="158"/>
        <v>275.70373467723385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>
        <f>EXP(-LN(2)/35)*GL144+(1-EXP(-LN(2)/35))/(LN(2)/35)*GH145*GI145*VLOOKUP('Données projet'!$B$17,Paramètres!$A$1:$I$89,3,0)*0.475*44/12</f>
        <v>0</v>
      </c>
      <c r="GM145" s="23">
        <f>EXP(-LN(2)/25)*GM144+(1-EXP(-LN(2)/25))/(LN(2)/25)*Calculateur!GH145*Calculateur!GJ145*VLOOKUP('Données projet'!$B$17,Paramètres!$A$1:$I$89,3,0)*0.475*44/12</f>
        <v>0</v>
      </c>
      <c r="GN145" s="23">
        <f>EXP(-LN(2)/2)*GN144+(1-EXP(-LN(2)/2))/(LN(2)/2)*GH145*GK145*VLOOKUP('Données projet'!$B$17,Paramètres!$A$1:$I$89,3,0)*0.475*44/12</f>
        <v>0</v>
      </c>
      <c r="GO145" s="23">
        <f t="shared" si="135"/>
        <v>0</v>
      </c>
      <c r="GP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0" t="e">
        <f t="shared" si="137"/>
        <v>#N/A</v>
      </c>
      <c r="GZ145" s="60" t="e">
        <f ca="1">AVERAGE(OFFSET($GY$3,0,0,'Données projet'!$E$18+1,1))-AVERAGE(OFFSET($H$3,0,0,'Données projet'!$E$18+1,1))</f>
        <v>#N/A</v>
      </c>
      <c r="HA145" s="60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4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2">
        <f t="shared" si="140"/>
        <v>21.666582091642102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-1.1368683772161603E-13</v>
      </c>
      <c r="O146" s="14">
        <f>N146*VLOOKUP('Données projet'!$B$9,Paramètres!$A$1:$I$89,3,0)*VLOOKUP('Données projet'!$B$9,Paramètres!$A$1:$I$89,5,0)</f>
        <v>-6.7984728957526396E-14</v>
      </c>
      <c r="P146" s="14" t="e">
        <f t="shared" si="141"/>
        <v>#NUM!</v>
      </c>
      <c r="Q146" s="22" t="e">
        <f t="shared" si="108"/>
        <v>#NUM!</v>
      </c>
      <c r="R146" s="60" t="e">
        <f t="shared" si="109"/>
        <v>#NUM!</v>
      </c>
      <c r="S146" s="60">
        <f ca="1">AVERAGE(OFFSET($R$3,0,0,'Données projet'!$E$9+1,1))-AVERAGE(OFFSET($H$3,0,0,'Données projet'!$E$9+1,1))</f>
        <v>235.63766249714581</v>
      </c>
      <c r="T146" s="60">
        <f t="shared" si="142"/>
        <v>231.3297293785277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1.2240701152609497</v>
      </c>
      <c r="AA146" s="23">
        <f>EXP(-LN(2)/25)*AA145+(1-EXP(-LN(2)/25))/(LN(2)/25)*Calculateur!V146*Calculateur!X146*VLOOKUP('Données projet'!$B$9,Paramètres!$A$1:$I$89,3,0)*0.475*44/12</f>
        <v>0.75355177428324438</v>
      </c>
      <c r="AB146" s="23">
        <f>EXP(-LN(2)/2)*AB145+(1-EXP(-LN(2)/2))/(LN(2)/2)*V146*Y146*VLOOKUP('Données projet'!$B$9,Paramètres!$A$1:$I$89,3,0)*0.475*44/12</f>
        <v>6.9794850244147049E-17</v>
      </c>
      <c r="AC146" s="24">
        <f t="shared" si="111"/>
        <v>1.9776218895441939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2.4</v>
      </c>
      <c r="AI146" s="14">
        <f>IF('Données projet'!$A$62&gt;35,AI145+AH146-AQ145,IF(A146&lt;'Données projet'!$A$62,$AF$205^A146,IF(A146='Données projet'!$A$62,'Données projet'!$B$62,AI145+AH146-AQ145)))</f>
        <v>276.19999999999919</v>
      </c>
      <c r="AJ146" s="14">
        <f>AI146*VLOOKUP('Données projet'!$B$10,Paramètres!$A$1:$I$89,3,0)*VLOOKUP('Données projet'!$B$10,Paramètres!$A$1:$I$89,5,0)</f>
        <v>280.0667999999992</v>
      </c>
      <c r="AK146" s="14">
        <f t="shared" si="143"/>
        <v>66.981125445388756</v>
      </c>
      <c r="AL146" s="22">
        <f t="shared" si="112"/>
        <v>604.44180348405064</v>
      </c>
      <c r="AM146" s="60">
        <f t="shared" si="113"/>
        <v>897.77513681738401</v>
      </c>
      <c r="AN146" s="60">
        <f ca="1">AVERAGE(OFFSET($AM$3,0,0,'Données projet'!$E$10+1,1))-AVERAGE(OFFSET($H$3,0,0,'Données projet'!$E$10+1,1))</f>
        <v>350.3652766444938</v>
      </c>
      <c r="AO146" s="60">
        <f t="shared" si="144"/>
        <v>197.04549436738586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6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2.4</v>
      </c>
      <c r="BD146" s="13">
        <f>IF('Données projet'!$A$88&gt;35,BD145+BC146-BL145,IF(A146&lt;'Données projet'!$A$88,$BA$205^A146,IF(A146='Données projet'!$A$88,'Données projet'!$B$88,BD145+BC146-BL145)))</f>
        <v>276.19999999999919</v>
      </c>
      <c r="BE146" s="14">
        <f>BD146*VLOOKUP('Données projet'!$B$11,Paramètres!$A$1:$I$89,3,0)*VLOOKUP('Données projet'!$B$11,Paramètres!$A$1:$I$89,5,0)</f>
        <v>267.14063999999922</v>
      </c>
      <c r="BF146" s="14">
        <f t="shared" si="145"/>
        <v>64.242065428895785</v>
      </c>
      <c r="BG146" s="22">
        <f t="shared" si="115"/>
        <v>577.15821195532533</v>
      </c>
      <c r="BH146" s="60">
        <f t="shared" si="116"/>
        <v>870.4915452886587</v>
      </c>
      <c r="BI146" s="60">
        <f ca="1">AVERAGE(OFFSET($BH$3,0,0,'Données projet'!$E$11+1,1))-AVERAGE(OFFSET($H$3,0,0,'Données projet'!$E$11+1,1))</f>
        <v>330.39429528665841</v>
      </c>
      <c r="BJ146" s="60">
        <f t="shared" si="146"/>
        <v>186.45728006007261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1.7053025658242404E-13</v>
      </c>
      <c r="BZ146" s="14">
        <f>BY146*VLOOKUP('Données projet'!$B$12,Paramètres!$A$1:$I$89,3,0)*VLOOKUP('Données projet'!$B$12,Paramètres!$A$1:$I$89,5,0)</f>
        <v>1.1439169611549005E-13</v>
      </c>
      <c r="CA146" s="14">
        <f t="shared" si="147"/>
        <v>1.6918016515029816E-12</v>
      </c>
      <c r="CB146" s="22">
        <f t="shared" si="118"/>
        <v>3.1457867471021712E-12</v>
      </c>
      <c r="CC146" s="60">
        <f t="shared" si="119"/>
        <v>293.33333333333644</v>
      </c>
      <c r="CD146" s="60">
        <f ca="1">AVERAGE(OFFSET($CC$3,0,0,'Données projet'!$E$12+1,1))-AVERAGE(OFFSET($H$3,0,0,'Données projet'!$E$12+1,1))</f>
        <v>212.33913923444732</v>
      </c>
      <c r="CE146" s="60">
        <f t="shared" si="148"/>
        <v>183.51194426094372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-3.979039320256561E-13</v>
      </c>
      <c r="CU146" s="18">
        <f>CT146*VLOOKUP('Données projet'!$B$13,Paramètres!$A$1:$I$89,3,0)*VLOOKUP('Données projet'!$B$13,Paramètres!$A$1:$I$89,5,0)</f>
        <v>-3.4760887501761321E-13</v>
      </c>
      <c r="CV146" s="14" t="e">
        <f t="shared" si="149"/>
        <v>#NUM!</v>
      </c>
      <c r="CW146" s="22" t="e">
        <f t="shared" si="121"/>
        <v>#NUM!</v>
      </c>
      <c r="CX146" s="60" t="e">
        <f t="shared" si="122"/>
        <v>#NUM!</v>
      </c>
      <c r="CY146" s="60">
        <f ca="1">AVERAGE(OFFSET($CX$3,0,0,'Données projet'!$E$13+1,1))-AVERAGE(OFFSET($H$3,0,0,'Données projet'!$E$13+1,1))</f>
        <v>228.0393346366489</v>
      </c>
      <c r="CZ146" s="60">
        <f t="shared" si="150"/>
        <v>238.591781509447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2.4</v>
      </c>
      <c r="DO146" s="13">
        <f>IF('Données projet'!$A$166&gt;35,DO145+DN146-DW145,IF(A146&lt;'Données projet'!$A$166,$DL$205^A146,IF(A146='Données projet'!$A$166,'Données projet'!$B$166,DO145+DN146-DW145)))</f>
        <v>276.19999999999919</v>
      </c>
      <c r="DP146" s="18">
        <f>DO146*VLOOKUP('Données projet'!$B$14,Paramètres!$A$1:$I$89,3,0)*VLOOKUP('Données projet'!$B$14,Paramètres!$A$1:$I$89,5,0)</f>
        <v>249.90575999999925</v>
      </c>
      <c r="DQ146" s="14">
        <f t="shared" si="151"/>
        <v>60.565760331923727</v>
      </c>
      <c r="DR146" s="22">
        <f t="shared" si="124"/>
        <v>540.73789791143247</v>
      </c>
      <c r="DS146" s="60">
        <f t="shared" si="125"/>
        <v>834.07123124476584</v>
      </c>
      <c r="DT146" s="60">
        <f ca="1">AVERAGE(OFFSET($DS$3,0,0,'Données projet'!$E$14+1,1))-AVERAGE(OFFSET($H$3,0,0,'Données projet'!$E$14+1,1))</f>
        <v>303.73499739059076</v>
      </c>
      <c r="DU146" s="60">
        <f t="shared" si="152"/>
        <v>172.32171001882188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1.1368683772161603E-13</v>
      </c>
      <c r="EK146" s="18">
        <f>EJ146*VLOOKUP('Données projet'!$B$15,Paramètres!$A$1:$I$89,3,0)*VLOOKUP('Données projet'!$B$15,Paramètres!$A$1:$I$89,5,0)</f>
        <v>6.7984728957526396E-14</v>
      </c>
      <c r="EL146" s="14">
        <f t="shared" si="153"/>
        <v>1.0682447123141398E-12</v>
      </c>
      <c r="EM146" s="22">
        <f t="shared" si="127"/>
        <v>1.978932943548152E-12</v>
      </c>
      <c r="EN146" s="60">
        <f t="shared" si="128"/>
        <v>293.3333333333353</v>
      </c>
      <c r="EO146" s="60">
        <f ca="1">AVERAGE(OFFSET($EN$3,0,0,'Données projet'!$E$15+1,1))-AVERAGE(OFFSET($H$3,0,0,'Données projet'!$E$15+1,1))</f>
        <v>269.94948820700841</v>
      </c>
      <c r="EP146" s="60">
        <f t="shared" si="154"/>
        <v>183.45158355135192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0.59515050463237251</v>
      </c>
      <c r="EX146" s="23">
        <f>EXP(-LN(2)/2)*EX145+(1-EXP(-LN(2)/2))/(LN(2)/2)*ER146*EU146*VLOOKUP('Données projet'!$B$15,Paramètres!$A$1:$I$89,3,0)*0.475*44/12</f>
        <v>5.5326443944957935E-17</v>
      </c>
      <c r="EY146" s="24">
        <f t="shared" si="129"/>
        <v>0.59515050463237251</v>
      </c>
      <c r="EZ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>
        <f>FE146*VLOOKUP('Données projet'!$B$16,Paramètres!$A$1:$I$89,3,0)*VLOOKUP('Données projet'!$B$16,Paramètres!$A$1:$I$89,5,0)</f>
        <v>0</v>
      </c>
      <c r="FG146" s="14" t="e">
        <f t="shared" si="155"/>
        <v>#NUM!</v>
      </c>
      <c r="FH146" s="22" t="e">
        <f t="shared" si="130"/>
        <v>#NUM!</v>
      </c>
      <c r="FI146" s="60" t="e">
        <f t="shared" si="131"/>
        <v>#NUM!</v>
      </c>
      <c r="FJ146" s="60">
        <f ca="1">AVERAGE(OFFSET($FI$3,0,0,'Données projet'!$E$16+1,1))-AVERAGE(OFFSET($H$3,0,0,'Données projet'!$E$16+1,1))</f>
        <v>111.24788725253484</v>
      </c>
      <c r="FK146" s="60">
        <f t="shared" si="156"/>
        <v>82.434879813357327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projet'!$B$16,Paramètres!$A$1:$I$89,3,0)*0.475*44/12</f>
        <v>0</v>
      </c>
      <c r="FR146" s="23">
        <f>EXP(-LN(2)/25)*FR145+(1-EXP(-LN(2)/25))/(LN(2)/25)*Calculateur!FM146*Calculateur!FO146*VLOOKUP('Données projet'!$B$16,Paramètres!$A$1:$I$89,3,0)*0.475*44/12</f>
        <v>0</v>
      </c>
      <c r="FS146" s="23">
        <f>EXP(-LN(2)/2)*FS145+(1-EXP(-LN(2)/2))/(LN(2)/2)*FM146*FP146*VLOOKUP('Données projet'!$B$16,Paramètres!$A$1:$I$89,3,0)*0.475*44/12</f>
        <v>0</v>
      </c>
      <c r="FT146" s="24">
        <f t="shared" si="132"/>
        <v>0</v>
      </c>
      <c r="FU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1.0231815394945443E-12</v>
      </c>
      <c r="GA146" s="18">
        <f>FZ146*VLOOKUP('Données projet'!$B$17,Paramètres!$A$1:$I$89,3,0)*VLOOKUP('Données projet'!$B$17,Paramètres!$A$1:$I$89,5,0)</f>
        <v>4.5224624045658859E-13</v>
      </c>
      <c r="GB146" s="14">
        <f t="shared" si="157"/>
        <v>5.6995607121061449E-12</v>
      </c>
      <c r="GC146" s="22">
        <f t="shared" si="133"/>
        <v>1.0714397109046761E-11</v>
      </c>
      <c r="GD146" s="60">
        <f t="shared" si="134"/>
        <v>293.333333333344</v>
      </c>
      <c r="GE146" s="60">
        <f ca="1">AVERAGE(OFFSET($GD$3,0,0,'Données projet'!$E$17+1,1))-AVERAGE(OFFSET($H$3,0,0,'Données projet'!$E$17+1,1))</f>
        <v>323.56667371063662</v>
      </c>
      <c r="GF146" s="60">
        <f t="shared" si="158"/>
        <v>275.70373467723385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>
        <f>EXP(-LN(2)/35)*GL145+(1-EXP(-LN(2)/35))/(LN(2)/35)*GH146*GI146*VLOOKUP('Données projet'!$B$17,Paramètres!$A$1:$I$89,3,0)*0.475*44/12</f>
        <v>0</v>
      </c>
      <c r="GM146" s="23">
        <f>EXP(-LN(2)/25)*GM145+(1-EXP(-LN(2)/25))/(LN(2)/25)*Calculateur!GH146*Calculateur!GJ146*VLOOKUP('Données projet'!$B$17,Paramètres!$A$1:$I$89,3,0)*0.475*44/12</f>
        <v>0</v>
      </c>
      <c r="GN146" s="23">
        <f>EXP(-LN(2)/2)*GN145+(1-EXP(-LN(2)/2))/(LN(2)/2)*GH146*GK146*VLOOKUP('Données projet'!$B$17,Paramètres!$A$1:$I$89,3,0)*0.475*44/12</f>
        <v>0</v>
      </c>
      <c r="GO146" s="23">
        <f t="shared" si="135"/>
        <v>0</v>
      </c>
      <c r="GP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0" t="e">
        <f t="shared" si="137"/>
        <v>#N/A</v>
      </c>
      <c r="GZ146" s="60" t="e">
        <f ca="1">AVERAGE(OFFSET($GY$3,0,0,'Données projet'!$E$18+1,1))-AVERAGE(OFFSET($H$3,0,0,'Données projet'!$E$18+1,1))</f>
        <v>#N/A</v>
      </c>
      <c r="HA146" s="60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4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2">
        <f t="shared" si="140"/>
        <v>21.800406010684483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-1.1368683772161603E-13</v>
      </c>
      <c r="O147" s="14">
        <f>N147*VLOOKUP('Données projet'!$B$9,Paramètres!$A$1:$I$89,3,0)*VLOOKUP('Données projet'!$B$9,Paramètres!$A$1:$I$89,5,0)</f>
        <v>-6.7984728957526396E-14</v>
      </c>
      <c r="P147" s="14" t="e">
        <f t="shared" si="141"/>
        <v>#NUM!</v>
      </c>
      <c r="Q147" s="22" t="e">
        <f t="shared" si="108"/>
        <v>#NUM!</v>
      </c>
      <c r="R147" s="60" t="e">
        <f t="shared" si="109"/>
        <v>#NUM!</v>
      </c>
      <c r="S147" s="60">
        <f ca="1">AVERAGE(OFFSET($R$3,0,0,'Données projet'!$E$9+1,1))-AVERAGE(OFFSET($H$3,0,0,'Données projet'!$E$9+1,1))</f>
        <v>235.63766249714581</v>
      </c>
      <c r="T147" s="60">
        <f t="shared" si="142"/>
        <v>231.3297293785277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1.2000668469097313</v>
      </c>
      <c r="AA147" s="23">
        <f>EXP(-LN(2)/25)*AA146+(1-EXP(-LN(2)/25))/(LN(2)/25)*Calculateur!V147*Calculateur!X147*VLOOKUP('Données projet'!$B$9,Paramètres!$A$1:$I$89,3,0)*0.475*44/12</f>
        <v>0.73294586138790352</v>
      </c>
      <c r="AB147" s="23">
        <f>EXP(-LN(2)/2)*AB146+(1-EXP(-LN(2)/2))/(LN(2)/2)*V147*Y147*VLOOKUP('Données projet'!$B$9,Paramètres!$A$1:$I$89,3,0)*0.475*44/12</f>
        <v>4.9352411899535941E-17</v>
      </c>
      <c r="AC147" s="24">
        <f t="shared" si="111"/>
        <v>1.9330127082976349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2.4</v>
      </c>
      <c r="AI147" s="14">
        <f>IF('Données projet'!$A$62&gt;35,AI146+AH147-AQ146,IF(A147&lt;'Données projet'!$A$62,$AF$205^A147,IF(A147='Données projet'!$A$62,'Données projet'!$B$62,AI146+AH147-AQ146)))</f>
        <v>278.59999999999917</v>
      </c>
      <c r="AJ147" s="14">
        <f>AI147*VLOOKUP('Données projet'!$B$10,Paramètres!$A$1:$I$89,3,0)*VLOOKUP('Données projet'!$B$10,Paramètres!$A$1:$I$89,5,0)</f>
        <v>282.50039999999916</v>
      </c>
      <c r="AK147" s="14">
        <f t="shared" si="143"/>
        <v>67.495141560894254</v>
      </c>
      <c r="AL147" s="22">
        <f t="shared" si="112"/>
        <v>609.57556821855599</v>
      </c>
      <c r="AM147" s="60">
        <f t="shared" si="113"/>
        <v>902.90890155188936</v>
      </c>
      <c r="AN147" s="60">
        <f ca="1">AVERAGE(OFFSET($AM$3,0,0,'Données projet'!$E$10+1,1))-AVERAGE(OFFSET($H$3,0,0,'Données projet'!$E$10+1,1))</f>
        <v>350.3652766444938</v>
      </c>
      <c r="AO147" s="60">
        <f t="shared" si="144"/>
        <v>197.04549436738586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6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2.4</v>
      </c>
      <c r="BD147" s="13">
        <f>IF('Données projet'!$A$88&gt;35,BD146+BC147-BL146,IF(A147&lt;'Données projet'!$A$88,$BA$205^A147,IF(A147='Données projet'!$A$88,'Données projet'!$B$88,BD146+BC147-BL146)))</f>
        <v>278.59999999999917</v>
      </c>
      <c r="BE147" s="14">
        <f>BD147*VLOOKUP('Données projet'!$B$11,Paramètres!$A$1:$I$89,3,0)*VLOOKUP('Données projet'!$B$11,Paramètres!$A$1:$I$89,5,0)</f>
        <v>269.46191999999922</v>
      </c>
      <c r="BF147" s="14">
        <f t="shared" si="145"/>
        <v>64.735061876838927</v>
      </c>
      <c r="BG147" s="22">
        <f t="shared" si="115"/>
        <v>582.05974343549315</v>
      </c>
      <c r="BH147" s="60">
        <f t="shared" si="116"/>
        <v>875.3930767688264</v>
      </c>
      <c r="BI147" s="60">
        <f ca="1">AVERAGE(OFFSET($BH$3,0,0,'Données projet'!$E$11+1,1))-AVERAGE(OFFSET($H$3,0,0,'Données projet'!$E$11+1,1))</f>
        <v>330.39429528665841</v>
      </c>
      <c r="BJ147" s="60">
        <f t="shared" si="146"/>
        <v>186.45728006007261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1.7053025658242404E-13</v>
      </c>
      <c r="BZ147" s="14">
        <f>BY147*VLOOKUP('Données projet'!$B$12,Paramètres!$A$1:$I$89,3,0)*VLOOKUP('Données projet'!$B$12,Paramètres!$A$1:$I$89,5,0)</f>
        <v>1.1439169611549005E-13</v>
      </c>
      <c r="CA147" s="14">
        <f t="shared" si="147"/>
        <v>1.6918016515029816E-12</v>
      </c>
      <c r="CB147" s="22">
        <f t="shared" si="118"/>
        <v>3.1457867471021712E-12</v>
      </c>
      <c r="CC147" s="60">
        <f t="shared" si="119"/>
        <v>293.33333333333644</v>
      </c>
      <c r="CD147" s="60">
        <f ca="1">AVERAGE(OFFSET($CC$3,0,0,'Données projet'!$E$12+1,1))-AVERAGE(OFFSET($H$3,0,0,'Données projet'!$E$12+1,1))</f>
        <v>212.33913923444732</v>
      </c>
      <c r="CE147" s="60">
        <f t="shared" si="148"/>
        <v>183.51194426094372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-3.979039320256561E-13</v>
      </c>
      <c r="CU147" s="18">
        <f>CT147*VLOOKUP('Données projet'!$B$13,Paramètres!$A$1:$I$89,3,0)*VLOOKUP('Données projet'!$B$13,Paramètres!$A$1:$I$89,5,0)</f>
        <v>-3.4760887501761321E-13</v>
      </c>
      <c r="CV147" s="14" t="e">
        <f t="shared" si="149"/>
        <v>#NUM!</v>
      </c>
      <c r="CW147" s="22" t="e">
        <f t="shared" si="121"/>
        <v>#NUM!</v>
      </c>
      <c r="CX147" s="60" t="e">
        <f t="shared" si="122"/>
        <v>#NUM!</v>
      </c>
      <c r="CY147" s="60">
        <f ca="1">AVERAGE(OFFSET($CX$3,0,0,'Données projet'!$E$13+1,1))-AVERAGE(OFFSET($H$3,0,0,'Données projet'!$E$13+1,1))</f>
        <v>228.0393346366489</v>
      </c>
      <c r="CZ147" s="60">
        <f t="shared" si="150"/>
        <v>238.591781509447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2.4</v>
      </c>
      <c r="DO147" s="13">
        <f>IF('Données projet'!$A$166&gt;35,DO146+DN147-DW146,IF(A147&lt;'Données projet'!$A$166,$DL$205^A147,IF(A147='Données projet'!$A$166,'Données projet'!$B$166,DO146+DN147-DW146)))</f>
        <v>278.59999999999917</v>
      </c>
      <c r="DP147" s="18">
        <f>DO147*VLOOKUP('Données projet'!$B$14,Paramètres!$A$1:$I$89,3,0)*VLOOKUP('Données projet'!$B$14,Paramètres!$A$1:$I$89,5,0)</f>
        <v>252.07727999999923</v>
      </c>
      <c r="DQ147" s="14">
        <f t="shared" si="151"/>
        <v>61.030544652154823</v>
      </c>
      <c r="DR147" s="22">
        <f t="shared" si="124"/>
        <v>545.32946126916829</v>
      </c>
      <c r="DS147" s="60">
        <f t="shared" si="125"/>
        <v>838.66279460250166</v>
      </c>
      <c r="DT147" s="60">
        <f ca="1">AVERAGE(OFFSET($DS$3,0,0,'Données projet'!$E$14+1,1))-AVERAGE(OFFSET($H$3,0,0,'Données projet'!$E$14+1,1))</f>
        <v>303.73499739059076</v>
      </c>
      <c r="DU147" s="60">
        <f t="shared" si="152"/>
        <v>172.32171001882188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1.1368683772161603E-13</v>
      </c>
      <c r="EK147" s="18">
        <f>EJ147*VLOOKUP('Données projet'!$B$15,Paramètres!$A$1:$I$89,3,0)*VLOOKUP('Données projet'!$B$15,Paramètres!$A$1:$I$89,5,0)</f>
        <v>6.7984728957526396E-14</v>
      </c>
      <c r="EL147" s="14">
        <f t="shared" si="153"/>
        <v>1.0682447123141398E-12</v>
      </c>
      <c r="EM147" s="22">
        <f t="shared" si="127"/>
        <v>1.978932943548152E-12</v>
      </c>
      <c r="EN147" s="60">
        <f t="shared" si="128"/>
        <v>293.3333333333353</v>
      </c>
      <c r="EO147" s="60">
        <f ca="1">AVERAGE(OFFSET($EN$3,0,0,'Données projet'!$E$15+1,1))-AVERAGE(OFFSET($H$3,0,0,'Données projet'!$E$15+1,1))</f>
        <v>269.94948820700841</v>
      </c>
      <c r="EP147" s="60">
        <f t="shared" si="154"/>
        <v>183.45158355135192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0.57887608278559544</v>
      </c>
      <c r="EX147" s="23">
        <f>EXP(-LN(2)/2)*EX146+(1-EXP(-LN(2)/2))/(LN(2)/2)*ER147*EU147*VLOOKUP('Données projet'!$B$15,Paramètres!$A$1:$I$89,3,0)*0.475*44/12</f>
        <v>3.9121703692417163E-17</v>
      </c>
      <c r="EY147" s="24">
        <f t="shared" si="129"/>
        <v>0.57887608278559544</v>
      </c>
      <c r="EZ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>
        <f>FE147*VLOOKUP('Données projet'!$B$16,Paramètres!$A$1:$I$89,3,0)*VLOOKUP('Données projet'!$B$16,Paramètres!$A$1:$I$89,5,0)</f>
        <v>0</v>
      </c>
      <c r="FG147" s="14" t="e">
        <f t="shared" si="155"/>
        <v>#NUM!</v>
      </c>
      <c r="FH147" s="22" t="e">
        <f t="shared" si="130"/>
        <v>#NUM!</v>
      </c>
      <c r="FI147" s="60" t="e">
        <f t="shared" si="131"/>
        <v>#NUM!</v>
      </c>
      <c r="FJ147" s="60">
        <f ca="1">AVERAGE(OFFSET($FI$3,0,0,'Données projet'!$E$16+1,1))-AVERAGE(OFFSET($H$3,0,0,'Données projet'!$E$16+1,1))</f>
        <v>111.24788725253484</v>
      </c>
      <c r="FK147" s="60">
        <f t="shared" si="156"/>
        <v>82.434879813357327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projet'!$B$16,Paramètres!$A$1:$I$89,3,0)*0.475*44/12</f>
        <v>0</v>
      </c>
      <c r="FR147" s="23">
        <f>EXP(-LN(2)/25)*FR146+(1-EXP(-LN(2)/25))/(LN(2)/25)*Calculateur!FM147*Calculateur!FO147*VLOOKUP('Données projet'!$B$16,Paramètres!$A$1:$I$89,3,0)*0.475*44/12</f>
        <v>0</v>
      </c>
      <c r="FS147" s="23">
        <f>EXP(-LN(2)/2)*FS146+(1-EXP(-LN(2)/2))/(LN(2)/2)*FM147*FP147*VLOOKUP('Données projet'!$B$16,Paramètres!$A$1:$I$89,3,0)*0.475*44/12</f>
        <v>0</v>
      </c>
      <c r="FT147" s="24">
        <f t="shared" si="132"/>
        <v>0</v>
      </c>
      <c r="FU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1.0231815394945443E-12</v>
      </c>
      <c r="GA147" s="18">
        <f>FZ147*VLOOKUP('Données projet'!$B$17,Paramètres!$A$1:$I$89,3,0)*VLOOKUP('Données projet'!$B$17,Paramètres!$A$1:$I$89,5,0)</f>
        <v>4.5224624045658859E-13</v>
      </c>
      <c r="GB147" s="14">
        <f t="shared" si="157"/>
        <v>5.6995607121061449E-12</v>
      </c>
      <c r="GC147" s="22">
        <f t="shared" si="133"/>
        <v>1.0714397109046761E-11</v>
      </c>
      <c r="GD147" s="60">
        <f t="shared" si="134"/>
        <v>293.333333333344</v>
      </c>
      <c r="GE147" s="60">
        <f ca="1">AVERAGE(OFFSET($GD$3,0,0,'Données projet'!$E$17+1,1))-AVERAGE(OFFSET($H$3,0,0,'Données projet'!$E$17+1,1))</f>
        <v>323.56667371063662</v>
      </c>
      <c r="GF147" s="60">
        <f t="shared" si="158"/>
        <v>275.70373467723385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>
        <f>EXP(-LN(2)/35)*GL146+(1-EXP(-LN(2)/35))/(LN(2)/35)*GH147*GI147*VLOOKUP('Données projet'!$B$17,Paramètres!$A$1:$I$89,3,0)*0.475*44/12</f>
        <v>0</v>
      </c>
      <c r="GM147" s="23">
        <f>EXP(-LN(2)/25)*GM146+(1-EXP(-LN(2)/25))/(LN(2)/25)*Calculateur!GH147*Calculateur!GJ147*VLOOKUP('Données projet'!$B$17,Paramètres!$A$1:$I$89,3,0)*0.475*44/12</f>
        <v>0</v>
      </c>
      <c r="GN147" s="23">
        <f>EXP(-LN(2)/2)*GN146+(1-EXP(-LN(2)/2))/(LN(2)/2)*GH147*GK147*VLOOKUP('Données projet'!$B$17,Paramètres!$A$1:$I$89,3,0)*0.475*44/12</f>
        <v>0</v>
      </c>
      <c r="GO147" s="23">
        <f t="shared" si="135"/>
        <v>0</v>
      </c>
      <c r="GP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0" t="e">
        <f t="shared" si="137"/>
        <v>#N/A</v>
      </c>
      <c r="GZ147" s="60" t="e">
        <f ca="1">AVERAGE(OFFSET($GY$3,0,0,'Données projet'!$E$18+1,1))-AVERAGE(OFFSET($H$3,0,0,'Données projet'!$E$18+1,1))</f>
        <v>#N/A</v>
      </c>
      <c r="HA147" s="60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4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2">
        <f t="shared" si="140"/>
        <v>21.934121798181632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-1.1368683772161603E-13</v>
      </c>
      <c r="O148" s="14">
        <f>N148*VLOOKUP('Données projet'!$B$9,Paramètres!$A$1:$I$89,3,0)*VLOOKUP('Données projet'!$B$9,Paramètres!$A$1:$I$89,5,0)</f>
        <v>-6.7984728957526396E-14</v>
      </c>
      <c r="P148" s="14" t="e">
        <f t="shared" si="141"/>
        <v>#NUM!</v>
      </c>
      <c r="Q148" s="22" t="e">
        <f t="shared" si="108"/>
        <v>#NUM!</v>
      </c>
      <c r="R148" s="60" t="e">
        <f t="shared" si="109"/>
        <v>#NUM!</v>
      </c>
      <c r="S148" s="60">
        <f ca="1">AVERAGE(OFFSET($R$3,0,0,'Données projet'!$E$9+1,1))-AVERAGE(OFFSET($H$3,0,0,'Données projet'!$E$9+1,1))</f>
        <v>235.63766249714581</v>
      </c>
      <c r="T148" s="60">
        <f t="shared" si="142"/>
        <v>231.3297293785277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1.1765342680103321</v>
      </c>
      <c r="AA148" s="23">
        <f>EXP(-LN(2)/25)*AA147+(1-EXP(-LN(2)/25))/(LN(2)/25)*Calculateur!V148*Calculateur!X148*VLOOKUP('Données projet'!$B$9,Paramètres!$A$1:$I$89,3,0)*0.475*44/12</f>
        <v>0.71290341826430359</v>
      </c>
      <c r="AB148" s="23">
        <f>EXP(-LN(2)/2)*AB147+(1-EXP(-LN(2)/2))/(LN(2)/2)*V148*Y148*VLOOKUP('Données projet'!$B$9,Paramètres!$A$1:$I$89,3,0)*0.475*44/12</f>
        <v>3.4897425122073525E-17</v>
      </c>
      <c r="AC148" s="24">
        <f t="shared" si="111"/>
        <v>1.8894376862746358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2.4</v>
      </c>
      <c r="AI148" s="14">
        <f>IF('Données projet'!$A$62&gt;35,AI147+AH148-AQ147,IF(A148&lt;'Données projet'!$A$62,$AF$205^A148,IF(A148='Données projet'!$A$62,'Données projet'!$B$62,AI147+AH148-AQ147)))</f>
        <v>280.99999999999915</v>
      </c>
      <c r="AJ148" s="14">
        <f>AI148*VLOOKUP('Données projet'!$B$10,Paramètres!$A$1:$I$89,3,0)*VLOOKUP('Données projet'!$B$10,Paramètres!$A$1:$I$89,5,0)</f>
        <v>284.93399999999917</v>
      </c>
      <c r="AK148" s="14">
        <f t="shared" si="143"/>
        <v>68.008642509673109</v>
      </c>
      <c r="AL148" s="22">
        <f t="shared" si="112"/>
        <v>614.7084357043459</v>
      </c>
      <c r="AM148" s="60">
        <f t="shared" si="113"/>
        <v>908.04176903767916</v>
      </c>
      <c r="AN148" s="60">
        <f ca="1">AVERAGE(OFFSET($AM$3,0,0,'Données projet'!$E$10+1,1))-AVERAGE(OFFSET($H$3,0,0,'Données projet'!$E$10+1,1))</f>
        <v>350.3652766444938</v>
      </c>
      <c r="AO148" s="60">
        <f t="shared" si="144"/>
        <v>197.04549436738586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6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2.4</v>
      </c>
      <c r="BD148" s="13">
        <f>IF('Données projet'!$A$88&gt;35,BD147+BC148-BL147,IF(A148&lt;'Données projet'!$A$88,$BA$205^A148,IF(A148='Données projet'!$A$88,'Données projet'!$B$88,BD147+BC148-BL147)))</f>
        <v>280.99999999999915</v>
      </c>
      <c r="BE148" s="14">
        <f>BD148*VLOOKUP('Données projet'!$B$11,Paramètres!$A$1:$I$89,3,0)*VLOOKUP('Données projet'!$B$11,Paramètres!$A$1:$I$89,5,0)</f>
        <v>271.78319999999917</v>
      </c>
      <c r="BF148" s="14">
        <f t="shared" si="145"/>
        <v>65.227564224775008</v>
      </c>
      <c r="BG148" s="22">
        <f t="shared" si="115"/>
        <v>586.96041435814834</v>
      </c>
      <c r="BH148" s="60">
        <f t="shared" si="116"/>
        <v>880.29374769148171</v>
      </c>
      <c r="BI148" s="60">
        <f ca="1">AVERAGE(OFFSET($BH$3,0,0,'Données projet'!$E$11+1,1))-AVERAGE(OFFSET($H$3,0,0,'Données projet'!$E$11+1,1))</f>
        <v>330.39429528665841</v>
      </c>
      <c r="BJ148" s="60">
        <f t="shared" si="146"/>
        <v>186.45728006007261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1.7053025658242404E-13</v>
      </c>
      <c r="BZ148" s="14">
        <f>BY148*VLOOKUP('Données projet'!$B$12,Paramètres!$A$1:$I$89,3,0)*VLOOKUP('Données projet'!$B$12,Paramètres!$A$1:$I$89,5,0)</f>
        <v>1.1439169611549005E-13</v>
      </c>
      <c r="CA148" s="14">
        <f t="shared" si="147"/>
        <v>1.6918016515029816E-12</v>
      </c>
      <c r="CB148" s="22">
        <f t="shared" si="118"/>
        <v>3.1457867471021712E-12</v>
      </c>
      <c r="CC148" s="60">
        <f t="shared" si="119"/>
        <v>293.33333333333644</v>
      </c>
      <c r="CD148" s="60">
        <f ca="1">AVERAGE(OFFSET($CC$3,0,0,'Données projet'!$E$12+1,1))-AVERAGE(OFFSET($H$3,0,0,'Données projet'!$E$12+1,1))</f>
        <v>212.33913923444732</v>
      </c>
      <c r="CE148" s="60">
        <f t="shared" si="148"/>
        <v>183.51194426094372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-3.979039320256561E-13</v>
      </c>
      <c r="CU148" s="18">
        <f>CT148*VLOOKUP('Données projet'!$B$13,Paramètres!$A$1:$I$89,3,0)*VLOOKUP('Données projet'!$B$13,Paramètres!$A$1:$I$89,5,0)</f>
        <v>-3.4760887501761321E-13</v>
      </c>
      <c r="CV148" s="14" t="e">
        <f t="shared" si="149"/>
        <v>#NUM!</v>
      </c>
      <c r="CW148" s="22" t="e">
        <f t="shared" si="121"/>
        <v>#NUM!</v>
      </c>
      <c r="CX148" s="60" t="e">
        <f t="shared" si="122"/>
        <v>#NUM!</v>
      </c>
      <c r="CY148" s="60">
        <f ca="1">AVERAGE(OFFSET($CX$3,0,0,'Données projet'!$E$13+1,1))-AVERAGE(OFFSET($H$3,0,0,'Données projet'!$E$13+1,1))</f>
        <v>228.0393346366489</v>
      </c>
      <c r="CZ148" s="60">
        <f t="shared" si="150"/>
        <v>238.591781509447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2.4</v>
      </c>
      <c r="DO148" s="13">
        <f>IF('Données projet'!$A$166&gt;35,DO147+DN148-DW147,IF(A148&lt;'Données projet'!$A$166,$DL$205^A148,IF(A148='Données projet'!$A$166,'Données projet'!$B$166,DO147+DN148-DW147)))</f>
        <v>280.99999999999915</v>
      </c>
      <c r="DP148" s="18">
        <f>DO148*VLOOKUP('Données projet'!$B$14,Paramètres!$A$1:$I$89,3,0)*VLOOKUP('Données projet'!$B$14,Paramètres!$A$1:$I$89,5,0)</f>
        <v>254.24879999999925</v>
      </c>
      <c r="DQ148" s="14">
        <f t="shared" si="151"/>
        <v>61.494863147658698</v>
      </c>
      <c r="DR148" s="22">
        <f t="shared" si="124"/>
        <v>549.92021331550427</v>
      </c>
      <c r="DS148" s="60">
        <f t="shared" si="125"/>
        <v>843.25354664883753</v>
      </c>
      <c r="DT148" s="60">
        <f ca="1">AVERAGE(OFFSET($DS$3,0,0,'Données projet'!$E$14+1,1))-AVERAGE(OFFSET($H$3,0,0,'Données projet'!$E$14+1,1))</f>
        <v>303.73499739059076</v>
      </c>
      <c r="DU148" s="60">
        <f t="shared" si="152"/>
        <v>172.32171001882188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1.1368683772161603E-13</v>
      </c>
      <c r="EK148" s="18">
        <f>EJ148*VLOOKUP('Données projet'!$B$15,Paramètres!$A$1:$I$89,3,0)*VLOOKUP('Données projet'!$B$15,Paramètres!$A$1:$I$89,5,0)</f>
        <v>6.7984728957526396E-14</v>
      </c>
      <c r="EL148" s="14">
        <f t="shared" si="153"/>
        <v>1.0682447123141398E-12</v>
      </c>
      <c r="EM148" s="22">
        <f t="shared" si="127"/>
        <v>1.978932943548152E-12</v>
      </c>
      <c r="EN148" s="60">
        <f t="shared" si="128"/>
        <v>293.3333333333353</v>
      </c>
      <c r="EO148" s="60">
        <f ca="1">AVERAGE(OFFSET($EN$3,0,0,'Données projet'!$E$15+1,1))-AVERAGE(OFFSET($H$3,0,0,'Données projet'!$E$15+1,1))</f>
        <v>269.94948820700841</v>
      </c>
      <c r="EP148" s="60">
        <f t="shared" si="154"/>
        <v>183.45158355135192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0.56304668586005313</v>
      </c>
      <c r="EX148" s="23">
        <f>EXP(-LN(2)/2)*EX147+(1-EXP(-LN(2)/2))/(LN(2)/2)*ER148*EU148*VLOOKUP('Données projet'!$B$15,Paramètres!$A$1:$I$89,3,0)*0.475*44/12</f>
        <v>2.7663221972478974E-17</v>
      </c>
      <c r="EY148" s="24">
        <f t="shared" si="129"/>
        <v>0.56304668586005313</v>
      </c>
      <c r="EZ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>
        <f>FE148*VLOOKUP('Données projet'!$B$16,Paramètres!$A$1:$I$89,3,0)*VLOOKUP('Données projet'!$B$16,Paramètres!$A$1:$I$89,5,0)</f>
        <v>0</v>
      </c>
      <c r="FG148" s="14" t="e">
        <f t="shared" si="155"/>
        <v>#NUM!</v>
      </c>
      <c r="FH148" s="22" t="e">
        <f t="shared" si="130"/>
        <v>#NUM!</v>
      </c>
      <c r="FI148" s="60" t="e">
        <f t="shared" si="131"/>
        <v>#NUM!</v>
      </c>
      <c r="FJ148" s="60">
        <f ca="1">AVERAGE(OFFSET($FI$3,0,0,'Données projet'!$E$16+1,1))-AVERAGE(OFFSET($H$3,0,0,'Données projet'!$E$16+1,1))</f>
        <v>111.24788725253484</v>
      </c>
      <c r="FK148" s="60">
        <f t="shared" si="156"/>
        <v>82.434879813357327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projet'!$B$16,Paramètres!$A$1:$I$89,3,0)*0.475*44/12</f>
        <v>0</v>
      </c>
      <c r="FR148" s="23">
        <f>EXP(-LN(2)/25)*FR147+(1-EXP(-LN(2)/25))/(LN(2)/25)*Calculateur!FM148*Calculateur!FO148*VLOOKUP('Données projet'!$B$16,Paramètres!$A$1:$I$89,3,0)*0.475*44/12</f>
        <v>0</v>
      </c>
      <c r="FS148" s="23">
        <f>EXP(-LN(2)/2)*FS147+(1-EXP(-LN(2)/2))/(LN(2)/2)*FM148*FP148*VLOOKUP('Données projet'!$B$16,Paramètres!$A$1:$I$89,3,0)*0.475*44/12</f>
        <v>0</v>
      </c>
      <c r="FT148" s="24">
        <f t="shared" si="132"/>
        <v>0</v>
      </c>
      <c r="FU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1.0231815394945443E-12</v>
      </c>
      <c r="GA148" s="18">
        <f>FZ148*VLOOKUP('Données projet'!$B$17,Paramètres!$A$1:$I$89,3,0)*VLOOKUP('Données projet'!$B$17,Paramètres!$A$1:$I$89,5,0)</f>
        <v>4.5224624045658859E-13</v>
      </c>
      <c r="GB148" s="14">
        <f t="shared" si="157"/>
        <v>5.6995607121061449E-12</v>
      </c>
      <c r="GC148" s="22">
        <f t="shared" si="133"/>
        <v>1.0714397109046761E-11</v>
      </c>
      <c r="GD148" s="60">
        <f t="shared" si="134"/>
        <v>293.333333333344</v>
      </c>
      <c r="GE148" s="60">
        <f ca="1">AVERAGE(OFFSET($GD$3,0,0,'Données projet'!$E$17+1,1))-AVERAGE(OFFSET($H$3,0,0,'Données projet'!$E$17+1,1))</f>
        <v>323.56667371063662</v>
      </c>
      <c r="GF148" s="60">
        <f t="shared" si="158"/>
        <v>275.70373467723385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>
        <f>EXP(-LN(2)/35)*GL147+(1-EXP(-LN(2)/35))/(LN(2)/35)*GH148*GI148*VLOOKUP('Données projet'!$B$17,Paramètres!$A$1:$I$89,3,0)*0.475*44/12</f>
        <v>0</v>
      </c>
      <c r="GM148" s="23">
        <f>EXP(-LN(2)/25)*GM147+(1-EXP(-LN(2)/25))/(LN(2)/25)*Calculateur!GH148*Calculateur!GJ148*VLOOKUP('Données projet'!$B$17,Paramètres!$A$1:$I$89,3,0)*0.475*44/12</f>
        <v>0</v>
      </c>
      <c r="GN148" s="23">
        <f>EXP(-LN(2)/2)*GN147+(1-EXP(-LN(2)/2))/(LN(2)/2)*GH148*GK148*VLOOKUP('Données projet'!$B$17,Paramètres!$A$1:$I$89,3,0)*0.475*44/12</f>
        <v>0</v>
      </c>
      <c r="GO148" s="23">
        <f t="shared" si="135"/>
        <v>0</v>
      </c>
      <c r="GP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0" t="e">
        <f t="shared" si="137"/>
        <v>#N/A</v>
      </c>
      <c r="GZ148" s="60" t="e">
        <f ca="1">AVERAGE(OFFSET($GY$3,0,0,'Données projet'!$E$18+1,1))-AVERAGE(OFFSET($H$3,0,0,'Données projet'!$E$18+1,1))</f>
        <v>#N/A</v>
      </c>
      <c r="HA148" s="60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4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2">
        <f t="shared" si="140"/>
        <v>22.067730286351065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-1.1368683772161603E-13</v>
      </c>
      <c r="O149" s="14">
        <f>N149*VLOOKUP('Données projet'!$B$9,Paramètres!$A$1:$I$89,3,0)*VLOOKUP('Données projet'!$B$9,Paramètres!$A$1:$I$89,5,0)</f>
        <v>-6.7984728957526396E-14</v>
      </c>
      <c r="P149" s="14" t="e">
        <f t="shared" si="141"/>
        <v>#NUM!</v>
      </c>
      <c r="Q149" s="22" t="e">
        <f t="shared" si="108"/>
        <v>#NUM!</v>
      </c>
      <c r="R149" s="60" t="e">
        <f t="shared" si="109"/>
        <v>#NUM!</v>
      </c>
      <c r="S149" s="60">
        <f ca="1">AVERAGE(OFFSET($R$3,0,0,'Données projet'!$E$9+1,1))-AVERAGE(OFFSET($H$3,0,0,'Données projet'!$E$9+1,1))</f>
        <v>235.63766249714581</v>
      </c>
      <c r="T149" s="60">
        <f t="shared" si="142"/>
        <v>231.3297293785277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1.1534631486296945</v>
      </c>
      <c r="AA149" s="23">
        <f>EXP(-LN(2)/25)*AA148+(1-EXP(-LN(2)/25))/(LN(2)/25)*Calculateur!V149*Calculateur!X149*VLOOKUP('Données projet'!$B$9,Paramètres!$A$1:$I$89,3,0)*0.475*44/12</f>
        <v>0.6934090368019048</v>
      </c>
      <c r="AB149" s="23">
        <f>EXP(-LN(2)/2)*AB148+(1-EXP(-LN(2)/2))/(LN(2)/2)*V149*Y149*VLOOKUP('Données projet'!$B$9,Paramètres!$A$1:$I$89,3,0)*0.475*44/12</f>
        <v>2.4676205949767971E-17</v>
      </c>
      <c r="AC149" s="24">
        <f t="shared" si="111"/>
        <v>1.8468721854315993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2.4</v>
      </c>
      <c r="AI149" s="14">
        <f>IF('Données projet'!$A$62&gt;35,AI148+AH149-AQ148,IF(A149&lt;'Données projet'!$A$62,$AF$205^A149,IF(A149='Données projet'!$A$62,'Données projet'!$B$62,AI148+AH149-AQ148)))</f>
        <v>283.39999999999912</v>
      </c>
      <c r="AJ149" s="14">
        <f>AI149*VLOOKUP('Données projet'!$B$10,Paramètres!$A$1:$I$89,3,0)*VLOOKUP('Données projet'!$B$10,Paramètres!$A$1:$I$89,5,0)</f>
        <v>287.36759999999913</v>
      </c>
      <c r="AK149" s="14">
        <f t="shared" si="143"/>
        <v>68.521633201564995</v>
      </c>
      <c r="AL149" s="22">
        <f t="shared" si="112"/>
        <v>619.84041449272411</v>
      </c>
      <c r="AM149" s="60">
        <f t="shared" si="113"/>
        <v>913.17374782605748</v>
      </c>
      <c r="AN149" s="60">
        <f ca="1">AVERAGE(OFFSET($AM$3,0,0,'Données projet'!$E$10+1,1))-AVERAGE(OFFSET($H$3,0,0,'Données projet'!$E$10+1,1))</f>
        <v>350.3652766444938</v>
      </c>
      <c r="AO149" s="60">
        <f t="shared" si="144"/>
        <v>197.04549436738586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6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2.4</v>
      </c>
      <c r="BD149" s="13">
        <f>IF('Données projet'!$A$88&gt;35,BD148+BC149-BL148,IF(A149&lt;'Données projet'!$A$88,$BA$205^A149,IF(A149='Données projet'!$A$88,'Données projet'!$B$88,BD148+BC149-BL148)))</f>
        <v>283.39999999999912</v>
      </c>
      <c r="BE149" s="14">
        <f>BD149*VLOOKUP('Données projet'!$B$11,Paramètres!$A$1:$I$89,3,0)*VLOOKUP('Données projet'!$B$11,Paramètres!$A$1:$I$89,5,0)</f>
        <v>274.10447999999917</v>
      </c>
      <c r="BF149" s="14">
        <f t="shared" si="145"/>
        <v>65.719577181765331</v>
      </c>
      <c r="BG149" s="22">
        <f t="shared" si="115"/>
        <v>591.86023292490643</v>
      </c>
      <c r="BH149" s="60">
        <f t="shared" si="116"/>
        <v>885.1935662582398</v>
      </c>
      <c r="BI149" s="60">
        <f ca="1">AVERAGE(OFFSET($BH$3,0,0,'Données projet'!$E$11+1,1))-AVERAGE(OFFSET($H$3,0,0,'Données projet'!$E$11+1,1))</f>
        <v>330.39429528665841</v>
      </c>
      <c r="BJ149" s="60">
        <f t="shared" si="146"/>
        <v>186.45728006007261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1.7053025658242404E-13</v>
      </c>
      <c r="BZ149" s="14">
        <f>BY149*VLOOKUP('Données projet'!$B$12,Paramètres!$A$1:$I$89,3,0)*VLOOKUP('Données projet'!$B$12,Paramètres!$A$1:$I$89,5,0)</f>
        <v>1.1439169611549005E-13</v>
      </c>
      <c r="CA149" s="14">
        <f t="shared" si="147"/>
        <v>1.6918016515029816E-12</v>
      </c>
      <c r="CB149" s="22">
        <f t="shared" si="118"/>
        <v>3.1457867471021712E-12</v>
      </c>
      <c r="CC149" s="60">
        <f t="shared" si="119"/>
        <v>293.33333333333644</v>
      </c>
      <c r="CD149" s="60">
        <f ca="1">AVERAGE(OFFSET($CC$3,0,0,'Données projet'!$E$12+1,1))-AVERAGE(OFFSET($H$3,0,0,'Données projet'!$E$12+1,1))</f>
        <v>212.33913923444732</v>
      </c>
      <c r="CE149" s="60">
        <f t="shared" si="148"/>
        <v>183.51194426094372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-3.979039320256561E-13</v>
      </c>
      <c r="CU149" s="18">
        <f>CT149*VLOOKUP('Données projet'!$B$13,Paramètres!$A$1:$I$89,3,0)*VLOOKUP('Données projet'!$B$13,Paramètres!$A$1:$I$89,5,0)</f>
        <v>-3.4760887501761321E-13</v>
      </c>
      <c r="CV149" s="14" t="e">
        <f t="shared" si="149"/>
        <v>#NUM!</v>
      </c>
      <c r="CW149" s="22" t="e">
        <f t="shared" si="121"/>
        <v>#NUM!</v>
      </c>
      <c r="CX149" s="60" t="e">
        <f t="shared" si="122"/>
        <v>#NUM!</v>
      </c>
      <c r="CY149" s="60">
        <f ca="1">AVERAGE(OFFSET($CX$3,0,0,'Données projet'!$E$13+1,1))-AVERAGE(OFFSET($H$3,0,0,'Données projet'!$E$13+1,1))</f>
        <v>228.0393346366489</v>
      </c>
      <c r="CZ149" s="60">
        <f t="shared" si="150"/>
        <v>238.591781509447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2.4</v>
      </c>
      <c r="DO149" s="13">
        <f>IF('Données projet'!$A$166&gt;35,DO148+DN149-DW148,IF(A149&lt;'Données projet'!$A$166,$DL$205^A149,IF(A149='Données projet'!$A$166,'Données projet'!$B$166,DO148+DN149-DW148)))</f>
        <v>283.39999999999912</v>
      </c>
      <c r="DP149" s="18">
        <f>DO149*VLOOKUP('Données projet'!$B$14,Paramètres!$A$1:$I$89,3,0)*VLOOKUP('Données projet'!$B$14,Paramètres!$A$1:$I$89,5,0)</f>
        <v>256.42031999999921</v>
      </c>
      <c r="DQ149" s="14">
        <f t="shared" si="151"/>
        <v>61.958720258016747</v>
      </c>
      <c r="DR149" s="22">
        <f t="shared" si="124"/>
        <v>554.51016178271107</v>
      </c>
      <c r="DS149" s="60">
        <f t="shared" si="125"/>
        <v>847.84349511604432</v>
      </c>
      <c r="DT149" s="60">
        <f ca="1">AVERAGE(OFFSET($DS$3,0,0,'Données projet'!$E$14+1,1))-AVERAGE(OFFSET($H$3,0,0,'Données projet'!$E$14+1,1))</f>
        <v>303.73499739059076</v>
      </c>
      <c r="DU149" s="60">
        <f t="shared" si="152"/>
        <v>172.32171001882188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1.1368683772161603E-13</v>
      </c>
      <c r="EK149" s="18">
        <f>EJ149*VLOOKUP('Données projet'!$B$15,Paramètres!$A$1:$I$89,3,0)*VLOOKUP('Données projet'!$B$15,Paramètres!$A$1:$I$89,5,0)</f>
        <v>6.7984728957526396E-14</v>
      </c>
      <c r="EL149" s="14">
        <f t="shared" si="153"/>
        <v>1.0682447123141398E-12</v>
      </c>
      <c r="EM149" s="22">
        <f t="shared" si="127"/>
        <v>1.978932943548152E-12</v>
      </c>
      <c r="EN149" s="60">
        <f t="shared" si="128"/>
        <v>293.3333333333353</v>
      </c>
      <c r="EO149" s="60">
        <f ca="1">AVERAGE(OFFSET($EN$3,0,0,'Données projet'!$E$15+1,1))-AVERAGE(OFFSET($H$3,0,0,'Données projet'!$E$15+1,1))</f>
        <v>269.94948820700841</v>
      </c>
      <c r="EP149" s="60">
        <f t="shared" si="154"/>
        <v>183.45158355135192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0.54765014462587158</v>
      </c>
      <c r="EX149" s="23">
        <f>EXP(-LN(2)/2)*EX148+(1-EXP(-LN(2)/2))/(LN(2)/2)*ER149*EU149*VLOOKUP('Données projet'!$B$15,Paramètres!$A$1:$I$89,3,0)*0.475*44/12</f>
        <v>1.9560851846208584E-17</v>
      </c>
      <c r="EY149" s="24">
        <f t="shared" si="129"/>
        <v>0.54765014462587158</v>
      </c>
      <c r="EZ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>
        <f>FE149*VLOOKUP('Données projet'!$B$16,Paramètres!$A$1:$I$89,3,0)*VLOOKUP('Données projet'!$B$16,Paramètres!$A$1:$I$89,5,0)</f>
        <v>0</v>
      </c>
      <c r="FG149" s="14" t="e">
        <f t="shared" si="155"/>
        <v>#NUM!</v>
      </c>
      <c r="FH149" s="22" t="e">
        <f t="shared" si="130"/>
        <v>#NUM!</v>
      </c>
      <c r="FI149" s="60" t="e">
        <f t="shared" si="131"/>
        <v>#NUM!</v>
      </c>
      <c r="FJ149" s="60">
        <f ca="1">AVERAGE(OFFSET($FI$3,0,0,'Données projet'!$E$16+1,1))-AVERAGE(OFFSET($H$3,0,0,'Données projet'!$E$16+1,1))</f>
        <v>111.24788725253484</v>
      </c>
      <c r="FK149" s="60">
        <f t="shared" si="156"/>
        <v>82.434879813357327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projet'!$B$16,Paramètres!$A$1:$I$89,3,0)*0.475*44/12</f>
        <v>0</v>
      </c>
      <c r="FR149" s="23">
        <f>EXP(-LN(2)/25)*FR148+(1-EXP(-LN(2)/25))/(LN(2)/25)*Calculateur!FM149*Calculateur!FO149*VLOOKUP('Données projet'!$B$16,Paramètres!$A$1:$I$89,3,0)*0.475*44/12</f>
        <v>0</v>
      </c>
      <c r="FS149" s="23">
        <f>EXP(-LN(2)/2)*FS148+(1-EXP(-LN(2)/2))/(LN(2)/2)*FM149*FP149*VLOOKUP('Données projet'!$B$16,Paramètres!$A$1:$I$89,3,0)*0.475*44/12</f>
        <v>0</v>
      </c>
      <c r="FT149" s="24">
        <f t="shared" si="132"/>
        <v>0</v>
      </c>
      <c r="FU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1.0231815394945443E-12</v>
      </c>
      <c r="GA149" s="18">
        <f>FZ149*VLOOKUP('Données projet'!$B$17,Paramètres!$A$1:$I$89,3,0)*VLOOKUP('Données projet'!$B$17,Paramètres!$A$1:$I$89,5,0)</f>
        <v>4.5224624045658859E-13</v>
      </c>
      <c r="GB149" s="14">
        <f t="shared" si="157"/>
        <v>5.6995607121061449E-12</v>
      </c>
      <c r="GC149" s="22">
        <f t="shared" si="133"/>
        <v>1.0714397109046761E-11</v>
      </c>
      <c r="GD149" s="60">
        <f t="shared" si="134"/>
        <v>293.333333333344</v>
      </c>
      <c r="GE149" s="60">
        <f ca="1">AVERAGE(OFFSET($GD$3,0,0,'Données projet'!$E$17+1,1))-AVERAGE(OFFSET($H$3,0,0,'Données projet'!$E$17+1,1))</f>
        <v>323.56667371063662</v>
      </c>
      <c r="GF149" s="60">
        <f t="shared" si="158"/>
        <v>275.70373467723385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>
        <f>EXP(-LN(2)/35)*GL148+(1-EXP(-LN(2)/35))/(LN(2)/35)*GH149*GI149*VLOOKUP('Données projet'!$B$17,Paramètres!$A$1:$I$89,3,0)*0.475*44/12</f>
        <v>0</v>
      </c>
      <c r="GM149" s="23">
        <f>EXP(-LN(2)/25)*GM148+(1-EXP(-LN(2)/25))/(LN(2)/25)*Calculateur!GH149*Calculateur!GJ149*VLOOKUP('Données projet'!$B$17,Paramètres!$A$1:$I$89,3,0)*0.475*44/12</f>
        <v>0</v>
      </c>
      <c r="GN149" s="23">
        <f>EXP(-LN(2)/2)*GN148+(1-EXP(-LN(2)/2))/(LN(2)/2)*GH149*GK149*VLOOKUP('Données projet'!$B$17,Paramètres!$A$1:$I$89,3,0)*0.475*44/12</f>
        <v>0</v>
      </c>
      <c r="GO149" s="23">
        <f t="shared" si="135"/>
        <v>0</v>
      </c>
      <c r="GP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0" t="e">
        <f t="shared" si="137"/>
        <v>#N/A</v>
      </c>
      <c r="GZ149" s="60" t="e">
        <f ca="1">AVERAGE(OFFSET($GY$3,0,0,'Données projet'!$E$18+1,1))-AVERAGE(OFFSET($H$3,0,0,'Données projet'!$E$18+1,1))</f>
        <v>#N/A</v>
      </c>
      <c r="HA149" s="60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4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2">
        <f t="shared" si="140"/>
        <v>22.201232295351069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-1.1368683772161603E-13</v>
      </c>
      <c r="O150" s="14">
        <f>N150*VLOOKUP('Données projet'!$B$9,Paramètres!$A$1:$I$89,3,0)*VLOOKUP('Données projet'!$B$9,Paramètres!$A$1:$I$89,5,0)</f>
        <v>-6.7984728957526396E-14</v>
      </c>
      <c r="P150" s="14" t="e">
        <f t="shared" si="141"/>
        <v>#NUM!</v>
      </c>
      <c r="Q150" s="22" t="e">
        <f t="shared" si="108"/>
        <v>#NUM!</v>
      </c>
      <c r="R150" s="60" t="e">
        <f t="shared" si="109"/>
        <v>#NUM!</v>
      </c>
      <c r="S150" s="60">
        <f ca="1">AVERAGE(OFFSET($R$3,0,0,'Données projet'!$E$9+1,1))-AVERAGE(OFFSET($H$3,0,0,'Données projet'!$E$9+1,1))</f>
        <v>235.63766249714581</v>
      </c>
      <c r="T150" s="60">
        <f t="shared" si="142"/>
        <v>231.3297293785277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1.1308444398281177</v>
      </c>
      <c r="AA150" s="23">
        <f>EXP(-LN(2)/25)*AA149+(1-EXP(-LN(2)/25))/(LN(2)/25)*Calculateur!V150*Calculateur!X150*VLOOKUP('Données projet'!$B$9,Paramètres!$A$1:$I$89,3,0)*0.475*44/12</f>
        <v>0.67444773022576032</v>
      </c>
      <c r="AB150" s="23">
        <f>EXP(-LN(2)/2)*AB149+(1-EXP(-LN(2)/2))/(LN(2)/2)*V150*Y150*VLOOKUP('Données projet'!$B$9,Paramètres!$A$1:$I$89,3,0)*0.475*44/12</f>
        <v>1.7448712561036762E-17</v>
      </c>
      <c r="AC150" s="24">
        <f t="shared" si="111"/>
        <v>1.805292170053878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2.4</v>
      </c>
      <c r="AI150" s="14">
        <f>IF('Données projet'!$A$62&gt;35,AI149+AH150-AQ149,IF(A150&lt;'Données projet'!$A$62,$AF$205^A150,IF(A150='Données projet'!$A$62,'Données projet'!$B$62,AI149+AH150-AQ149)))</f>
        <v>285.7999999999991</v>
      </c>
      <c r="AJ150" s="14">
        <f>AI150*VLOOKUP('Données projet'!$B$10,Paramètres!$A$1:$I$89,3,0)*VLOOKUP('Données projet'!$B$10,Paramètres!$A$1:$I$89,5,0)</f>
        <v>289.80119999999908</v>
      </c>
      <c r="AK150" s="14">
        <f t="shared" si="143"/>
        <v>69.034118458450664</v>
      </c>
      <c r="AL150" s="22">
        <f t="shared" si="112"/>
        <v>624.97151298179995</v>
      </c>
      <c r="AM150" s="60">
        <f t="shared" si="113"/>
        <v>918.30484631513332</v>
      </c>
      <c r="AN150" s="60">
        <f ca="1">AVERAGE(OFFSET($AM$3,0,0,'Données projet'!$E$10+1,1))-AVERAGE(OFFSET($H$3,0,0,'Données projet'!$E$10+1,1))</f>
        <v>350.3652766444938</v>
      </c>
      <c r="AO150" s="60">
        <f t="shared" si="144"/>
        <v>197.04549436738586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6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2.4</v>
      </c>
      <c r="BD150" s="13">
        <f>IF('Données projet'!$A$88&gt;35,BD149+BC150-BL149,IF(A150&lt;'Données projet'!$A$88,$BA$205^A150,IF(A150='Données projet'!$A$88,'Données projet'!$B$88,BD149+BC150-BL149)))</f>
        <v>285.7999999999991</v>
      </c>
      <c r="BE150" s="14">
        <f>BD150*VLOOKUP('Données projet'!$B$11,Paramètres!$A$1:$I$89,3,0)*VLOOKUP('Données projet'!$B$11,Paramètres!$A$1:$I$89,5,0)</f>
        <v>276.42575999999912</v>
      </c>
      <c r="BF150" s="14">
        <f t="shared" si="145"/>
        <v>66.211105372509707</v>
      </c>
      <c r="BG150" s="22">
        <f t="shared" si="115"/>
        <v>596.75920719045291</v>
      </c>
      <c r="BH150" s="60">
        <f t="shared" si="116"/>
        <v>890.09254052378628</v>
      </c>
      <c r="BI150" s="60">
        <f ca="1">AVERAGE(OFFSET($BH$3,0,0,'Données projet'!$E$11+1,1))-AVERAGE(OFFSET($H$3,0,0,'Données projet'!$E$11+1,1))</f>
        <v>330.39429528665841</v>
      </c>
      <c r="BJ150" s="60">
        <f t="shared" si="146"/>
        <v>186.45728006007261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1.7053025658242404E-13</v>
      </c>
      <c r="BZ150" s="14">
        <f>BY150*VLOOKUP('Données projet'!$B$12,Paramètres!$A$1:$I$89,3,0)*VLOOKUP('Données projet'!$B$12,Paramètres!$A$1:$I$89,5,0)</f>
        <v>1.1439169611549005E-13</v>
      </c>
      <c r="CA150" s="14">
        <f t="shared" si="147"/>
        <v>1.6918016515029816E-12</v>
      </c>
      <c r="CB150" s="22">
        <f t="shared" si="118"/>
        <v>3.1457867471021712E-12</v>
      </c>
      <c r="CC150" s="60">
        <f t="shared" si="119"/>
        <v>293.33333333333644</v>
      </c>
      <c r="CD150" s="60">
        <f ca="1">AVERAGE(OFFSET($CC$3,0,0,'Données projet'!$E$12+1,1))-AVERAGE(OFFSET($H$3,0,0,'Données projet'!$E$12+1,1))</f>
        <v>212.33913923444732</v>
      </c>
      <c r="CE150" s="60">
        <f t="shared" si="148"/>
        <v>183.51194426094372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-3.979039320256561E-13</v>
      </c>
      <c r="CU150" s="18">
        <f>CT150*VLOOKUP('Données projet'!$B$13,Paramètres!$A$1:$I$89,3,0)*VLOOKUP('Données projet'!$B$13,Paramètres!$A$1:$I$89,5,0)</f>
        <v>-3.4760887501761321E-13</v>
      </c>
      <c r="CV150" s="14" t="e">
        <f t="shared" si="149"/>
        <v>#NUM!</v>
      </c>
      <c r="CW150" s="22" t="e">
        <f t="shared" si="121"/>
        <v>#NUM!</v>
      </c>
      <c r="CX150" s="60" t="e">
        <f t="shared" si="122"/>
        <v>#NUM!</v>
      </c>
      <c r="CY150" s="60">
        <f ca="1">AVERAGE(OFFSET($CX$3,0,0,'Données projet'!$E$13+1,1))-AVERAGE(OFFSET($H$3,0,0,'Données projet'!$E$13+1,1))</f>
        <v>228.0393346366489</v>
      </c>
      <c r="CZ150" s="60">
        <f t="shared" si="150"/>
        <v>238.591781509447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2.4</v>
      </c>
      <c r="DO150" s="13">
        <f>IF('Données projet'!$A$166&gt;35,DO149+DN150-DW149,IF(A150&lt;'Données projet'!$A$166,$DL$205^A150,IF(A150='Données projet'!$A$166,'Données projet'!$B$166,DO149+DN150-DW149)))</f>
        <v>285.7999999999991</v>
      </c>
      <c r="DP150" s="18">
        <f>DO150*VLOOKUP('Données projet'!$B$14,Paramètres!$A$1:$I$89,3,0)*VLOOKUP('Données projet'!$B$14,Paramètres!$A$1:$I$89,5,0)</f>
        <v>258.59183999999919</v>
      </c>
      <c r="DQ150" s="14">
        <f t="shared" si="151"/>
        <v>62.422120343276475</v>
      </c>
      <c r="DR150" s="22">
        <f t="shared" si="124"/>
        <v>559.09931426453841</v>
      </c>
      <c r="DS150" s="60">
        <f t="shared" si="125"/>
        <v>852.43264759787166</v>
      </c>
      <c r="DT150" s="60">
        <f ca="1">AVERAGE(OFFSET($DS$3,0,0,'Données projet'!$E$14+1,1))-AVERAGE(OFFSET($H$3,0,0,'Données projet'!$E$14+1,1))</f>
        <v>303.73499739059076</v>
      </c>
      <c r="DU150" s="60">
        <f t="shared" si="152"/>
        <v>172.32171001882188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1.1368683772161603E-13</v>
      </c>
      <c r="EK150" s="18">
        <f>EJ150*VLOOKUP('Données projet'!$B$15,Paramètres!$A$1:$I$89,3,0)*VLOOKUP('Données projet'!$B$15,Paramètres!$A$1:$I$89,5,0)</f>
        <v>6.7984728957526396E-14</v>
      </c>
      <c r="EL150" s="14">
        <f t="shared" si="153"/>
        <v>1.0682447123141398E-12</v>
      </c>
      <c r="EM150" s="22">
        <f t="shared" si="127"/>
        <v>1.978932943548152E-12</v>
      </c>
      <c r="EN150" s="60">
        <f t="shared" si="128"/>
        <v>293.3333333333353</v>
      </c>
      <c r="EO150" s="60">
        <f ca="1">AVERAGE(OFFSET($EN$3,0,0,'Données projet'!$E$15+1,1))-AVERAGE(OFFSET($H$3,0,0,'Données projet'!$E$15+1,1))</f>
        <v>269.94948820700841</v>
      </c>
      <c r="EP150" s="60">
        <f t="shared" si="154"/>
        <v>183.45158355135192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0.53267462262140763</v>
      </c>
      <c r="EX150" s="23">
        <f>EXP(-LN(2)/2)*EX149+(1-EXP(-LN(2)/2))/(LN(2)/2)*ER150*EU150*VLOOKUP('Données projet'!$B$15,Paramètres!$A$1:$I$89,3,0)*0.475*44/12</f>
        <v>1.3831610986239488E-17</v>
      </c>
      <c r="EY150" s="24">
        <f t="shared" si="129"/>
        <v>0.53267462262140763</v>
      </c>
      <c r="EZ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>
        <f>FE150*VLOOKUP('Données projet'!$B$16,Paramètres!$A$1:$I$89,3,0)*VLOOKUP('Données projet'!$B$16,Paramètres!$A$1:$I$89,5,0)</f>
        <v>0</v>
      </c>
      <c r="FG150" s="14" t="e">
        <f t="shared" si="155"/>
        <v>#NUM!</v>
      </c>
      <c r="FH150" s="22" t="e">
        <f t="shared" si="130"/>
        <v>#NUM!</v>
      </c>
      <c r="FI150" s="60" t="e">
        <f t="shared" si="131"/>
        <v>#NUM!</v>
      </c>
      <c r="FJ150" s="60">
        <f ca="1">AVERAGE(OFFSET($FI$3,0,0,'Données projet'!$E$16+1,1))-AVERAGE(OFFSET($H$3,0,0,'Données projet'!$E$16+1,1))</f>
        <v>111.24788725253484</v>
      </c>
      <c r="FK150" s="60">
        <f t="shared" si="156"/>
        <v>82.434879813357327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projet'!$B$16,Paramètres!$A$1:$I$89,3,0)*0.475*44/12</f>
        <v>0</v>
      </c>
      <c r="FR150" s="23">
        <f>EXP(-LN(2)/25)*FR149+(1-EXP(-LN(2)/25))/(LN(2)/25)*Calculateur!FM150*Calculateur!FO150*VLOOKUP('Données projet'!$B$16,Paramètres!$A$1:$I$89,3,0)*0.475*44/12</f>
        <v>0</v>
      </c>
      <c r="FS150" s="23">
        <f>EXP(-LN(2)/2)*FS149+(1-EXP(-LN(2)/2))/(LN(2)/2)*FM150*FP150*VLOOKUP('Données projet'!$B$16,Paramètres!$A$1:$I$89,3,0)*0.475*44/12</f>
        <v>0</v>
      </c>
      <c r="FT150" s="24">
        <f t="shared" si="132"/>
        <v>0</v>
      </c>
      <c r="FU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1.0231815394945443E-12</v>
      </c>
      <c r="GA150" s="18">
        <f>FZ150*VLOOKUP('Données projet'!$B$17,Paramètres!$A$1:$I$89,3,0)*VLOOKUP('Données projet'!$B$17,Paramètres!$A$1:$I$89,5,0)</f>
        <v>4.5224624045658859E-13</v>
      </c>
      <c r="GB150" s="14">
        <f t="shared" si="157"/>
        <v>5.6995607121061449E-12</v>
      </c>
      <c r="GC150" s="22">
        <f t="shared" si="133"/>
        <v>1.0714397109046761E-11</v>
      </c>
      <c r="GD150" s="60">
        <f t="shared" si="134"/>
        <v>293.333333333344</v>
      </c>
      <c r="GE150" s="60">
        <f ca="1">AVERAGE(OFFSET($GD$3,0,0,'Données projet'!$E$17+1,1))-AVERAGE(OFFSET($H$3,0,0,'Données projet'!$E$17+1,1))</f>
        <v>323.56667371063662</v>
      </c>
      <c r="GF150" s="60">
        <f t="shared" si="158"/>
        <v>275.70373467723385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>
        <f>EXP(-LN(2)/35)*GL149+(1-EXP(-LN(2)/35))/(LN(2)/35)*GH150*GI150*VLOOKUP('Données projet'!$B$17,Paramètres!$A$1:$I$89,3,0)*0.475*44/12</f>
        <v>0</v>
      </c>
      <c r="GM150" s="23">
        <f>EXP(-LN(2)/25)*GM149+(1-EXP(-LN(2)/25))/(LN(2)/25)*Calculateur!GH150*Calculateur!GJ150*VLOOKUP('Données projet'!$B$17,Paramètres!$A$1:$I$89,3,0)*0.475*44/12</f>
        <v>0</v>
      </c>
      <c r="GN150" s="23">
        <f>EXP(-LN(2)/2)*GN149+(1-EXP(-LN(2)/2))/(LN(2)/2)*GH150*GK150*VLOOKUP('Données projet'!$B$17,Paramètres!$A$1:$I$89,3,0)*0.475*44/12</f>
        <v>0</v>
      </c>
      <c r="GO150" s="23">
        <f t="shared" si="135"/>
        <v>0</v>
      </c>
      <c r="GP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0" t="e">
        <f t="shared" si="137"/>
        <v>#N/A</v>
      </c>
      <c r="GZ150" s="60" t="e">
        <f ca="1">AVERAGE(OFFSET($GY$3,0,0,'Données projet'!$E$18+1,1))-AVERAGE(OFFSET($H$3,0,0,'Données projet'!$E$18+1,1))</f>
        <v>#N/A</v>
      </c>
      <c r="HA150" s="60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4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2">
        <f t="shared" si="140"/>
        <v>22.334628633536237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-1.1368683772161603E-13</v>
      </c>
      <c r="O151" s="14">
        <f>N151*VLOOKUP('Données projet'!$B$9,Paramètres!$A$1:$I$89,3,0)*VLOOKUP('Données projet'!$B$9,Paramètres!$A$1:$I$89,5,0)</f>
        <v>-6.7984728957526396E-14</v>
      </c>
      <c r="P151" s="14" t="e">
        <f t="shared" si="141"/>
        <v>#NUM!</v>
      </c>
      <c r="Q151" s="22" t="e">
        <f t="shared" si="108"/>
        <v>#NUM!</v>
      </c>
      <c r="R151" s="60" t="e">
        <f t="shared" si="109"/>
        <v>#NUM!</v>
      </c>
      <c r="S151" s="60">
        <f ca="1">AVERAGE(OFFSET($R$3,0,0,'Données projet'!$E$9+1,1))-AVERAGE(OFFSET($H$3,0,0,'Données projet'!$E$9+1,1))</f>
        <v>235.63766249714581</v>
      </c>
      <c r="T151" s="60">
        <f t="shared" si="142"/>
        <v>231.3297293785277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1.1086692701100898</v>
      </c>
      <c r="AA151" s="23">
        <f>EXP(-LN(2)/25)*AA150+(1-EXP(-LN(2)/25))/(LN(2)/25)*Calculateur!V151*Calculateur!X151*VLOOKUP('Données projet'!$B$9,Paramètres!$A$1:$I$89,3,0)*0.475*44/12</f>
        <v>0.65600492157507229</v>
      </c>
      <c r="AB151" s="23">
        <f>EXP(-LN(2)/2)*AB150+(1-EXP(-LN(2)/2))/(LN(2)/2)*V151*Y151*VLOOKUP('Données projet'!$B$9,Paramètres!$A$1:$I$89,3,0)*0.475*44/12</f>
        <v>1.2338102974883985E-17</v>
      </c>
      <c r="AC151" s="24">
        <f t="shared" si="111"/>
        <v>1.764674191685162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2.4</v>
      </c>
      <c r="AI151" s="14">
        <f>IF('Données projet'!$A$62&gt;35,AI150+AH151-AQ150,IF(A151&lt;'Données projet'!$A$62,$AF$205^A151,IF(A151='Données projet'!$A$62,'Données projet'!$B$62,AI150+AH151-AQ150)))</f>
        <v>288.19999999999908</v>
      </c>
      <c r="AJ151" s="14">
        <f>AI151*VLOOKUP('Données projet'!$B$10,Paramètres!$A$1:$I$89,3,0)*VLOOKUP('Données projet'!$B$10,Paramètres!$A$1:$I$89,5,0)</f>
        <v>292.2347999999991</v>
      </c>
      <c r="AK151" s="14">
        <f t="shared" si="143"/>
        <v>69.546103016553573</v>
      </c>
      <c r="AL151" s="22">
        <f t="shared" si="112"/>
        <v>630.10173942049585</v>
      </c>
      <c r="AM151" s="60">
        <f t="shared" si="113"/>
        <v>923.43507275382922</v>
      </c>
      <c r="AN151" s="60">
        <f ca="1">AVERAGE(OFFSET($AM$3,0,0,'Données projet'!$E$10+1,1))-AVERAGE(OFFSET($H$3,0,0,'Données projet'!$E$10+1,1))</f>
        <v>350.3652766444938</v>
      </c>
      <c r="AO151" s="60">
        <f t="shared" si="144"/>
        <v>197.04549436738586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6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2.4</v>
      </c>
      <c r="BD151" s="13">
        <f>IF('Données projet'!$A$88&gt;35,BD150+BC151-BL150,IF(A151&lt;'Données projet'!$A$88,$BA$205^A151,IF(A151='Données projet'!$A$88,'Données projet'!$B$88,BD150+BC151-BL150)))</f>
        <v>288.19999999999908</v>
      </c>
      <c r="BE151" s="14">
        <f>BD151*VLOOKUP('Données projet'!$B$11,Paramètres!$A$1:$I$89,3,0)*VLOOKUP('Données projet'!$B$11,Paramètres!$A$1:$I$89,5,0)</f>
        <v>278.74703999999912</v>
      </c>
      <c r="BF151" s="14">
        <f t="shared" si="145"/>
        <v>66.702153339553078</v>
      </c>
      <c r="BG151" s="22">
        <f t="shared" si="115"/>
        <v>601.65734506638671</v>
      </c>
      <c r="BH151" s="60">
        <f t="shared" si="116"/>
        <v>894.99067839972008</v>
      </c>
      <c r="BI151" s="60">
        <f ca="1">AVERAGE(OFFSET($BH$3,0,0,'Données projet'!$E$11+1,1))-AVERAGE(OFFSET($H$3,0,0,'Données projet'!$E$11+1,1))</f>
        <v>330.39429528665841</v>
      </c>
      <c r="BJ151" s="60">
        <f t="shared" si="146"/>
        <v>186.45728006007261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1.7053025658242404E-13</v>
      </c>
      <c r="BZ151" s="14">
        <f>BY151*VLOOKUP('Données projet'!$B$12,Paramètres!$A$1:$I$89,3,0)*VLOOKUP('Données projet'!$B$12,Paramètres!$A$1:$I$89,5,0)</f>
        <v>1.1439169611549005E-13</v>
      </c>
      <c r="CA151" s="14">
        <f t="shared" si="147"/>
        <v>1.6918016515029816E-12</v>
      </c>
      <c r="CB151" s="22">
        <f t="shared" si="118"/>
        <v>3.1457867471021712E-12</v>
      </c>
      <c r="CC151" s="60">
        <f t="shared" si="119"/>
        <v>293.33333333333644</v>
      </c>
      <c r="CD151" s="60">
        <f ca="1">AVERAGE(OFFSET($CC$3,0,0,'Données projet'!$E$12+1,1))-AVERAGE(OFFSET($H$3,0,0,'Données projet'!$E$12+1,1))</f>
        <v>212.33913923444732</v>
      </c>
      <c r="CE151" s="60">
        <f t="shared" si="148"/>
        <v>183.51194426094372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-3.979039320256561E-13</v>
      </c>
      <c r="CU151" s="18">
        <f>CT151*VLOOKUP('Données projet'!$B$13,Paramètres!$A$1:$I$89,3,0)*VLOOKUP('Données projet'!$B$13,Paramètres!$A$1:$I$89,5,0)</f>
        <v>-3.4760887501761321E-13</v>
      </c>
      <c r="CV151" s="14" t="e">
        <f t="shared" si="149"/>
        <v>#NUM!</v>
      </c>
      <c r="CW151" s="22" t="e">
        <f t="shared" si="121"/>
        <v>#NUM!</v>
      </c>
      <c r="CX151" s="60" t="e">
        <f t="shared" si="122"/>
        <v>#NUM!</v>
      </c>
      <c r="CY151" s="60">
        <f ca="1">AVERAGE(OFFSET($CX$3,0,0,'Données projet'!$E$13+1,1))-AVERAGE(OFFSET($H$3,0,0,'Données projet'!$E$13+1,1))</f>
        <v>228.0393346366489</v>
      </c>
      <c r="CZ151" s="60">
        <f t="shared" si="150"/>
        <v>238.591781509447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2.4</v>
      </c>
      <c r="DO151" s="13">
        <f>IF('Données projet'!$A$166&gt;35,DO150+DN151-DW150,IF(A151&lt;'Données projet'!$A$166,$DL$205^A151,IF(A151='Données projet'!$A$166,'Données projet'!$B$166,DO150+DN151-DW150)))</f>
        <v>288.19999999999908</v>
      </c>
      <c r="DP151" s="18">
        <f>DO151*VLOOKUP('Données projet'!$B$14,Paramètres!$A$1:$I$89,3,0)*VLOOKUP('Données projet'!$B$14,Paramètres!$A$1:$I$89,5,0)</f>
        <v>260.76335999999918</v>
      </c>
      <c r="DQ151" s="14">
        <f t="shared" si="151"/>
        <v>62.885067686031789</v>
      </c>
      <c r="DR151" s="22">
        <f t="shared" si="124"/>
        <v>563.68767821983727</v>
      </c>
      <c r="DS151" s="60">
        <f t="shared" si="125"/>
        <v>857.02101155317064</v>
      </c>
      <c r="DT151" s="60">
        <f ca="1">AVERAGE(OFFSET($DS$3,0,0,'Données projet'!$E$14+1,1))-AVERAGE(OFFSET($H$3,0,0,'Données projet'!$E$14+1,1))</f>
        <v>303.73499739059076</v>
      </c>
      <c r="DU151" s="60">
        <f t="shared" si="152"/>
        <v>172.32171001882188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1.1368683772161603E-13</v>
      </c>
      <c r="EK151" s="18">
        <f>EJ151*VLOOKUP('Données projet'!$B$15,Paramètres!$A$1:$I$89,3,0)*VLOOKUP('Données projet'!$B$15,Paramètres!$A$1:$I$89,5,0)</f>
        <v>6.7984728957526396E-14</v>
      </c>
      <c r="EL151" s="14">
        <f t="shared" si="153"/>
        <v>1.0682447123141398E-12</v>
      </c>
      <c r="EM151" s="22">
        <f t="shared" si="127"/>
        <v>1.978932943548152E-12</v>
      </c>
      <c r="EN151" s="60">
        <f t="shared" si="128"/>
        <v>293.3333333333353</v>
      </c>
      <c r="EO151" s="60">
        <f ca="1">AVERAGE(OFFSET($EN$3,0,0,'Données projet'!$E$15+1,1))-AVERAGE(OFFSET($H$3,0,0,'Données projet'!$E$15+1,1))</f>
        <v>269.94948820700841</v>
      </c>
      <c r="EP151" s="60">
        <f t="shared" si="154"/>
        <v>183.45158355135192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0.51810860705368433</v>
      </c>
      <c r="EX151" s="23">
        <f>EXP(-LN(2)/2)*EX150+(1-EXP(-LN(2)/2))/(LN(2)/2)*ER151*EU151*VLOOKUP('Données projet'!$B$15,Paramètres!$A$1:$I$89,3,0)*0.475*44/12</f>
        <v>9.7804259231042937E-18</v>
      </c>
      <c r="EY151" s="24">
        <f t="shared" si="129"/>
        <v>0.51810860705368433</v>
      </c>
      <c r="EZ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>
        <f>FE151*VLOOKUP('Données projet'!$B$16,Paramètres!$A$1:$I$89,3,0)*VLOOKUP('Données projet'!$B$16,Paramètres!$A$1:$I$89,5,0)</f>
        <v>0</v>
      </c>
      <c r="FG151" s="14" t="e">
        <f t="shared" si="155"/>
        <v>#NUM!</v>
      </c>
      <c r="FH151" s="22" t="e">
        <f t="shared" si="130"/>
        <v>#NUM!</v>
      </c>
      <c r="FI151" s="60" t="e">
        <f t="shared" si="131"/>
        <v>#NUM!</v>
      </c>
      <c r="FJ151" s="60">
        <f ca="1">AVERAGE(OFFSET($FI$3,0,0,'Données projet'!$E$16+1,1))-AVERAGE(OFFSET($H$3,0,0,'Données projet'!$E$16+1,1))</f>
        <v>111.24788725253484</v>
      </c>
      <c r="FK151" s="60">
        <f t="shared" si="156"/>
        <v>82.434879813357327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projet'!$B$16,Paramètres!$A$1:$I$89,3,0)*0.475*44/12</f>
        <v>0</v>
      </c>
      <c r="FR151" s="23">
        <f>EXP(-LN(2)/25)*FR150+(1-EXP(-LN(2)/25))/(LN(2)/25)*Calculateur!FM151*Calculateur!FO151*VLOOKUP('Données projet'!$B$16,Paramètres!$A$1:$I$89,3,0)*0.475*44/12</f>
        <v>0</v>
      </c>
      <c r="FS151" s="23">
        <f>EXP(-LN(2)/2)*FS150+(1-EXP(-LN(2)/2))/(LN(2)/2)*FM151*FP151*VLOOKUP('Données projet'!$B$16,Paramètres!$A$1:$I$89,3,0)*0.475*44/12</f>
        <v>0</v>
      </c>
      <c r="FT151" s="24">
        <f t="shared" si="132"/>
        <v>0</v>
      </c>
      <c r="FU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1.0231815394945443E-12</v>
      </c>
      <c r="GA151" s="18">
        <f>FZ151*VLOOKUP('Données projet'!$B$17,Paramètres!$A$1:$I$89,3,0)*VLOOKUP('Données projet'!$B$17,Paramètres!$A$1:$I$89,5,0)</f>
        <v>4.5224624045658859E-13</v>
      </c>
      <c r="GB151" s="14">
        <f t="shared" si="157"/>
        <v>5.6995607121061449E-12</v>
      </c>
      <c r="GC151" s="22">
        <f t="shared" si="133"/>
        <v>1.0714397109046761E-11</v>
      </c>
      <c r="GD151" s="60">
        <f t="shared" si="134"/>
        <v>293.333333333344</v>
      </c>
      <c r="GE151" s="60">
        <f ca="1">AVERAGE(OFFSET($GD$3,0,0,'Données projet'!$E$17+1,1))-AVERAGE(OFFSET($H$3,0,0,'Données projet'!$E$17+1,1))</f>
        <v>323.56667371063662</v>
      </c>
      <c r="GF151" s="60">
        <f t="shared" si="158"/>
        <v>275.70373467723385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>
        <f>EXP(-LN(2)/35)*GL150+(1-EXP(-LN(2)/35))/(LN(2)/35)*GH151*GI151*VLOOKUP('Données projet'!$B$17,Paramètres!$A$1:$I$89,3,0)*0.475*44/12</f>
        <v>0</v>
      </c>
      <c r="GM151" s="23">
        <f>EXP(-LN(2)/25)*GM150+(1-EXP(-LN(2)/25))/(LN(2)/25)*Calculateur!GH151*Calculateur!GJ151*VLOOKUP('Données projet'!$B$17,Paramètres!$A$1:$I$89,3,0)*0.475*44/12</f>
        <v>0</v>
      </c>
      <c r="GN151" s="23">
        <f>EXP(-LN(2)/2)*GN150+(1-EXP(-LN(2)/2))/(LN(2)/2)*GH151*GK151*VLOOKUP('Données projet'!$B$17,Paramètres!$A$1:$I$89,3,0)*0.475*44/12</f>
        <v>0</v>
      </c>
      <c r="GO151" s="23">
        <f t="shared" si="135"/>
        <v>0</v>
      </c>
      <c r="GP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0" t="e">
        <f t="shared" si="137"/>
        <v>#N/A</v>
      </c>
      <c r="GZ151" s="60" t="e">
        <f ca="1">AVERAGE(OFFSET($GY$3,0,0,'Données projet'!$E$18+1,1))-AVERAGE(OFFSET($H$3,0,0,'Données projet'!$E$18+1,1))</f>
        <v>#N/A</v>
      </c>
      <c r="HA151" s="60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4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2">
        <f t="shared" si="140"/>
        <v>22.467920097706067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-1.1368683772161603E-13</v>
      </c>
      <c r="O152" s="14">
        <f>N152*VLOOKUP('Données projet'!$B$9,Paramètres!$A$1:$I$89,3,0)*VLOOKUP('Données projet'!$B$9,Paramètres!$A$1:$I$89,5,0)</f>
        <v>-6.7984728957526396E-14</v>
      </c>
      <c r="P152" s="14" t="e">
        <f t="shared" si="141"/>
        <v>#NUM!</v>
      </c>
      <c r="Q152" s="22" t="e">
        <f t="shared" si="108"/>
        <v>#NUM!</v>
      </c>
      <c r="R152" s="60" t="e">
        <f t="shared" si="109"/>
        <v>#NUM!</v>
      </c>
      <c r="S152" s="60">
        <f ca="1">AVERAGE(OFFSET($R$3,0,0,'Données projet'!$E$9+1,1))-AVERAGE(OFFSET($H$3,0,0,'Données projet'!$E$9+1,1))</f>
        <v>235.63766249714581</v>
      </c>
      <c r="T152" s="60">
        <f t="shared" si="142"/>
        <v>231.3297293785277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1.0869289419447143</v>
      </c>
      <c r="AA152" s="23">
        <f>EXP(-LN(2)/25)*AA151+(1-EXP(-LN(2)/25))/(LN(2)/25)*Calculateur!V152*Calculateur!X152*VLOOKUP('Données projet'!$B$9,Paramètres!$A$1:$I$89,3,0)*0.475*44/12</f>
        <v>0.63806643249680239</v>
      </c>
      <c r="AB152" s="23">
        <f>EXP(-LN(2)/2)*AB151+(1-EXP(-LN(2)/2))/(LN(2)/2)*V152*Y152*VLOOKUP('Données projet'!$B$9,Paramètres!$A$1:$I$89,3,0)*0.475*44/12</f>
        <v>8.7243562805183812E-18</v>
      </c>
      <c r="AC152" s="24">
        <f t="shared" si="111"/>
        <v>1.7249953744415167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2.4</v>
      </c>
      <c r="AI152" s="14">
        <f>IF('Données projet'!$A$62&gt;35,AI151+AH152-AQ151,IF(A152&lt;'Données projet'!$A$62,$AF$205^A152,IF(A152='Données projet'!$A$62,'Données projet'!$B$62,AI151+AH152-AQ151)))</f>
        <v>290.59999999999906</v>
      </c>
      <c r="AJ152" s="14">
        <f>AI152*VLOOKUP('Données projet'!$B$10,Paramètres!$A$1:$I$89,3,0)*VLOOKUP('Données projet'!$B$10,Paramètres!$A$1:$I$89,5,0)</f>
        <v>294.66839999999905</v>
      </c>
      <c r="AK152" s="14">
        <f t="shared" si="143"/>
        <v>70.057591528661362</v>
      </c>
      <c r="AL152" s="22">
        <f t="shared" si="112"/>
        <v>635.23110191241688</v>
      </c>
      <c r="AM152" s="60">
        <f t="shared" si="113"/>
        <v>928.56443524575025</v>
      </c>
      <c r="AN152" s="60">
        <f ca="1">AVERAGE(OFFSET($AM$3,0,0,'Données projet'!$E$10+1,1))-AVERAGE(OFFSET($H$3,0,0,'Données projet'!$E$10+1,1))</f>
        <v>350.3652766444938</v>
      </c>
      <c r="AO152" s="60">
        <f t="shared" si="144"/>
        <v>197.04549436738586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6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2.4</v>
      </c>
      <c r="BD152" s="13">
        <f>IF('Données projet'!$A$88&gt;35,BD151+BC152-BL151,IF(A152&lt;'Données projet'!$A$88,$BA$205^A152,IF(A152='Données projet'!$A$88,'Données projet'!$B$88,BD151+BC152-BL151)))</f>
        <v>290.59999999999906</v>
      </c>
      <c r="BE152" s="14">
        <f>BD152*VLOOKUP('Données projet'!$B$11,Paramètres!$A$1:$I$89,3,0)*VLOOKUP('Données projet'!$B$11,Paramètres!$A$1:$I$89,5,0)</f>
        <v>281.06831999999906</v>
      </c>
      <c r="BF152" s="14">
        <f t="shared" si="145"/>
        <v>67.192725545416479</v>
      </c>
      <c r="BG152" s="22">
        <f t="shared" si="115"/>
        <v>606.55465432493213</v>
      </c>
      <c r="BH152" s="60">
        <f t="shared" si="116"/>
        <v>899.8879876582655</v>
      </c>
      <c r="BI152" s="60">
        <f ca="1">AVERAGE(OFFSET($BH$3,0,0,'Données projet'!$E$11+1,1))-AVERAGE(OFFSET($H$3,0,0,'Données projet'!$E$11+1,1))</f>
        <v>330.39429528665841</v>
      </c>
      <c r="BJ152" s="60">
        <f t="shared" si="146"/>
        <v>186.45728006007261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1.7053025658242404E-13</v>
      </c>
      <c r="BZ152" s="14">
        <f>BY152*VLOOKUP('Données projet'!$B$12,Paramètres!$A$1:$I$89,3,0)*VLOOKUP('Données projet'!$B$12,Paramètres!$A$1:$I$89,5,0)</f>
        <v>1.1439169611549005E-13</v>
      </c>
      <c r="CA152" s="14">
        <f t="shared" si="147"/>
        <v>1.6918016515029816E-12</v>
      </c>
      <c r="CB152" s="22">
        <f t="shared" si="118"/>
        <v>3.1457867471021712E-12</v>
      </c>
      <c r="CC152" s="60">
        <f t="shared" si="119"/>
        <v>293.33333333333644</v>
      </c>
      <c r="CD152" s="60">
        <f ca="1">AVERAGE(OFFSET($CC$3,0,0,'Données projet'!$E$12+1,1))-AVERAGE(OFFSET($H$3,0,0,'Données projet'!$E$12+1,1))</f>
        <v>212.33913923444732</v>
      </c>
      <c r="CE152" s="60">
        <f t="shared" si="148"/>
        <v>183.51194426094372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-3.979039320256561E-13</v>
      </c>
      <c r="CU152" s="18">
        <f>CT152*VLOOKUP('Données projet'!$B$13,Paramètres!$A$1:$I$89,3,0)*VLOOKUP('Données projet'!$B$13,Paramètres!$A$1:$I$89,5,0)</f>
        <v>-3.4760887501761321E-13</v>
      </c>
      <c r="CV152" s="14" t="e">
        <f t="shared" si="149"/>
        <v>#NUM!</v>
      </c>
      <c r="CW152" s="22" t="e">
        <f t="shared" si="121"/>
        <v>#NUM!</v>
      </c>
      <c r="CX152" s="60" t="e">
        <f t="shared" si="122"/>
        <v>#NUM!</v>
      </c>
      <c r="CY152" s="60">
        <f ca="1">AVERAGE(OFFSET($CX$3,0,0,'Données projet'!$E$13+1,1))-AVERAGE(OFFSET($H$3,0,0,'Données projet'!$E$13+1,1))</f>
        <v>228.0393346366489</v>
      </c>
      <c r="CZ152" s="60">
        <f t="shared" si="150"/>
        <v>238.591781509447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2.4</v>
      </c>
      <c r="DO152" s="13">
        <f>IF('Données projet'!$A$166&gt;35,DO151+DN152-DW151,IF(A152&lt;'Données projet'!$A$166,$DL$205^A152,IF(A152='Données projet'!$A$166,'Données projet'!$B$166,DO151+DN152-DW151)))</f>
        <v>290.59999999999906</v>
      </c>
      <c r="DP152" s="18">
        <f>DO152*VLOOKUP('Données projet'!$B$14,Paramètres!$A$1:$I$89,3,0)*VLOOKUP('Données projet'!$B$14,Paramètres!$A$1:$I$89,5,0)</f>
        <v>262.93487999999911</v>
      </c>
      <c r="DQ152" s="14">
        <f t="shared" si="151"/>
        <v>63.347566493432595</v>
      </c>
      <c r="DR152" s="22">
        <f t="shared" si="124"/>
        <v>568.27526097606028</v>
      </c>
      <c r="DS152" s="60">
        <f t="shared" si="125"/>
        <v>861.60859430939354</v>
      </c>
      <c r="DT152" s="60">
        <f ca="1">AVERAGE(OFFSET($DS$3,0,0,'Données projet'!$E$14+1,1))-AVERAGE(OFFSET($H$3,0,0,'Données projet'!$E$14+1,1))</f>
        <v>303.73499739059076</v>
      </c>
      <c r="DU152" s="60">
        <f t="shared" si="152"/>
        <v>172.32171001882188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1.1368683772161603E-13</v>
      </c>
      <c r="EK152" s="18">
        <f>EJ152*VLOOKUP('Données projet'!$B$15,Paramètres!$A$1:$I$89,3,0)*VLOOKUP('Données projet'!$B$15,Paramètres!$A$1:$I$89,5,0)</f>
        <v>6.7984728957526396E-14</v>
      </c>
      <c r="EL152" s="14">
        <f t="shared" si="153"/>
        <v>1.0682447123141398E-12</v>
      </c>
      <c r="EM152" s="22">
        <f t="shared" si="127"/>
        <v>1.978932943548152E-12</v>
      </c>
      <c r="EN152" s="60">
        <f t="shared" si="128"/>
        <v>293.3333333333353</v>
      </c>
      <c r="EO152" s="60">
        <f ca="1">AVERAGE(OFFSET($EN$3,0,0,'Données projet'!$E$15+1,1))-AVERAGE(OFFSET($H$3,0,0,'Données projet'!$E$15+1,1))</f>
        <v>269.94948820700841</v>
      </c>
      <c r="EP152" s="60">
        <f t="shared" si="154"/>
        <v>183.45158355135192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0.5039408999476539</v>
      </c>
      <c r="EX152" s="23">
        <f>EXP(-LN(2)/2)*EX151+(1-EXP(-LN(2)/2))/(LN(2)/2)*ER152*EU152*VLOOKUP('Données projet'!$B$15,Paramètres!$A$1:$I$89,3,0)*0.475*44/12</f>
        <v>6.9158054931197457E-18</v>
      </c>
      <c r="EY152" s="24">
        <f t="shared" si="129"/>
        <v>0.5039408999476539</v>
      </c>
      <c r="EZ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>
        <f>FE152*VLOOKUP('Données projet'!$B$16,Paramètres!$A$1:$I$89,3,0)*VLOOKUP('Données projet'!$B$16,Paramètres!$A$1:$I$89,5,0)</f>
        <v>0</v>
      </c>
      <c r="FG152" s="14" t="e">
        <f t="shared" si="155"/>
        <v>#NUM!</v>
      </c>
      <c r="FH152" s="22" t="e">
        <f t="shared" si="130"/>
        <v>#NUM!</v>
      </c>
      <c r="FI152" s="60" t="e">
        <f t="shared" si="131"/>
        <v>#NUM!</v>
      </c>
      <c r="FJ152" s="60">
        <f ca="1">AVERAGE(OFFSET($FI$3,0,0,'Données projet'!$E$16+1,1))-AVERAGE(OFFSET($H$3,0,0,'Données projet'!$E$16+1,1))</f>
        <v>111.24788725253484</v>
      </c>
      <c r="FK152" s="60">
        <f t="shared" si="156"/>
        <v>82.434879813357327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projet'!$B$16,Paramètres!$A$1:$I$89,3,0)*0.475*44/12</f>
        <v>0</v>
      </c>
      <c r="FR152" s="23">
        <f>EXP(-LN(2)/25)*FR151+(1-EXP(-LN(2)/25))/(LN(2)/25)*Calculateur!FM152*Calculateur!FO152*VLOOKUP('Données projet'!$B$16,Paramètres!$A$1:$I$89,3,0)*0.475*44/12</f>
        <v>0</v>
      </c>
      <c r="FS152" s="23">
        <f>EXP(-LN(2)/2)*FS151+(1-EXP(-LN(2)/2))/(LN(2)/2)*FM152*FP152*VLOOKUP('Données projet'!$B$16,Paramètres!$A$1:$I$89,3,0)*0.475*44/12</f>
        <v>0</v>
      </c>
      <c r="FT152" s="24">
        <f t="shared" si="132"/>
        <v>0</v>
      </c>
      <c r="FU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1.0231815394945443E-12</v>
      </c>
      <c r="GA152" s="18">
        <f>FZ152*VLOOKUP('Données projet'!$B$17,Paramètres!$A$1:$I$89,3,0)*VLOOKUP('Données projet'!$B$17,Paramètres!$A$1:$I$89,5,0)</f>
        <v>4.5224624045658859E-13</v>
      </c>
      <c r="GB152" s="14">
        <f t="shared" si="157"/>
        <v>5.6995607121061449E-12</v>
      </c>
      <c r="GC152" s="22">
        <f t="shared" si="133"/>
        <v>1.0714397109046761E-11</v>
      </c>
      <c r="GD152" s="60">
        <f t="shared" si="134"/>
        <v>293.333333333344</v>
      </c>
      <c r="GE152" s="60">
        <f ca="1">AVERAGE(OFFSET($GD$3,0,0,'Données projet'!$E$17+1,1))-AVERAGE(OFFSET($H$3,0,0,'Données projet'!$E$17+1,1))</f>
        <v>323.56667371063662</v>
      </c>
      <c r="GF152" s="60">
        <f t="shared" si="158"/>
        <v>275.70373467723385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>
        <f>EXP(-LN(2)/35)*GL151+(1-EXP(-LN(2)/35))/(LN(2)/35)*GH152*GI152*VLOOKUP('Données projet'!$B$17,Paramètres!$A$1:$I$89,3,0)*0.475*44/12</f>
        <v>0</v>
      </c>
      <c r="GM152" s="23">
        <f>EXP(-LN(2)/25)*GM151+(1-EXP(-LN(2)/25))/(LN(2)/25)*Calculateur!GH152*Calculateur!GJ152*VLOOKUP('Données projet'!$B$17,Paramètres!$A$1:$I$89,3,0)*0.475*44/12</f>
        <v>0</v>
      </c>
      <c r="GN152" s="23">
        <f>EXP(-LN(2)/2)*GN151+(1-EXP(-LN(2)/2))/(LN(2)/2)*GH152*GK152*VLOOKUP('Données projet'!$B$17,Paramètres!$A$1:$I$89,3,0)*0.475*44/12</f>
        <v>0</v>
      </c>
      <c r="GO152" s="23">
        <f t="shared" si="135"/>
        <v>0</v>
      </c>
      <c r="GP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0" t="e">
        <f t="shared" si="137"/>
        <v>#N/A</v>
      </c>
      <c r="GZ152" s="60" t="e">
        <f ca="1">AVERAGE(OFFSET($GY$3,0,0,'Données projet'!$E$18+1,1))-AVERAGE(OFFSET($H$3,0,0,'Données projet'!$E$18+1,1))</f>
        <v>#N/A</v>
      </c>
      <c r="HA152" s="60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4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2">
        <f t="shared" si="140"/>
        <v>22.601107473346371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-1.1368683772161603E-13</v>
      </c>
      <c r="O153" s="14">
        <f>N153*VLOOKUP('Données projet'!$B$9,Paramètres!$A$1:$I$89,3,0)*VLOOKUP('Données projet'!$B$9,Paramètres!$A$1:$I$89,5,0)</f>
        <v>-6.7984728957526396E-14</v>
      </c>
      <c r="P153" s="14" t="e">
        <f t="shared" si="141"/>
        <v>#NUM!</v>
      </c>
      <c r="Q153" s="22" t="e">
        <f t="shared" si="108"/>
        <v>#NUM!</v>
      </c>
      <c r="R153" s="60" t="e">
        <f t="shared" si="109"/>
        <v>#NUM!</v>
      </c>
      <c r="S153" s="60">
        <f ca="1">AVERAGE(OFFSET($R$3,0,0,'Données projet'!$E$9+1,1))-AVERAGE(OFFSET($H$3,0,0,'Données projet'!$E$9+1,1))</f>
        <v>235.63766249714581</v>
      </c>
      <c r="T153" s="60">
        <f t="shared" si="142"/>
        <v>231.3297293785277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1.065614928354371</v>
      </c>
      <c r="AA153" s="23">
        <f>EXP(-LN(2)/25)*AA152+(1-EXP(-LN(2)/25))/(LN(2)/25)*Calculateur!V153*Calculateur!X153*VLOOKUP('Données projet'!$B$9,Paramètres!$A$1:$I$89,3,0)*0.475*44/12</f>
        <v>0.62061847234572198</v>
      </c>
      <c r="AB153" s="23">
        <f>EXP(-LN(2)/2)*AB152+(1-EXP(-LN(2)/2))/(LN(2)/2)*V153*Y153*VLOOKUP('Données projet'!$B$9,Paramètres!$A$1:$I$89,3,0)*0.475*44/12</f>
        <v>6.1690514874419926E-18</v>
      </c>
      <c r="AC153" s="24">
        <f t="shared" si="111"/>
        <v>1.686233400700093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>
        <f>VLOOKUP(A153,'Données projet'!$A$61:$I$81,2,0)</f>
        <v>293</v>
      </c>
      <c r="AG153" s="13">
        <f>VLOOKUP(A153,'Données projet'!$A$61:$I$81,9,0)</f>
        <v>2.4</v>
      </c>
      <c r="AH153" s="13">
        <f t="array" ref="AH153">INDEX(AG:AG,MIN(IF(ISNUMBER(AG153:AG349),ROW(AG153:AG349),"")))</f>
        <v>2.4</v>
      </c>
      <c r="AI153" s="14">
        <f>IF('Données projet'!$A$62&gt;35,AI152+AH153-AQ152,IF(A153&lt;'Données projet'!$A$62,$AF$205^A153,IF(A153='Données projet'!$A$62,'Données projet'!$B$62,AI152+AH153-AQ152)))</f>
        <v>292.99999999999903</v>
      </c>
      <c r="AJ153" s="14">
        <f>AI153*VLOOKUP('Données projet'!$B$10,Paramètres!$A$1:$I$89,3,0)*VLOOKUP('Données projet'!$B$10,Paramètres!$A$1:$I$89,5,0)</f>
        <v>297.10199999999907</v>
      </c>
      <c r="AK153" s="14">
        <f t="shared" si="143"/>
        <v>70.568588566272624</v>
      </c>
      <c r="AL153" s="22">
        <f t="shared" si="112"/>
        <v>640.3596084195899</v>
      </c>
      <c r="AM153" s="60">
        <f t="shared" si="113"/>
        <v>933.69294175292316</v>
      </c>
      <c r="AN153" s="60">
        <f ca="1">AVERAGE(OFFSET($AM$3,0,0,'Données projet'!$E$10+1,1))-AVERAGE(OFFSET($H$3,0,0,'Données projet'!$E$10+1,1))</f>
        <v>350.3652766444938</v>
      </c>
      <c r="AO153" s="60">
        <f t="shared" si="144"/>
        <v>197.04549436738586</v>
      </c>
      <c r="AP153" s="16">
        <f>IF(ISNA(VLOOKUP(A153,'Données projet'!$A$61:$I$81,3,0)),0,VLOOKUP(A153,'Données projet'!$A$61:$I$81,3,0))</f>
        <v>13</v>
      </c>
      <c r="AQ153" s="16">
        <f>IF(ISNA(VLOOKUP(A153,'Données projet'!$A$61:$I$81,4,0)),0,VLOOKUP(A153,'Données projet'!$A$61:$I$81,4,0))</f>
        <v>293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6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>
        <f>VLOOKUP(A153,'Données projet'!$A$87:$I$107,2,0)</f>
        <v>293</v>
      </c>
      <c r="BB153" s="13">
        <f>VLOOKUP(A153,'Données projet'!$A$87:$I$107,9,0)</f>
        <v>2.4</v>
      </c>
      <c r="BC153" s="13">
        <f t="array" ref="BC153">INDEX(BB:BB,MIN(IF(ISNUMBER(BB153:BB349),ROW(BB153:BB349),"")))</f>
        <v>2.4</v>
      </c>
      <c r="BD153" s="13">
        <f>IF('Données projet'!$A$88&gt;35,BD152+BC153-BL152,IF(A153&lt;'Données projet'!$A$88,$BA$205^A153,IF(A153='Données projet'!$A$88,'Données projet'!$B$88,BD152+BC153-BL152)))</f>
        <v>292.99999999999903</v>
      </c>
      <c r="BE153" s="14">
        <f>BD153*VLOOKUP('Données projet'!$B$11,Paramètres!$A$1:$I$89,3,0)*VLOOKUP('Données projet'!$B$11,Paramètres!$A$1:$I$89,5,0)</f>
        <v>283.38959999999906</v>
      </c>
      <c r="BF153" s="14">
        <f t="shared" si="145"/>
        <v>67.682826374656187</v>
      </c>
      <c r="BG153" s="22">
        <f t="shared" si="115"/>
        <v>611.45114260252456</v>
      </c>
      <c r="BH153" s="60">
        <f t="shared" si="116"/>
        <v>904.78447593585793</v>
      </c>
      <c r="BI153" s="60">
        <f ca="1">AVERAGE(OFFSET($BH$3,0,0,'Données projet'!$E$11+1,1))-AVERAGE(OFFSET($H$3,0,0,'Données projet'!$E$11+1,1))</f>
        <v>330.39429528665841</v>
      </c>
      <c r="BJ153" s="60">
        <f t="shared" si="146"/>
        <v>186.45728006007261</v>
      </c>
      <c r="BK153" s="16">
        <f>IF(ISNA(VLOOKUP(A153,'Données projet'!$A$87:$I$107,3,0)),0,VLOOKUP(A153,'Données projet'!$A$87:$I$107,3,0))</f>
        <v>13</v>
      </c>
      <c r="BL153" s="16">
        <f>IF(ISNA(VLOOKUP(A153,'Données projet'!$A$87:$I$107,4,0)),0,VLOOKUP(A153,'Données projet'!$A$87:$I$107,4,0))</f>
        <v>293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1.7053025658242404E-13</v>
      </c>
      <c r="BZ153" s="14">
        <f>BY153*VLOOKUP('Données projet'!$B$12,Paramètres!$A$1:$I$89,3,0)*VLOOKUP('Données projet'!$B$12,Paramètres!$A$1:$I$89,5,0)</f>
        <v>1.1439169611549005E-13</v>
      </c>
      <c r="CA153" s="14">
        <f t="shared" si="147"/>
        <v>1.6918016515029816E-12</v>
      </c>
      <c r="CB153" s="22">
        <f t="shared" si="118"/>
        <v>3.1457867471021712E-12</v>
      </c>
      <c r="CC153" s="60">
        <f t="shared" si="119"/>
        <v>293.33333333333644</v>
      </c>
      <c r="CD153" s="60">
        <f ca="1">AVERAGE(OFFSET($CC$3,0,0,'Données projet'!$E$12+1,1))-AVERAGE(OFFSET($H$3,0,0,'Données projet'!$E$12+1,1))</f>
        <v>212.33913923444732</v>
      </c>
      <c r="CE153" s="60">
        <f t="shared" si="148"/>
        <v>183.51194426094372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-3.979039320256561E-13</v>
      </c>
      <c r="CU153" s="18">
        <f>CT153*VLOOKUP('Données projet'!$B$13,Paramètres!$A$1:$I$89,3,0)*VLOOKUP('Données projet'!$B$13,Paramètres!$A$1:$I$89,5,0)</f>
        <v>-3.4760887501761321E-13</v>
      </c>
      <c r="CV153" s="14" t="e">
        <f t="shared" si="149"/>
        <v>#NUM!</v>
      </c>
      <c r="CW153" s="22" t="e">
        <f t="shared" si="121"/>
        <v>#NUM!</v>
      </c>
      <c r="CX153" s="60" t="e">
        <f t="shared" si="122"/>
        <v>#NUM!</v>
      </c>
      <c r="CY153" s="60">
        <f ca="1">AVERAGE(OFFSET($CX$3,0,0,'Données projet'!$E$13+1,1))-AVERAGE(OFFSET($H$3,0,0,'Données projet'!$E$13+1,1))</f>
        <v>228.0393346366489</v>
      </c>
      <c r="CZ153" s="60">
        <f t="shared" si="150"/>
        <v>238.591781509447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>
        <f>VLOOKUP(A153,'Données projet'!$A$165:$I$185,2,0)</f>
        <v>293</v>
      </c>
      <c r="DM153" s="13">
        <f>VLOOKUP(A153,'Données projet'!$A$165:$I$185,9,0)</f>
        <v>2.4</v>
      </c>
      <c r="DN153" s="13">
        <f t="array" ref="DN153">INDEX(DM:DM,MIN(IF(ISNUMBER(DM153:DM349),ROW(DM153:DM349),"")))</f>
        <v>2.4</v>
      </c>
      <c r="DO153" s="13">
        <f>IF('Données projet'!$A$166&gt;35,DO152+DN153-DW152,IF(A153&lt;'Données projet'!$A$166,$DL$205^A153,IF(A153='Données projet'!$A$166,'Données projet'!$B$166,DO152+DN153-DW152)))</f>
        <v>292.99999999999903</v>
      </c>
      <c r="DP153" s="18">
        <f>DO153*VLOOKUP('Données projet'!$B$14,Paramètres!$A$1:$I$89,3,0)*VLOOKUP('Données projet'!$B$14,Paramètres!$A$1:$I$89,5,0)</f>
        <v>265.1063999999991</v>
      </c>
      <c r="DQ153" s="14">
        <f t="shared" si="151"/>
        <v>63.809620899125136</v>
      </c>
      <c r="DR153" s="22">
        <f t="shared" si="124"/>
        <v>572.86206973264132</v>
      </c>
      <c r="DS153" s="60">
        <f t="shared" si="125"/>
        <v>866.19540306597469</v>
      </c>
      <c r="DT153" s="60">
        <f ca="1">AVERAGE(OFFSET($DS$3,0,0,'Données projet'!$E$14+1,1))-AVERAGE(OFFSET($H$3,0,0,'Données projet'!$E$14+1,1))</f>
        <v>303.73499739059076</v>
      </c>
      <c r="DU153" s="60">
        <f t="shared" si="152"/>
        <v>172.32171001882188</v>
      </c>
      <c r="DV153" s="16">
        <f>IF(ISNA(VLOOKUP(A153,'Données projet'!$A$165:$I$185,3,0)),0,VLOOKUP(A153,'Données projet'!$A$165:$I$185,3,0))</f>
        <v>13</v>
      </c>
      <c r="DW153" s="16">
        <f>IF(ISNA(VLOOKUP(A153,'Données projet'!$A$165:$I$185,4,0)),0,VLOOKUP(A153,'Données projet'!$A$165:$I$185,4,0))</f>
        <v>293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1.1368683772161603E-13</v>
      </c>
      <c r="EK153" s="18">
        <f>EJ153*VLOOKUP('Données projet'!$B$15,Paramètres!$A$1:$I$89,3,0)*VLOOKUP('Données projet'!$B$15,Paramètres!$A$1:$I$89,5,0)</f>
        <v>6.7984728957526396E-14</v>
      </c>
      <c r="EL153" s="14">
        <f t="shared" si="153"/>
        <v>1.0682447123141398E-12</v>
      </c>
      <c r="EM153" s="22">
        <f t="shared" si="127"/>
        <v>1.978932943548152E-12</v>
      </c>
      <c r="EN153" s="60">
        <f t="shared" si="128"/>
        <v>293.3333333333353</v>
      </c>
      <c r="EO153" s="60">
        <f ca="1">AVERAGE(OFFSET($EN$3,0,0,'Données projet'!$E$15+1,1))-AVERAGE(OFFSET($H$3,0,0,'Données projet'!$E$15+1,1))</f>
        <v>269.94948820700841</v>
      </c>
      <c r="EP153" s="60">
        <f t="shared" si="154"/>
        <v>183.45158355135192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0.49016060953748514</v>
      </c>
      <c r="EX153" s="23">
        <f>EXP(-LN(2)/2)*EX152+(1-EXP(-LN(2)/2))/(LN(2)/2)*ER153*EU153*VLOOKUP('Données projet'!$B$15,Paramètres!$A$1:$I$89,3,0)*0.475*44/12</f>
        <v>4.8902129615521476E-18</v>
      </c>
      <c r="EY153" s="24">
        <f t="shared" si="129"/>
        <v>0.49016060953748514</v>
      </c>
      <c r="EZ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>
        <f>FE153*VLOOKUP('Données projet'!$B$16,Paramètres!$A$1:$I$89,3,0)*VLOOKUP('Données projet'!$B$16,Paramètres!$A$1:$I$89,5,0)</f>
        <v>0</v>
      </c>
      <c r="FG153" s="14" t="e">
        <f t="shared" si="155"/>
        <v>#NUM!</v>
      </c>
      <c r="FH153" s="22" t="e">
        <f t="shared" si="130"/>
        <v>#NUM!</v>
      </c>
      <c r="FI153" s="60" t="e">
        <f t="shared" si="131"/>
        <v>#NUM!</v>
      </c>
      <c r="FJ153" s="60">
        <f ca="1">AVERAGE(OFFSET($FI$3,0,0,'Données projet'!$E$16+1,1))-AVERAGE(OFFSET($H$3,0,0,'Données projet'!$E$16+1,1))</f>
        <v>111.24788725253484</v>
      </c>
      <c r="FK153" s="60">
        <f t="shared" si="156"/>
        <v>82.434879813357327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projet'!$B$16,Paramètres!$A$1:$I$89,3,0)*0.475*44/12</f>
        <v>0</v>
      </c>
      <c r="FR153" s="23">
        <f>EXP(-LN(2)/25)*FR152+(1-EXP(-LN(2)/25))/(LN(2)/25)*Calculateur!FM153*Calculateur!FO153*VLOOKUP('Données projet'!$B$16,Paramètres!$A$1:$I$89,3,0)*0.475*44/12</f>
        <v>0</v>
      </c>
      <c r="FS153" s="23">
        <f>EXP(-LN(2)/2)*FS152+(1-EXP(-LN(2)/2))/(LN(2)/2)*FM153*FP153*VLOOKUP('Données projet'!$B$16,Paramètres!$A$1:$I$89,3,0)*0.475*44/12</f>
        <v>0</v>
      </c>
      <c r="FT153" s="24">
        <f t="shared" si="132"/>
        <v>0</v>
      </c>
      <c r="FU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1.0231815394945443E-12</v>
      </c>
      <c r="GA153" s="18">
        <f>FZ153*VLOOKUP('Données projet'!$B$17,Paramètres!$A$1:$I$89,3,0)*VLOOKUP('Données projet'!$B$17,Paramètres!$A$1:$I$89,5,0)</f>
        <v>4.5224624045658859E-13</v>
      </c>
      <c r="GB153" s="14">
        <f t="shared" si="157"/>
        <v>5.6995607121061449E-12</v>
      </c>
      <c r="GC153" s="22">
        <f t="shared" si="133"/>
        <v>1.0714397109046761E-11</v>
      </c>
      <c r="GD153" s="60">
        <f t="shared" si="134"/>
        <v>293.333333333344</v>
      </c>
      <c r="GE153" s="60">
        <f ca="1">AVERAGE(OFFSET($GD$3,0,0,'Données projet'!$E$17+1,1))-AVERAGE(OFFSET($H$3,0,0,'Données projet'!$E$17+1,1))</f>
        <v>323.56667371063662</v>
      </c>
      <c r="GF153" s="60">
        <f t="shared" si="158"/>
        <v>275.70373467723385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>
        <f>EXP(-LN(2)/35)*GL152+(1-EXP(-LN(2)/35))/(LN(2)/35)*GH153*GI153*VLOOKUP('Données projet'!$B$17,Paramètres!$A$1:$I$89,3,0)*0.475*44/12</f>
        <v>0</v>
      </c>
      <c r="GM153" s="23">
        <f>EXP(-LN(2)/25)*GM152+(1-EXP(-LN(2)/25))/(LN(2)/25)*Calculateur!GH153*Calculateur!GJ153*VLOOKUP('Données projet'!$B$17,Paramètres!$A$1:$I$89,3,0)*0.475*44/12</f>
        <v>0</v>
      </c>
      <c r="GN153" s="23">
        <f>EXP(-LN(2)/2)*GN152+(1-EXP(-LN(2)/2))/(LN(2)/2)*GH153*GK153*VLOOKUP('Données projet'!$B$17,Paramètres!$A$1:$I$89,3,0)*0.475*44/12</f>
        <v>0</v>
      </c>
      <c r="GO153" s="23">
        <f t="shared" si="135"/>
        <v>0</v>
      </c>
      <c r="GP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0" t="e">
        <f t="shared" si="137"/>
        <v>#N/A</v>
      </c>
      <c r="GZ153" s="60" t="e">
        <f ca="1">AVERAGE(OFFSET($GY$3,0,0,'Données projet'!$E$18+1,1))-AVERAGE(OFFSET($H$3,0,0,'Données projet'!$E$18+1,1))</f>
        <v>#N/A</v>
      </c>
      <c r="HA153" s="60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4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2">
        <f t="shared" si="140"/>
        <v>22.734191534864422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-1.1368683772161603E-13</v>
      </c>
      <c r="O154" s="14">
        <f>N154*VLOOKUP('Données projet'!$B$9,Paramètres!$A$1:$I$89,3,0)*VLOOKUP('Données projet'!$B$9,Paramètres!$A$1:$I$89,5,0)</f>
        <v>-6.7984728957526396E-14</v>
      </c>
      <c r="P154" s="14" t="e">
        <f t="shared" si="141"/>
        <v>#NUM!</v>
      </c>
      <c r="Q154" s="22" t="e">
        <f t="shared" ref="Q154:Q203" si="162">(O154+P154)*0.475*44/12</f>
        <v>#NUM!</v>
      </c>
      <c r="R154" s="60" t="e">
        <f t="shared" si="109"/>
        <v>#NUM!</v>
      </c>
      <c r="S154" s="60">
        <f ca="1">AVERAGE(OFFSET($R$3,0,0,'Données projet'!$E$9+1,1))-AVERAGE(OFFSET($H$3,0,0,'Données projet'!$E$9+1,1))</f>
        <v>235.63766249714581</v>
      </c>
      <c r="T154" s="60">
        <f t="shared" si="142"/>
        <v>231.3297293785277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1.0447188695702698</v>
      </c>
      <c r="AA154" s="23">
        <f>EXP(-LN(2)/25)*AA153+(1-EXP(-LN(2)/25))/(LN(2)/25)*Calculateur!V154*Calculateur!X154*VLOOKUP('Données projet'!$B$9,Paramètres!$A$1:$I$89,3,0)*0.475*44/12</f>
        <v>0.60364762758252122</v>
      </c>
      <c r="AB154" s="23">
        <f>EXP(-LN(2)/2)*AB153+(1-EXP(-LN(2)/2))/(LN(2)/2)*V154*Y154*VLOOKUP('Données projet'!$B$9,Paramètres!$A$1:$I$89,3,0)*0.475*44/12</f>
        <v>4.3621781402591906E-18</v>
      </c>
      <c r="AC154" s="24">
        <f t="shared" ref="AC154:AC203" si="163">SUM(Z154:AB154)</f>
        <v>1.6483664971527912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-9.6633812063373625E-13</v>
      </c>
      <c r="AJ154" s="14">
        <f>AI154*VLOOKUP('Données projet'!$B$10,Paramètres!$A$1:$I$89,3,0)*VLOOKUP('Données projet'!$B$10,Paramètres!$A$1:$I$89,5,0)</f>
        <v>-9.7986685432260874E-13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0" t="e">
        <f t="shared" si="113"/>
        <v>#NUM!</v>
      </c>
      <c r="AN154" s="60">
        <f ca="1">AVERAGE(OFFSET($AM$3,0,0,'Données projet'!$E$10+1,1))-AVERAGE(OFFSET($H$3,0,0,'Données projet'!$E$10+1,1))</f>
        <v>350.3652766444938</v>
      </c>
      <c r="AO154" s="60">
        <f t="shared" si="144"/>
        <v>197.04549436738586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6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-9.6633812063373625E-13</v>
      </c>
      <c r="BE154" s="14">
        <f>BD154*VLOOKUP('Données projet'!$B$11,Paramètres!$A$1:$I$89,3,0)*VLOOKUP('Données projet'!$B$11,Paramètres!$A$1:$I$89,5,0)</f>
        <v>-9.3464223027694966E-13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0" t="e">
        <f t="shared" si="116"/>
        <v>#NUM!</v>
      </c>
      <c r="BI154" s="60">
        <f ca="1">AVERAGE(OFFSET($BH$3,0,0,'Données projet'!$E$11+1,1))-AVERAGE(OFFSET($H$3,0,0,'Données projet'!$E$11+1,1))</f>
        <v>330.39429528665841</v>
      </c>
      <c r="BJ154" s="60">
        <f t="shared" si="146"/>
        <v>186.45728006007261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1.7053025658242404E-13</v>
      </c>
      <c r="BZ154" s="14">
        <f>BY154*VLOOKUP('Données projet'!$B$12,Paramètres!$A$1:$I$89,3,0)*VLOOKUP('Données projet'!$B$12,Paramètres!$A$1:$I$89,5,0)</f>
        <v>1.1439169611549005E-13</v>
      </c>
      <c r="CA154" s="14">
        <f t="shared" ref="CA154:CA203" si="170">EXP(-1.0587+0.8836*LN(BZ154)+0.284)</f>
        <v>1.6918016515029816E-12</v>
      </c>
      <c r="CB154" s="22">
        <f t="shared" ref="CB154:CB203" si="171">(BZ154+CA154)*0.475*44/12</f>
        <v>3.1457867471021712E-12</v>
      </c>
      <c r="CC154" s="60">
        <f t="shared" si="119"/>
        <v>293.33333333333644</v>
      </c>
      <c r="CD154" s="60">
        <f ca="1">AVERAGE(OFFSET($CC$3,0,0,'Données projet'!$E$12+1,1))-AVERAGE(OFFSET($H$3,0,0,'Données projet'!$E$12+1,1))</f>
        <v>212.33913923444732</v>
      </c>
      <c r="CE154" s="60">
        <f t="shared" si="148"/>
        <v>183.51194426094372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-3.979039320256561E-13</v>
      </c>
      <c r="CU154" s="18">
        <f>CT154*VLOOKUP('Données projet'!$B$13,Paramètres!$A$1:$I$89,3,0)*VLOOKUP('Données projet'!$B$13,Paramètres!$A$1:$I$89,5,0)</f>
        <v>-3.4760887501761321E-13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0" t="e">
        <f t="shared" si="122"/>
        <v>#NUM!</v>
      </c>
      <c r="CY154" s="60">
        <f ca="1">AVERAGE(OFFSET($CX$3,0,0,'Données projet'!$E$13+1,1))-AVERAGE(OFFSET($H$3,0,0,'Données projet'!$E$13+1,1))</f>
        <v>228.0393346366489</v>
      </c>
      <c r="CZ154" s="60">
        <f t="shared" si="150"/>
        <v>238.591781509447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-9.6633812063373625E-13</v>
      </c>
      <c r="DP154" s="18">
        <f>DO154*VLOOKUP('Données projet'!$B$14,Paramètres!$A$1:$I$89,3,0)*VLOOKUP('Données projet'!$B$14,Paramètres!$A$1:$I$89,5,0)</f>
        <v>-8.7434273154940449E-13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0" t="e">
        <f t="shared" si="125"/>
        <v>#NUM!</v>
      </c>
      <c r="DT154" s="60">
        <f ca="1">AVERAGE(OFFSET($DS$3,0,0,'Données projet'!$E$14+1,1))-AVERAGE(OFFSET($H$3,0,0,'Données projet'!$E$14+1,1))</f>
        <v>303.73499739059076</v>
      </c>
      <c r="DU154" s="60">
        <f t="shared" si="152"/>
        <v>172.32171001882188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1.1368683772161603E-13</v>
      </c>
      <c r="EK154" s="18">
        <f>EJ154*VLOOKUP('Données projet'!$B$15,Paramètres!$A$1:$I$89,3,0)*VLOOKUP('Données projet'!$B$15,Paramètres!$A$1:$I$89,5,0)</f>
        <v>6.7984728957526396E-14</v>
      </c>
      <c r="EL154" s="14">
        <f t="shared" ref="EL154:EL203" si="179">EXP(-1.0587+0.8836*LN(EK154)+0.284)</f>
        <v>1.0682447123141398E-12</v>
      </c>
      <c r="EM154" s="22">
        <f t="shared" ref="EM154:EM203" si="180">(EK154+EL154)*0.475*44/12</f>
        <v>1.978932943548152E-12</v>
      </c>
      <c r="EN154" s="60">
        <f t="shared" si="128"/>
        <v>293.3333333333353</v>
      </c>
      <c r="EO154" s="60">
        <f ca="1">AVERAGE(OFFSET($EN$3,0,0,'Données projet'!$E$15+1,1))-AVERAGE(OFFSET($H$3,0,0,'Données projet'!$E$15+1,1))</f>
        <v>269.94948820700841</v>
      </c>
      <c r="EP154" s="60">
        <f t="shared" si="154"/>
        <v>183.45158355135192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0.47675714189325641</v>
      </c>
      <c r="EX154" s="23">
        <f>EXP(-LN(2)/2)*EX153+(1-EXP(-LN(2)/2))/(LN(2)/2)*ER154*EU154*VLOOKUP('Données projet'!$B$15,Paramètres!$A$1:$I$89,3,0)*0.475*44/12</f>
        <v>3.4579027465598732E-18</v>
      </c>
      <c r="EY154" s="24">
        <f t="shared" ref="EY154:EY203" si="181">SUM(EV154:EX154)</f>
        <v>0.47675714189325641</v>
      </c>
      <c r="EZ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>
        <f>FE154*VLOOKUP('Données projet'!$B$16,Paramètres!$A$1:$I$89,3,0)*VLOOKUP('Données projet'!$B$16,Paramètres!$A$1:$I$89,5,0)</f>
        <v>0</v>
      </c>
      <c r="FG154" s="14" t="e">
        <f t="shared" ref="FG154:FG203" si="182">EXP(-1.0587+0.8836*LN(FF154)+0.284)</f>
        <v>#NUM!</v>
      </c>
      <c r="FH154" s="22" t="e">
        <f t="shared" ref="FH154:FH203" si="183">(FF154+FG154)*0.475*44/12</f>
        <v>#NUM!</v>
      </c>
      <c r="FI154" s="60" t="e">
        <f t="shared" si="131"/>
        <v>#NUM!</v>
      </c>
      <c r="FJ154" s="60">
        <f ca="1">AVERAGE(OFFSET($FI$3,0,0,'Données projet'!$E$16+1,1))-AVERAGE(OFFSET($H$3,0,0,'Données projet'!$E$16+1,1))</f>
        <v>111.24788725253484</v>
      </c>
      <c r="FK154" s="60">
        <f t="shared" si="156"/>
        <v>82.434879813357327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projet'!$B$16,Paramètres!$A$1:$I$89,3,0)*0.475*44/12</f>
        <v>0</v>
      </c>
      <c r="FR154" s="23">
        <f>EXP(-LN(2)/25)*FR153+(1-EXP(-LN(2)/25))/(LN(2)/25)*Calculateur!FM154*Calculateur!FO154*VLOOKUP('Données projet'!$B$16,Paramètres!$A$1:$I$89,3,0)*0.475*44/12</f>
        <v>0</v>
      </c>
      <c r="FS154" s="23">
        <f>EXP(-LN(2)/2)*FS153+(1-EXP(-LN(2)/2))/(LN(2)/2)*FM154*FP154*VLOOKUP('Données projet'!$B$16,Paramètres!$A$1:$I$89,3,0)*0.475*44/12</f>
        <v>0</v>
      </c>
      <c r="FT154" s="24">
        <f t="shared" ref="FT154:FT203" si="184">SUM(FQ154:FS154)</f>
        <v>0</v>
      </c>
      <c r="FU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1.0231815394945443E-12</v>
      </c>
      <c r="GA154" s="18">
        <f>FZ154*VLOOKUP('Données projet'!$B$17,Paramètres!$A$1:$I$89,3,0)*VLOOKUP('Données projet'!$B$17,Paramètres!$A$1:$I$89,5,0)</f>
        <v>4.5224624045658859E-13</v>
      </c>
      <c r="GB154" s="14">
        <f t="shared" ref="GB154:GB203" si="185">EXP(-1.0587+0.8836*LN(GA154)+0.284)</f>
        <v>5.6995607121061449E-12</v>
      </c>
      <c r="GC154" s="22">
        <f t="shared" ref="GC154:GC203" si="186">(GA154+GB154)*0.475*44/12</f>
        <v>1.0714397109046761E-11</v>
      </c>
      <c r="GD154" s="60">
        <f t="shared" si="134"/>
        <v>293.333333333344</v>
      </c>
      <c r="GE154" s="60">
        <f ca="1">AVERAGE(OFFSET($GD$3,0,0,'Données projet'!$E$17+1,1))-AVERAGE(OFFSET($H$3,0,0,'Données projet'!$E$17+1,1))</f>
        <v>323.56667371063662</v>
      </c>
      <c r="GF154" s="60">
        <f t="shared" si="158"/>
        <v>275.70373467723385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>
        <f>EXP(-LN(2)/35)*GL153+(1-EXP(-LN(2)/35))/(LN(2)/35)*GH154*GI154*VLOOKUP('Données projet'!$B$17,Paramètres!$A$1:$I$89,3,0)*0.475*44/12</f>
        <v>0</v>
      </c>
      <c r="GM154" s="23">
        <f>EXP(-LN(2)/25)*GM153+(1-EXP(-LN(2)/25))/(LN(2)/25)*Calculateur!GH154*Calculateur!GJ154*VLOOKUP('Données projet'!$B$17,Paramètres!$A$1:$I$89,3,0)*0.475*44/12</f>
        <v>0</v>
      </c>
      <c r="GN154" s="23">
        <f>EXP(-LN(2)/2)*GN153+(1-EXP(-LN(2)/2))/(LN(2)/2)*GH154*GK154*VLOOKUP('Données projet'!$B$17,Paramètres!$A$1:$I$89,3,0)*0.475*44/12</f>
        <v>0</v>
      </c>
      <c r="GO154" s="23">
        <f t="shared" ref="GO154:GO203" si="187">SUM(GL154:GN154)</f>
        <v>0</v>
      </c>
      <c r="GP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0" t="e">
        <f t="shared" si="137"/>
        <v>#N/A</v>
      </c>
      <c r="GZ154" s="60" t="e">
        <f ca="1">AVERAGE(OFFSET($GY$3,0,0,'Données projet'!$E$18+1,1))-AVERAGE(OFFSET($H$3,0,0,'Données projet'!$E$18+1,1))</f>
        <v>#N/A</v>
      </c>
      <c r="HA154" s="60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4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2">
        <f t="shared" si="140"/>
        <v>22.867173045817363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-1.1368683772161603E-13</v>
      </c>
      <c r="O155" s="14">
        <f>N155*VLOOKUP('Données projet'!$B$9,Paramètres!$A$1:$I$89,3,0)*VLOOKUP('Données projet'!$B$9,Paramètres!$A$1:$I$89,5,0)</f>
        <v>-6.7984728957526396E-14</v>
      </c>
      <c r="P155" s="14" t="e">
        <f t="shared" si="141"/>
        <v>#NUM!</v>
      </c>
      <c r="Q155" s="22" t="e">
        <f t="shared" si="162"/>
        <v>#NUM!</v>
      </c>
      <c r="R155" s="60" t="e">
        <f t="shared" si="109"/>
        <v>#NUM!</v>
      </c>
      <c r="S155" s="60">
        <f ca="1">AVERAGE(OFFSET($R$3,0,0,'Données projet'!$E$9+1,1))-AVERAGE(OFFSET($H$3,0,0,'Données projet'!$E$9+1,1))</f>
        <v>235.63766249714581</v>
      </c>
      <c r="T155" s="60">
        <f t="shared" si="142"/>
        <v>231.3297293785277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1.0242325697535875</v>
      </c>
      <c r="AA155" s="23">
        <f>EXP(-LN(2)/25)*AA154+(1-EXP(-LN(2)/25))/(LN(2)/25)*Calculateur!V155*Calculateur!X155*VLOOKUP('Données projet'!$B$9,Paramètres!$A$1:$I$89,3,0)*0.475*44/12</f>
        <v>0.58714085146182815</v>
      </c>
      <c r="AB155" s="23">
        <f>EXP(-LN(2)/2)*AB154+(1-EXP(-LN(2)/2))/(LN(2)/2)*V155*Y155*VLOOKUP('Données projet'!$B$9,Paramètres!$A$1:$I$89,3,0)*0.475*44/12</f>
        <v>3.0845257437209963E-18</v>
      </c>
      <c r="AC155" s="24">
        <f t="shared" si="163"/>
        <v>1.6113734212154156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-9.6633812063373625E-13</v>
      </c>
      <c r="AJ155" s="14">
        <f>AI155*VLOOKUP('Données projet'!$B$10,Paramètres!$A$1:$I$89,3,0)*VLOOKUP('Données projet'!$B$10,Paramètres!$A$1:$I$89,5,0)</f>
        <v>-9.7986685432260874E-13</v>
      </c>
      <c r="AK155" s="14" t="e">
        <f t="shared" si="164"/>
        <v>#NUM!</v>
      </c>
      <c r="AL155" s="22" t="e">
        <f t="shared" si="165"/>
        <v>#NUM!</v>
      </c>
      <c r="AM155" s="60" t="e">
        <f t="shared" si="113"/>
        <v>#NUM!</v>
      </c>
      <c r="AN155" s="60">
        <f ca="1">AVERAGE(OFFSET($AM$3,0,0,'Données projet'!$E$10+1,1))-AVERAGE(OFFSET($H$3,0,0,'Données projet'!$E$10+1,1))</f>
        <v>350.3652766444938</v>
      </c>
      <c r="AO155" s="60">
        <f t="shared" si="144"/>
        <v>197.04549436738586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6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-9.6633812063373625E-13</v>
      </c>
      <c r="BE155" s="14">
        <f>BD155*VLOOKUP('Données projet'!$B$11,Paramètres!$A$1:$I$89,3,0)*VLOOKUP('Données projet'!$B$11,Paramètres!$A$1:$I$89,5,0)</f>
        <v>-9.3464223027694966E-13</v>
      </c>
      <c r="BF155" s="14" t="e">
        <f t="shared" si="167"/>
        <v>#NUM!</v>
      </c>
      <c r="BG155" s="22" t="e">
        <f t="shared" si="168"/>
        <v>#NUM!</v>
      </c>
      <c r="BH155" s="60" t="e">
        <f t="shared" si="116"/>
        <v>#NUM!</v>
      </c>
      <c r="BI155" s="60">
        <f ca="1">AVERAGE(OFFSET($BH$3,0,0,'Données projet'!$E$11+1,1))-AVERAGE(OFFSET($H$3,0,0,'Données projet'!$E$11+1,1))</f>
        <v>330.39429528665841</v>
      </c>
      <c r="BJ155" s="60">
        <f t="shared" si="146"/>
        <v>186.45728006007261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1.7053025658242404E-13</v>
      </c>
      <c r="BZ155" s="14">
        <f>BY155*VLOOKUP('Données projet'!$B$12,Paramètres!$A$1:$I$89,3,0)*VLOOKUP('Données projet'!$B$12,Paramètres!$A$1:$I$89,5,0)</f>
        <v>1.1439169611549005E-13</v>
      </c>
      <c r="CA155" s="14">
        <f t="shared" si="170"/>
        <v>1.6918016515029816E-12</v>
      </c>
      <c r="CB155" s="22">
        <f t="shared" si="171"/>
        <v>3.1457867471021712E-12</v>
      </c>
      <c r="CC155" s="60">
        <f t="shared" si="119"/>
        <v>293.33333333333644</v>
      </c>
      <c r="CD155" s="60">
        <f ca="1">AVERAGE(OFFSET($CC$3,0,0,'Données projet'!$E$12+1,1))-AVERAGE(OFFSET($H$3,0,0,'Données projet'!$E$12+1,1))</f>
        <v>212.33913923444732</v>
      </c>
      <c r="CE155" s="60">
        <f t="shared" si="148"/>
        <v>183.51194426094372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-3.979039320256561E-13</v>
      </c>
      <c r="CU155" s="18">
        <f>CT155*VLOOKUP('Données projet'!$B$13,Paramètres!$A$1:$I$89,3,0)*VLOOKUP('Données projet'!$B$13,Paramètres!$A$1:$I$89,5,0)</f>
        <v>-3.4760887501761321E-13</v>
      </c>
      <c r="CV155" s="14" t="e">
        <f t="shared" si="173"/>
        <v>#NUM!</v>
      </c>
      <c r="CW155" s="22" t="e">
        <f t="shared" si="174"/>
        <v>#NUM!</v>
      </c>
      <c r="CX155" s="60" t="e">
        <f t="shared" si="122"/>
        <v>#NUM!</v>
      </c>
      <c r="CY155" s="60">
        <f ca="1">AVERAGE(OFFSET($CX$3,0,0,'Données projet'!$E$13+1,1))-AVERAGE(OFFSET($H$3,0,0,'Données projet'!$E$13+1,1))</f>
        <v>228.0393346366489</v>
      </c>
      <c r="CZ155" s="60">
        <f t="shared" si="150"/>
        <v>238.591781509447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-9.6633812063373625E-13</v>
      </c>
      <c r="DP155" s="18">
        <f>DO155*VLOOKUP('Données projet'!$B$14,Paramètres!$A$1:$I$89,3,0)*VLOOKUP('Données projet'!$B$14,Paramètres!$A$1:$I$89,5,0)</f>
        <v>-8.7434273154940449E-13</v>
      </c>
      <c r="DQ155" s="14" t="e">
        <f t="shared" si="176"/>
        <v>#NUM!</v>
      </c>
      <c r="DR155" s="22" t="e">
        <f t="shared" si="177"/>
        <v>#NUM!</v>
      </c>
      <c r="DS155" s="60" t="e">
        <f t="shared" si="125"/>
        <v>#NUM!</v>
      </c>
      <c r="DT155" s="60">
        <f ca="1">AVERAGE(OFFSET($DS$3,0,0,'Données projet'!$E$14+1,1))-AVERAGE(OFFSET($H$3,0,0,'Données projet'!$E$14+1,1))</f>
        <v>303.73499739059076</v>
      </c>
      <c r="DU155" s="60">
        <f t="shared" si="152"/>
        <v>172.32171001882188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1.1368683772161603E-13</v>
      </c>
      <c r="EK155" s="18">
        <f>EJ155*VLOOKUP('Données projet'!$B$15,Paramètres!$A$1:$I$89,3,0)*VLOOKUP('Données projet'!$B$15,Paramètres!$A$1:$I$89,5,0)</f>
        <v>6.7984728957526396E-14</v>
      </c>
      <c r="EL155" s="14">
        <f t="shared" si="179"/>
        <v>1.0682447123141398E-12</v>
      </c>
      <c r="EM155" s="22">
        <f t="shared" si="180"/>
        <v>1.978932943548152E-12</v>
      </c>
      <c r="EN155" s="60">
        <f t="shared" si="128"/>
        <v>293.3333333333353</v>
      </c>
      <c r="EO155" s="60">
        <f ca="1">AVERAGE(OFFSET($EN$3,0,0,'Données projet'!$E$15+1,1))-AVERAGE(OFFSET($H$3,0,0,'Données projet'!$E$15+1,1))</f>
        <v>269.94948820700841</v>
      </c>
      <c r="EP155" s="60">
        <f t="shared" si="154"/>
        <v>183.45158355135192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0.46372019277661686</v>
      </c>
      <c r="EX155" s="23">
        <f>EXP(-LN(2)/2)*EX154+(1-EXP(-LN(2)/2))/(LN(2)/2)*ER155*EU155*VLOOKUP('Données projet'!$B$15,Paramètres!$A$1:$I$89,3,0)*0.475*44/12</f>
        <v>2.4451064807760742E-18</v>
      </c>
      <c r="EY155" s="24">
        <f t="shared" si="181"/>
        <v>0.46372019277661686</v>
      </c>
      <c r="EZ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>
        <f>FE155*VLOOKUP('Données projet'!$B$16,Paramètres!$A$1:$I$89,3,0)*VLOOKUP('Données projet'!$B$16,Paramètres!$A$1:$I$89,5,0)</f>
        <v>0</v>
      </c>
      <c r="FG155" s="14" t="e">
        <f t="shared" si="182"/>
        <v>#NUM!</v>
      </c>
      <c r="FH155" s="22" t="e">
        <f t="shared" si="183"/>
        <v>#NUM!</v>
      </c>
      <c r="FI155" s="60" t="e">
        <f t="shared" si="131"/>
        <v>#NUM!</v>
      </c>
      <c r="FJ155" s="60">
        <f ca="1">AVERAGE(OFFSET($FI$3,0,0,'Données projet'!$E$16+1,1))-AVERAGE(OFFSET($H$3,0,0,'Données projet'!$E$16+1,1))</f>
        <v>111.24788725253484</v>
      </c>
      <c r="FK155" s="60">
        <f t="shared" si="156"/>
        <v>82.434879813357327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projet'!$B$16,Paramètres!$A$1:$I$89,3,0)*0.475*44/12</f>
        <v>0</v>
      </c>
      <c r="FR155" s="23">
        <f>EXP(-LN(2)/25)*FR154+(1-EXP(-LN(2)/25))/(LN(2)/25)*Calculateur!FM155*Calculateur!FO155*VLOOKUP('Données projet'!$B$16,Paramètres!$A$1:$I$89,3,0)*0.475*44/12</f>
        <v>0</v>
      </c>
      <c r="FS155" s="23">
        <f>EXP(-LN(2)/2)*FS154+(1-EXP(-LN(2)/2))/(LN(2)/2)*FM155*FP155*VLOOKUP('Données projet'!$B$16,Paramètres!$A$1:$I$89,3,0)*0.475*44/12</f>
        <v>0</v>
      </c>
      <c r="FT155" s="24">
        <f t="shared" si="184"/>
        <v>0</v>
      </c>
      <c r="FU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1.0231815394945443E-12</v>
      </c>
      <c r="GA155" s="18">
        <f>FZ155*VLOOKUP('Données projet'!$B$17,Paramètres!$A$1:$I$89,3,0)*VLOOKUP('Données projet'!$B$17,Paramètres!$A$1:$I$89,5,0)</f>
        <v>4.5224624045658859E-13</v>
      </c>
      <c r="GB155" s="14">
        <f t="shared" si="185"/>
        <v>5.6995607121061449E-12</v>
      </c>
      <c r="GC155" s="22">
        <f t="shared" si="186"/>
        <v>1.0714397109046761E-11</v>
      </c>
      <c r="GD155" s="60">
        <f t="shared" si="134"/>
        <v>293.333333333344</v>
      </c>
      <c r="GE155" s="60">
        <f ca="1">AVERAGE(OFFSET($GD$3,0,0,'Données projet'!$E$17+1,1))-AVERAGE(OFFSET($H$3,0,0,'Données projet'!$E$17+1,1))</f>
        <v>323.56667371063662</v>
      </c>
      <c r="GF155" s="60">
        <f t="shared" si="158"/>
        <v>275.70373467723385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>
        <f>EXP(-LN(2)/35)*GL154+(1-EXP(-LN(2)/35))/(LN(2)/35)*GH155*GI155*VLOOKUP('Données projet'!$B$17,Paramètres!$A$1:$I$89,3,0)*0.475*44/12</f>
        <v>0</v>
      </c>
      <c r="GM155" s="23">
        <f>EXP(-LN(2)/25)*GM154+(1-EXP(-LN(2)/25))/(LN(2)/25)*Calculateur!GH155*Calculateur!GJ155*VLOOKUP('Données projet'!$B$17,Paramètres!$A$1:$I$89,3,0)*0.475*44/12</f>
        <v>0</v>
      </c>
      <c r="GN155" s="23">
        <f>EXP(-LN(2)/2)*GN154+(1-EXP(-LN(2)/2))/(LN(2)/2)*GH155*GK155*VLOOKUP('Données projet'!$B$17,Paramètres!$A$1:$I$89,3,0)*0.475*44/12</f>
        <v>0</v>
      </c>
      <c r="GO155" s="23">
        <f t="shared" si="187"/>
        <v>0</v>
      </c>
      <c r="GP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0" t="e">
        <f t="shared" si="137"/>
        <v>#N/A</v>
      </c>
      <c r="GZ155" s="60" t="e">
        <f ca="1">AVERAGE(OFFSET($GY$3,0,0,'Données projet'!$E$18+1,1))-AVERAGE(OFFSET($H$3,0,0,'Données projet'!$E$18+1,1))</f>
        <v>#N/A</v>
      </c>
      <c r="HA155" s="60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4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2">
        <f t="shared" si="140"/>
        <v>23.000052759134679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-1.1368683772161603E-13</v>
      </c>
      <c r="O156" s="14">
        <f>N156*VLOOKUP('Données projet'!$B$9,Paramètres!$A$1:$I$89,3,0)*VLOOKUP('Données projet'!$B$9,Paramètres!$A$1:$I$89,5,0)</f>
        <v>-6.7984728957526396E-14</v>
      </c>
      <c r="P156" s="14" t="e">
        <f t="shared" si="141"/>
        <v>#NUM!</v>
      </c>
      <c r="Q156" s="22" t="e">
        <f t="shared" si="162"/>
        <v>#NUM!</v>
      </c>
      <c r="R156" s="60" t="e">
        <f t="shared" si="109"/>
        <v>#NUM!</v>
      </c>
      <c r="S156" s="60">
        <f ca="1">AVERAGE(OFFSET($R$3,0,0,'Données projet'!$E$9+1,1))-AVERAGE(OFFSET($H$3,0,0,'Données projet'!$E$9+1,1))</f>
        <v>235.63766249714581</v>
      </c>
      <c r="T156" s="60">
        <f t="shared" si="142"/>
        <v>231.3297293785277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1.0041479937809012</v>
      </c>
      <c r="AA156" s="23">
        <f>EXP(-LN(2)/25)*AA155+(1-EXP(-LN(2)/25))/(LN(2)/25)*Calculateur!V156*Calculateur!X156*VLOOKUP('Données projet'!$B$9,Paramètres!$A$1:$I$89,3,0)*0.475*44/12</f>
        <v>0.571085454002209</v>
      </c>
      <c r="AB156" s="23">
        <f>EXP(-LN(2)/2)*AB155+(1-EXP(-LN(2)/2))/(LN(2)/2)*V156*Y156*VLOOKUP('Données projet'!$B$9,Paramètres!$A$1:$I$89,3,0)*0.475*44/12</f>
        <v>2.1810890701295953E-18</v>
      </c>
      <c r="AC156" s="24">
        <f t="shared" si="163"/>
        <v>1.5752334477831103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-9.6633812063373625E-13</v>
      </c>
      <c r="AJ156" s="14">
        <f>AI156*VLOOKUP('Données projet'!$B$10,Paramètres!$A$1:$I$89,3,0)*VLOOKUP('Données projet'!$B$10,Paramètres!$A$1:$I$89,5,0)</f>
        <v>-9.7986685432260874E-13</v>
      </c>
      <c r="AK156" s="14" t="e">
        <f t="shared" si="164"/>
        <v>#NUM!</v>
      </c>
      <c r="AL156" s="22" t="e">
        <f t="shared" si="165"/>
        <v>#NUM!</v>
      </c>
      <c r="AM156" s="60" t="e">
        <f t="shared" si="113"/>
        <v>#NUM!</v>
      </c>
      <c r="AN156" s="60">
        <f ca="1">AVERAGE(OFFSET($AM$3,0,0,'Données projet'!$E$10+1,1))-AVERAGE(OFFSET($H$3,0,0,'Données projet'!$E$10+1,1))</f>
        <v>350.3652766444938</v>
      </c>
      <c r="AO156" s="60">
        <f t="shared" si="144"/>
        <v>197.04549436738586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6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-9.6633812063373625E-13</v>
      </c>
      <c r="BE156" s="14">
        <f>BD156*VLOOKUP('Données projet'!$B$11,Paramètres!$A$1:$I$89,3,0)*VLOOKUP('Données projet'!$B$11,Paramètres!$A$1:$I$89,5,0)</f>
        <v>-9.3464223027694966E-13</v>
      </c>
      <c r="BF156" s="14" t="e">
        <f t="shared" si="167"/>
        <v>#NUM!</v>
      </c>
      <c r="BG156" s="22" t="e">
        <f t="shared" si="168"/>
        <v>#NUM!</v>
      </c>
      <c r="BH156" s="60" t="e">
        <f t="shared" si="116"/>
        <v>#NUM!</v>
      </c>
      <c r="BI156" s="60">
        <f ca="1">AVERAGE(OFFSET($BH$3,0,0,'Données projet'!$E$11+1,1))-AVERAGE(OFFSET($H$3,0,0,'Données projet'!$E$11+1,1))</f>
        <v>330.39429528665841</v>
      </c>
      <c r="BJ156" s="60">
        <f t="shared" si="146"/>
        <v>186.45728006007261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1.7053025658242404E-13</v>
      </c>
      <c r="BZ156" s="14">
        <f>BY156*VLOOKUP('Données projet'!$B$12,Paramètres!$A$1:$I$89,3,0)*VLOOKUP('Données projet'!$B$12,Paramètres!$A$1:$I$89,5,0)</f>
        <v>1.1439169611549005E-13</v>
      </c>
      <c r="CA156" s="14">
        <f t="shared" si="170"/>
        <v>1.6918016515029816E-12</v>
      </c>
      <c r="CB156" s="22">
        <f t="shared" si="171"/>
        <v>3.1457867471021712E-12</v>
      </c>
      <c r="CC156" s="60">
        <f t="shared" si="119"/>
        <v>293.33333333333644</v>
      </c>
      <c r="CD156" s="60">
        <f ca="1">AVERAGE(OFFSET($CC$3,0,0,'Données projet'!$E$12+1,1))-AVERAGE(OFFSET($H$3,0,0,'Données projet'!$E$12+1,1))</f>
        <v>212.33913923444732</v>
      </c>
      <c r="CE156" s="60">
        <f t="shared" si="148"/>
        <v>183.51194426094372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-3.979039320256561E-13</v>
      </c>
      <c r="CU156" s="18">
        <f>CT156*VLOOKUP('Données projet'!$B$13,Paramètres!$A$1:$I$89,3,0)*VLOOKUP('Données projet'!$B$13,Paramètres!$A$1:$I$89,5,0)</f>
        <v>-3.4760887501761321E-13</v>
      </c>
      <c r="CV156" s="14" t="e">
        <f t="shared" si="173"/>
        <v>#NUM!</v>
      </c>
      <c r="CW156" s="22" t="e">
        <f t="shared" si="174"/>
        <v>#NUM!</v>
      </c>
      <c r="CX156" s="60" t="e">
        <f t="shared" si="122"/>
        <v>#NUM!</v>
      </c>
      <c r="CY156" s="60">
        <f ca="1">AVERAGE(OFFSET($CX$3,0,0,'Données projet'!$E$13+1,1))-AVERAGE(OFFSET($H$3,0,0,'Données projet'!$E$13+1,1))</f>
        <v>228.0393346366489</v>
      </c>
      <c r="CZ156" s="60">
        <f t="shared" si="150"/>
        <v>238.591781509447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-9.6633812063373625E-13</v>
      </c>
      <c r="DP156" s="18">
        <f>DO156*VLOOKUP('Données projet'!$B$14,Paramètres!$A$1:$I$89,3,0)*VLOOKUP('Données projet'!$B$14,Paramètres!$A$1:$I$89,5,0)</f>
        <v>-8.7434273154940449E-13</v>
      </c>
      <c r="DQ156" s="14" t="e">
        <f t="shared" si="176"/>
        <v>#NUM!</v>
      </c>
      <c r="DR156" s="22" t="e">
        <f t="shared" si="177"/>
        <v>#NUM!</v>
      </c>
      <c r="DS156" s="60" t="e">
        <f t="shared" si="125"/>
        <v>#NUM!</v>
      </c>
      <c r="DT156" s="60">
        <f ca="1">AVERAGE(OFFSET($DS$3,0,0,'Données projet'!$E$14+1,1))-AVERAGE(OFFSET($H$3,0,0,'Données projet'!$E$14+1,1))</f>
        <v>303.73499739059076</v>
      </c>
      <c r="DU156" s="60">
        <f t="shared" si="152"/>
        <v>172.32171001882188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1.1368683772161603E-13</v>
      </c>
      <c r="EK156" s="18">
        <f>EJ156*VLOOKUP('Données projet'!$B$15,Paramètres!$A$1:$I$89,3,0)*VLOOKUP('Données projet'!$B$15,Paramètres!$A$1:$I$89,5,0)</f>
        <v>6.7984728957526396E-14</v>
      </c>
      <c r="EL156" s="14">
        <f t="shared" si="179"/>
        <v>1.0682447123141398E-12</v>
      </c>
      <c r="EM156" s="22">
        <f t="shared" si="180"/>
        <v>1.978932943548152E-12</v>
      </c>
      <c r="EN156" s="60">
        <f t="shared" si="128"/>
        <v>293.3333333333353</v>
      </c>
      <c r="EO156" s="60">
        <f ca="1">AVERAGE(OFFSET($EN$3,0,0,'Données projet'!$E$15+1,1))-AVERAGE(OFFSET($H$3,0,0,'Données projet'!$E$15+1,1))</f>
        <v>269.94948820700841</v>
      </c>
      <c r="EP156" s="60">
        <f t="shared" si="154"/>
        <v>183.45158355135192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0.45103973971915517</v>
      </c>
      <c r="EX156" s="23">
        <f>EXP(-LN(2)/2)*EX155+(1-EXP(-LN(2)/2))/(LN(2)/2)*ER156*EU156*VLOOKUP('Données projet'!$B$15,Paramètres!$A$1:$I$89,3,0)*0.475*44/12</f>
        <v>1.7289513732799368E-18</v>
      </c>
      <c r="EY156" s="24">
        <f t="shared" si="181"/>
        <v>0.45103973971915517</v>
      </c>
      <c r="EZ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>
        <f>FE156*VLOOKUP('Données projet'!$B$16,Paramètres!$A$1:$I$89,3,0)*VLOOKUP('Données projet'!$B$16,Paramètres!$A$1:$I$89,5,0)</f>
        <v>0</v>
      </c>
      <c r="FG156" s="14" t="e">
        <f t="shared" si="182"/>
        <v>#NUM!</v>
      </c>
      <c r="FH156" s="22" t="e">
        <f t="shared" si="183"/>
        <v>#NUM!</v>
      </c>
      <c r="FI156" s="60" t="e">
        <f t="shared" si="131"/>
        <v>#NUM!</v>
      </c>
      <c r="FJ156" s="60">
        <f ca="1">AVERAGE(OFFSET($FI$3,0,0,'Données projet'!$E$16+1,1))-AVERAGE(OFFSET($H$3,0,0,'Données projet'!$E$16+1,1))</f>
        <v>111.24788725253484</v>
      </c>
      <c r="FK156" s="60">
        <f t="shared" si="156"/>
        <v>82.434879813357327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projet'!$B$16,Paramètres!$A$1:$I$89,3,0)*0.475*44/12</f>
        <v>0</v>
      </c>
      <c r="FR156" s="23">
        <f>EXP(-LN(2)/25)*FR155+(1-EXP(-LN(2)/25))/(LN(2)/25)*Calculateur!FM156*Calculateur!FO156*VLOOKUP('Données projet'!$B$16,Paramètres!$A$1:$I$89,3,0)*0.475*44/12</f>
        <v>0</v>
      </c>
      <c r="FS156" s="23">
        <f>EXP(-LN(2)/2)*FS155+(1-EXP(-LN(2)/2))/(LN(2)/2)*FM156*FP156*VLOOKUP('Données projet'!$B$16,Paramètres!$A$1:$I$89,3,0)*0.475*44/12</f>
        <v>0</v>
      </c>
      <c r="FT156" s="24">
        <f t="shared" si="184"/>
        <v>0</v>
      </c>
      <c r="FU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1.0231815394945443E-12</v>
      </c>
      <c r="GA156" s="18">
        <f>FZ156*VLOOKUP('Données projet'!$B$17,Paramètres!$A$1:$I$89,3,0)*VLOOKUP('Données projet'!$B$17,Paramètres!$A$1:$I$89,5,0)</f>
        <v>4.5224624045658859E-13</v>
      </c>
      <c r="GB156" s="14">
        <f t="shared" si="185"/>
        <v>5.6995607121061449E-12</v>
      </c>
      <c r="GC156" s="22">
        <f t="shared" si="186"/>
        <v>1.0714397109046761E-11</v>
      </c>
      <c r="GD156" s="60">
        <f t="shared" si="134"/>
        <v>293.333333333344</v>
      </c>
      <c r="GE156" s="60">
        <f ca="1">AVERAGE(OFFSET($GD$3,0,0,'Données projet'!$E$17+1,1))-AVERAGE(OFFSET($H$3,0,0,'Données projet'!$E$17+1,1))</f>
        <v>323.56667371063662</v>
      </c>
      <c r="GF156" s="60">
        <f t="shared" si="158"/>
        <v>275.70373467723385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>
        <f>EXP(-LN(2)/35)*GL155+(1-EXP(-LN(2)/35))/(LN(2)/35)*GH156*GI156*VLOOKUP('Données projet'!$B$17,Paramètres!$A$1:$I$89,3,0)*0.475*44/12</f>
        <v>0</v>
      </c>
      <c r="GM156" s="23">
        <f>EXP(-LN(2)/25)*GM155+(1-EXP(-LN(2)/25))/(LN(2)/25)*Calculateur!GH156*Calculateur!GJ156*VLOOKUP('Données projet'!$B$17,Paramètres!$A$1:$I$89,3,0)*0.475*44/12</f>
        <v>0</v>
      </c>
      <c r="GN156" s="23">
        <f>EXP(-LN(2)/2)*GN155+(1-EXP(-LN(2)/2))/(LN(2)/2)*GH156*GK156*VLOOKUP('Données projet'!$B$17,Paramètres!$A$1:$I$89,3,0)*0.475*44/12</f>
        <v>0</v>
      </c>
      <c r="GO156" s="23">
        <f t="shared" si="187"/>
        <v>0</v>
      </c>
      <c r="GP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0" t="e">
        <f t="shared" si="137"/>
        <v>#N/A</v>
      </c>
      <c r="GZ156" s="60" t="e">
        <f ca="1">AVERAGE(OFFSET($GY$3,0,0,'Données projet'!$E$18+1,1))-AVERAGE(OFFSET($H$3,0,0,'Données projet'!$E$18+1,1))</f>
        <v>#N/A</v>
      </c>
      <c r="HA156" s="60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4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2">
        <f t="shared" si="140"/>
        <v>23.132831417334586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-1.1368683772161603E-13</v>
      </c>
      <c r="O157" s="14">
        <f>N157*VLOOKUP('Données projet'!$B$9,Paramètres!$A$1:$I$89,3,0)*VLOOKUP('Données projet'!$B$9,Paramètres!$A$1:$I$89,5,0)</f>
        <v>-6.7984728957526396E-14</v>
      </c>
      <c r="P157" s="14" t="e">
        <f t="shared" si="141"/>
        <v>#NUM!</v>
      </c>
      <c r="Q157" s="22" t="e">
        <f t="shared" si="162"/>
        <v>#NUM!</v>
      </c>
      <c r="R157" s="60" t="e">
        <f t="shared" si="109"/>
        <v>#NUM!</v>
      </c>
      <c r="S157" s="60">
        <f ca="1">AVERAGE(OFFSET($R$3,0,0,'Données projet'!$E$9+1,1))-AVERAGE(OFFSET($H$3,0,0,'Données projet'!$E$9+1,1))</f>
        <v>235.63766249714581</v>
      </c>
      <c r="T157" s="60">
        <f t="shared" si="142"/>
        <v>231.3297293785277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0.98445726409265766</v>
      </c>
      <c r="AA157" s="23">
        <f>EXP(-LN(2)/25)*AA156+(1-EXP(-LN(2)/25))/(LN(2)/25)*Calculateur!V157*Calculateur!X157*VLOOKUP('Données projet'!$B$9,Paramètres!$A$1:$I$89,3,0)*0.475*44/12</f>
        <v>0.55546909223043983</v>
      </c>
      <c r="AB157" s="23">
        <f>EXP(-LN(2)/2)*AB156+(1-EXP(-LN(2)/2))/(LN(2)/2)*V157*Y157*VLOOKUP('Données projet'!$B$9,Paramètres!$A$1:$I$89,3,0)*0.475*44/12</f>
        <v>1.5422628718604982E-18</v>
      </c>
      <c r="AC157" s="24">
        <f t="shared" si="163"/>
        <v>1.5399263563230976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-9.6633812063373625E-13</v>
      </c>
      <c r="AJ157" s="14">
        <f>AI157*VLOOKUP('Données projet'!$B$10,Paramètres!$A$1:$I$89,3,0)*VLOOKUP('Données projet'!$B$10,Paramètres!$A$1:$I$89,5,0)</f>
        <v>-9.7986685432260874E-13</v>
      </c>
      <c r="AK157" s="14" t="e">
        <f t="shared" si="164"/>
        <v>#NUM!</v>
      </c>
      <c r="AL157" s="22" t="e">
        <f t="shared" si="165"/>
        <v>#NUM!</v>
      </c>
      <c r="AM157" s="60" t="e">
        <f t="shared" si="113"/>
        <v>#NUM!</v>
      </c>
      <c r="AN157" s="60">
        <f ca="1">AVERAGE(OFFSET($AM$3,0,0,'Données projet'!$E$10+1,1))-AVERAGE(OFFSET($H$3,0,0,'Données projet'!$E$10+1,1))</f>
        <v>350.3652766444938</v>
      </c>
      <c r="AO157" s="60">
        <f t="shared" si="144"/>
        <v>197.04549436738586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6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-9.6633812063373625E-13</v>
      </c>
      <c r="BE157" s="14">
        <f>BD157*VLOOKUP('Données projet'!$B$11,Paramètres!$A$1:$I$89,3,0)*VLOOKUP('Données projet'!$B$11,Paramètres!$A$1:$I$89,5,0)</f>
        <v>-9.3464223027694966E-13</v>
      </c>
      <c r="BF157" s="14" t="e">
        <f t="shared" si="167"/>
        <v>#NUM!</v>
      </c>
      <c r="BG157" s="22" t="e">
        <f t="shared" si="168"/>
        <v>#NUM!</v>
      </c>
      <c r="BH157" s="60" t="e">
        <f t="shared" si="116"/>
        <v>#NUM!</v>
      </c>
      <c r="BI157" s="60">
        <f ca="1">AVERAGE(OFFSET($BH$3,0,0,'Données projet'!$E$11+1,1))-AVERAGE(OFFSET($H$3,0,0,'Données projet'!$E$11+1,1))</f>
        <v>330.39429528665841</v>
      </c>
      <c r="BJ157" s="60">
        <f t="shared" si="146"/>
        <v>186.45728006007261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1.7053025658242404E-13</v>
      </c>
      <c r="BZ157" s="14">
        <f>BY157*VLOOKUP('Données projet'!$B$12,Paramètres!$A$1:$I$89,3,0)*VLOOKUP('Données projet'!$B$12,Paramètres!$A$1:$I$89,5,0)</f>
        <v>1.1439169611549005E-13</v>
      </c>
      <c r="CA157" s="14">
        <f t="shared" si="170"/>
        <v>1.6918016515029816E-12</v>
      </c>
      <c r="CB157" s="22">
        <f t="shared" si="171"/>
        <v>3.1457867471021712E-12</v>
      </c>
      <c r="CC157" s="60">
        <f t="shared" si="119"/>
        <v>293.33333333333644</v>
      </c>
      <c r="CD157" s="60">
        <f ca="1">AVERAGE(OFFSET($CC$3,0,0,'Données projet'!$E$12+1,1))-AVERAGE(OFFSET($H$3,0,0,'Données projet'!$E$12+1,1))</f>
        <v>212.33913923444732</v>
      </c>
      <c r="CE157" s="60">
        <f t="shared" si="148"/>
        <v>183.51194426094372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-3.979039320256561E-13</v>
      </c>
      <c r="CU157" s="18">
        <f>CT157*VLOOKUP('Données projet'!$B$13,Paramètres!$A$1:$I$89,3,0)*VLOOKUP('Données projet'!$B$13,Paramètres!$A$1:$I$89,5,0)</f>
        <v>-3.4760887501761321E-13</v>
      </c>
      <c r="CV157" s="14" t="e">
        <f t="shared" si="173"/>
        <v>#NUM!</v>
      </c>
      <c r="CW157" s="22" t="e">
        <f t="shared" si="174"/>
        <v>#NUM!</v>
      </c>
      <c r="CX157" s="60" t="e">
        <f t="shared" si="122"/>
        <v>#NUM!</v>
      </c>
      <c r="CY157" s="60">
        <f ca="1">AVERAGE(OFFSET($CX$3,0,0,'Données projet'!$E$13+1,1))-AVERAGE(OFFSET($H$3,0,0,'Données projet'!$E$13+1,1))</f>
        <v>228.0393346366489</v>
      </c>
      <c r="CZ157" s="60">
        <f t="shared" si="150"/>
        <v>238.591781509447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-9.6633812063373625E-13</v>
      </c>
      <c r="DP157" s="18">
        <f>DO157*VLOOKUP('Données projet'!$B$14,Paramètres!$A$1:$I$89,3,0)*VLOOKUP('Données projet'!$B$14,Paramètres!$A$1:$I$89,5,0)</f>
        <v>-8.7434273154940449E-13</v>
      </c>
      <c r="DQ157" s="14" t="e">
        <f t="shared" si="176"/>
        <v>#NUM!</v>
      </c>
      <c r="DR157" s="22" t="e">
        <f t="shared" si="177"/>
        <v>#NUM!</v>
      </c>
      <c r="DS157" s="60" t="e">
        <f t="shared" si="125"/>
        <v>#NUM!</v>
      </c>
      <c r="DT157" s="60">
        <f ca="1">AVERAGE(OFFSET($DS$3,0,0,'Données projet'!$E$14+1,1))-AVERAGE(OFFSET($H$3,0,0,'Données projet'!$E$14+1,1))</f>
        <v>303.73499739059076</v>
      </c>
      <c r="DU157" s="60">
        <f t="shared" si="152"/>
        <v>172.32171001882188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1.1368683772161603E-13</v>
      </c>
      <c r="EK157" s="18">
        <f>EJ157*VLOOKUP('Données projet'!$B$15,Paramètres!$A$1:$I$89,3,0)*VLOOKUP('Données projet'!$B$15,Paramètres!$A$1:$I$89,5,0)</f>
        <v>6.7984728957526396E-14</v>
      </c>
      <c r="EL157" s="14">
        <f t="shared" si="179"/>
        <v>1.0682447123141398E-12</v>
      </c>
      <c r="EM157" s="22">
        <f t="shared" si="180"/>
        <v>1.978932943548152E-12</v>
      </c>
      <c r="EN157" s="60">
        <f t="shared" si="128"/>
        <v>293.3333333333353</v>
      </c>
      <c r="EO157" s="60">
        <f ca="1">AVERAGE(OFFSET($EN$3,0,0,'Données projet'!$E$15+1,1))-AVERAGE(OFFSET($H$3,0,0,'Données projet'!$E$15+1,1))</f>
        <v>269.94948820700841</v>
      </c>
      <c r="EP157" s="60">
        <f t="shared" si="154"/>
        <v>183.45158355135192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0.43870603431738581</v>
      </c>
      <c r="EX157" s="23">
        <f>EXP(-LN(2)/2)*EX156+(1-EXP(-LN(2)/2))/(LN(2)/2)*ER157*EU157*VLOOKUP('Données projet'!$B$15,Paramètres!$A$1:$I$89,3,0)*0.475*44/12</f>
        <v>1.2225532403880373E-18</v>
      </c>
      <c r="EY157" s="24">
        <f t="shared" si="181"/>
        <v>0.43870603431738581</v>
      </c>
      <c r="EZ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>
        <f>FE157*VLOOKUP('Données projet'!$B$16,Paramètres!$A$1:$I$89,3,0)*VLOOKUP('Données projet'!$B$16,Paramètres!$A$1:$I$89,5,0)</f>
        <v>0</v>
      </c>
      <c r="FG157" s="14" t="e">
        <f t="shared" si="182"/>
        <v>#NUM!</v>
      </c>
      <c r="FH157" s="22" t="e">
        <f t="shared" si="183"/>
        <v>#NUM!</v>
      </c>
      <c r="FI157" s="60" t="e">
        <f t="shared" si="131"/>
        <v>#NUM!</v>
      </c>
      <c r="FJ157" s="60">
        <f ca="1">AVERAGE(OFFSET($FI$3,0,0,'Données projet'!$E$16+1,1))-AVERAGE(OFFSET($H$3,0,0,'Données projet'!$E$16+1,1))</f>
        <v>111.24788725253484</v>
      </c>
      <c r="FK157" s="60">
        <f t="shared" si="156"/>
        <v>82.434879813357327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projet'!$B$16,Paramètres!$A$1:$I$89,3,0)*0.475*44/12</f>
        <v>0</v>
      </c>
      <c r="FR157" s="23">
        <f>EXP(-LN(2)/25)*FR156+(1-EXP(-LN(2)/25))/(LN(2)/25)*Calculateur!FM157*Calculateur!FO157*VLOOKUP('Données projet'!$B$16,Paramètres!$A$1:$I$89,3,0)*0.475*44/12</f>
        <v>0</v>
      </c>
      <c r="FS157" s="23">
        <f>EXP(-LN(2)/2)*FS156+(1-EXP(-LN(2)/2))/(LN(2)/2)*FM157*FP157*VLOOKUP('Données projet'!$B$16,Paramètres!$A$1:$I$89,3,0)*0.475*44/12</f>
        <v>0</v>
      </c>
      <c r="FT157" s="24">
        <f t="shared" si="184"/>
        <v>0</v>
      </c>
      <c r="FU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1.0231815394945443E-12</v>
      </c>
      <c r="GA157" s="18">
        <f>FZ157*VLOOKUP('Données projet'!$B$17,Paramètres!$A$1:$I$89,3,0)*VLOOKUP('Données projet'!$B$17,Paramètres!$A$1:$I$89,5,0)</f>
        <v>4.5224624045658859E-13</v>
      </c>
      <c r="GB157" s="14">
        <f t="shared" si="185"/>
        <v>5.6995607121061449E-12</v>
      </c>
      <c r="GC157" s="22">
        <f t="shared" si="186"/>
        <v>1.0714397109046761E-11</v>
      </c>
      <c r="GD157" s="60">
        <f t="shared" si="134"/>
        <v>293.333333333344</v>
      </c>
      <c r="GE157" s="60">
        <f ca="1">AVERAGE(OFFSET($GD$3,0,0,'Données projet'!$E$17+1,1))-AVERAGE(OFFSET($H$3,0,0,'Données projet'!$E$17+1,1))</f>
        <v>323.56667371063662</v>
      </c>
      <c r="GF157" s="60">
        <f t="shared" si="158"/>
        <v>275.70373467723385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>
        <f>EXP(-LN(2)/35)*GL156+(1-EXP(-LN(2)/35))/(LN(2)/35)*GH157*GI157*VLOOKUP('Données projet'!$B$17,Paramètres!$A$1:$I$89,3,0)*0.475*44/12</f>
        <v>0</v>
      </c>
      <c r="GM157" s="23">
        <f>EXP(-LN(2)/25)*GM156+(1-EXP(-LN(2)/25))/(LN(2)/25)*Calculateur!GH157*Calculateur!GJ157*VLOOKUP('Données projet'!$B$17,Paramètres!$A$1:$I$89,3,0)*0.475*44/12</f>
        <v>0</v>
      </c>
      <c r="GN157" s="23">
        <f>EXP(-LN(2)/2)*GN156+(1-EXP(-LN(2)/2))/(LN(2)/2)*GH157*GK157*VLOOKUP('Données projet'!$B$17,Paramètres!$A$1:$I$89,3,0)*0.475*44/12</f>
        <v>0</v>
      </c>
      <c r="GO157" s="23">
        <f t="shared" si="187"/>
        <v>0</v>
      </c>
      <c r="GP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0" t="e">
        <f t="shared" si="137"/>
        <v>#N/A</v>
      </c>
      <c r="GZ157" s="60" t="e">
        <f ca="1">AVERAGE(OFFSET($GY$3,0,0,'Données projet'!$E$18+1,1))-AVERAGE(OFFSET($H$3,0,0,'Données projet'!$E$18+1,1))</f>
        <v>#N/A</v>
      </c>
      <c r="HA157" s="60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4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2">
        <f t="shared" si="140"/>
        <v>23.265509752734562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-1.1368683772161603E-13</v>
      </c>
      <c r="O158" s="14">
        <f>N158*VLOOKUP('Données projet'!$B$9,Paramètres!$A$1:$I$89,3,0)*VLOOKUP('Données projet'!$B$9,Paramètres!$A$1:$I$89,5,0)</f>
        <v>-6.7984728957526396E-14</v>
      </c>
      <c r="P158" s="14" t="e">
        <f t="shared" si="141"/>
        <v>#NUM!</v>
      </c>
      <c r="Q158" s="22" t="e">
        <f t="shared" si="162"/>
        <v>#NUM!</v>
      </c>
      <c r="R158" s="60" t="e">
        <f t="shared" si="109"/>
        <v>#NUM!</v>
      </c>
      <c r="S158" s="60">
        <f ca="1">AVERAGE(OFFSET($R$3,0,0,'Données projet'!$E$9+1,1))-AVERAGE(OFFSET($H$3,0,0,'Données projet'!$E$9+1,1))</f>
        <v>235.63766249714581</v>
      </c>
      <c r="T158" s="60">
        <f t="shared" si="142"/>
        <v>231.3297293785277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0.96515265760344127</v>
      </c>
      <c r="AA158" s="23">
        <f>EXP(-LN(2)/25)*AA157+(1-EXP(-LN(2)/25))/(LN(2)/25)*Calculateur!V158*Calculateur!X158*VLOOKUP('Données projet'!$B$9,Paramètres!$A$1:$I$89,3,0)*0.475*44/12</f>
        <v>0.54027976069254846</v>
      </c>
      <c r="AB158" s="23">
        <f>EXP(-LN(2)/2)*AB157+(1-EXP(-LN(2)/2))/(LN(2)/2)*V158*Y158*VLOOKUP('Données projet'!$B$9,Paramètres!$A$1:$I$89,3,0)*0.475*44/12</f>
        <v>1.0905445350647976E-18</v>
      </c>
      <c r="AC158" s="24">
        <f t="shared" si="163"/>
        <v>1.5054324182959897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-9.6633812063373625E-13</v>
      </c>
      <c r="AJ158" s="14">
        <f>AI158*VLOOKUP('Données projet'!$B$10,Paramètres!$A$1:$I$89,3,0)*VLOOKUP('Données projet'!$B$10,Paramètres!$A$1:$I$89,5,0)</f>
        <v>-9.7986685432260874E-13</v>
      </c>
      <c r="AK158" s="14" t="e">
        <f t="shared" si="164"/>
        <v>#NUM!</v>
      </c>
      <c r="AL158" s="22" t="e">
        <f t="shared" si="165"/>
        <v>#NUM!</v>
      </c>
      <c r="AM158" s="60" t="e">
        <f t="shared" si="113"/>
        <v>#NUM!</v>
      </c>
      <c r="AN158" s="60">
        <f ca="1">AVERAGE(OFFSET($AM$3,0,0,'Données projet'!$E$10+1,1))-AVERAGE(OFFSET($H$3,0,0,'Données projet'!$E$10+1,1))</f>
        <v>350.3652766444938</v>
      </c>
      <c r="AO158" s="60">
        <f t="shared" si="144"/>
        <v>197.04549436738586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6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-9.6633812063373625E-13</v>
      </c>
      <c r="BE158" s="14">
        <f>BD158*VLOOKUP('Données projet'!$B$11,Paramètres!$A$1:$I$89,3,0)*VLOOKUP('Données projet'!$B$11,Paramètres!$A$1:$I$89,5,0)</f>
        <v>-9.3464223027694966E-13</v>
      </c>
      <c r="BF158" s="14" t="e">
        <f t="shared" si="167"/>
        <v>#NUM!</v>
      </c>
      <c r="BG158" s="22" t="e">
        <f t="shared" si="168"/>
        <v>#NUM!</v>
      </c>
      <c r="BH158" s="60" t="e">
        <f t="shared" si="116"/>
        <v>#NUM!</v>
      </c>
      <c r="BI158" s="60">
        <f ca="1">AVERAGE(OFFSET($BH$3,0,0,'Données projet'!$E$11+1,1))-AVERAGE(OFFSET($H$3,0,0,'Données projet'!$E$11+1,1))</f>
        <v>330.39429528665841</v>
      </c>
      <c r="BJ158" s="60">
        <f t="shared" si="146"/>
        <v>186.45728006007261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1.7053025658242404E-13</v>
      </c>
      <c r="BZ158" s="14">
        <f>BY158*VLOOKUP('Données projet'!$B$12,Paramètres!$A$1:$I$89,3,0)*VLOOKUP('Données projet'!$B$12,Paramètres!$A$1:$I$89,5,0)</f>
        <v>1.1439169611549005E-13</v>
      </c>
      <c r="CA158" s="14">
        <f t="shared" si="170"/>
        <v>1.6918016515029816E-12</v>
      </c>
      <c r="CB158" s="22">
        <f t="shared" si="171"/>
        <v>3.1457867471021712E-12</v>
      </c>
      <c r="CC158" s="60">
        <f t="shared" si="119"/>
        <v>293.33333333333644</v>
      </c>
      <c r="CD158" s="60">
        <f ca="1">AVERAGE(OFFSET($CC$3,0,0,'Données projet'!$E$12+1,1))-AVERAGE(OFFSET($H$3,0,0,'Données projet'!$E$12+1,1))</f>
        <v>212.33913923444732</v>
      </c>
      <c r="CE158" s="60">
        <f t="shared" si="148"/>
        <v>183.51194426094372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-3.979039320256561E-13</v>
      </c>
      <c r="CU158" s="18">
        <f>CT158*VLOOKUP('Données projet'!$B$13,Paramètres!$A$1:$I$89,3,0)*VLOOKUP('Données projet'!$B$13,Paramètres!$A$1:$I$89,5,0)</f>
        <v>-3.4760887501761321E-13</v>
      </c>
      <c r="CV158" s="14" t="e">
        <f t="shared" si="173"/>
        <v>#NUM!</v>
      </c>
      <c r="CW158" s="22" t="e">
        <f t="shared" si="174"/>
        <v>#NUM!</v>
      </c>
      <c r="CX158" s="60" t="e">
        <f t="shared" si="122"/>
        <v>#NUM!</v>
      </c>
      <c r="CY158" s="60">
        <f ca="1">AVERAGE(OFFSET($CX$3,0,0,'Données projet'!$E$13+1,1))-AVERAGE(OFFSET($H$3,0,0,'Données projet'!$E$13+1,1))</f>
        <v>228.0393346366489</v>
      </c>
      <c r="CZ158" s="60">
        <f t="shared" si="150"/>
        <v>238.591781509447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-9.6633812063373625E-13</v>
      </c>
      <c r="DP158" s="18">
        <f>DO158*VLOOKUP('Données projet'!$B$14,Paramètres!$A$1:$I$89,3,0)*VLOOKUP('Données projet'!$B$14,Paramètres!$A$1:$I$89,5,0)</f>
        <v>-8.7434273154940449E-13</v>
      </c>
      <c r="DQ158" s="14" t="e">
        <f t="shared" si="176"/>
        <v>#NUM!</v>
      </c>
      <c r="DR158" s="22" t="e">
        <f t="shared" si="177"/>
        <v>#NUM!</v>
      </c>
      <c r="DS158" s="60" t="e">
        <f t="shared" si="125"/>
        <v>#NUM!</v>
      </c>
      <c r="DT158" s="60">
        <f ca="1">AVERAGE(OFFSET($DS$3,0,0,'Données projet'!$E$14+1,1))-AVERAGE(OFFSET($H$3,0,0,'Données projet'!$E$14+1,1))</f>
        <v>303.73499739059076</v>
      </c>
      <c r="DU158" s="60">
        <f t="shared" si="152"/>
        <v>172.32171001882188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1.1368683772161603E-13</v>
      </c>
      <c r="EK158" s="18">
        <f>EJ158*VLOOKUP('Données projet'!$B$15,Paramètres!$A$1:$I$89,3,0)*VLOOKUP('Données projet'!$B$15,Paramètres!$A$1:$I$89,5,0)</f>
        <v>6.7984728957526396E-14</v>
      </c>
      <c r="EL158" s="14">
        <f t="shared" si="179"/>
        <v>1.0682447123141398E-12</v>
      </c>
      <c r="EM158" s="22">
        <f t="shared" si="180"/>
        <v>1.978932943548152E-12</v>
      </c>
      <c r="EN158" s="60">
        <f t="shared" si="128"/>
        <v>293.3333333333353</v>
      </c>
      <c r="EO158" s="60">
        <f ca="1">AVERAGE(OFFSET($EN$3,0,0,'Données projet'!$E$15+1,1))-AVERAGE(OFFSET($H$3,0,0,'Données projet'!$E$15+1,1))</f>
        <v>269.94948820700841</v>
      </c>
      <c r="EP158" s="60">
        <f t="shared" si="154"/>
        <v>183.45158355135192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0.42670959473842923</v>
      </c>
      <c r="EX158" s="23">
        <f>EXP(-LN(2)/2)*EX157+(1-EXP(-LN(2)/2))/(LN(2)/2)*ER158*EU158*VLOOKUP('Données projet'!$B$15,Paramètres!$A$1:$I$89,3,0)*0.475*44/12</f>
        <v>8.644756866399686E-19</v>
      </c>
      <c r="EY158" s="24">
        <f t="shared" si="181"/>
        <v>0.42670959473842923</v>
      </c>
      <c r="EZ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>
        <f>FE158*VLOOKUP('Données projet'!$B$16,Paramètres!$A$1:$I$89,3,0)*VLOOKUP('Données projet'!$B$16,Paramètres!$A$1:$I$89,5,0)</f>
        <v>0</v>
      </c>
      <c r="FG158" s="14" t="e">
        <f t="shared" si="182"/>
        <v>#NUM!</v>
      </c>
      <c r="FH158" s="22" t="e">
        <f t="shared" si="183"/>
        <v>#NUM!</v>
      </c>
      <c r="FI158" s="60" t="e">
        <f t="shared" si="131"/>
        <v>#NUM!</v>
      </c>
      <c r="FJ158" s="60">
        <f ca="1">AVERAGE(OFFSET($FI$3,0,0,'Données projet'!$E$16+1,1))-AVERAGE(OFFSET($H$3,0,0,'Données projet'!$E$16+1,1))</f>
        <v>111.24788725253484</v>
      </c>
      <c r="FK158" s="60">
        <f t="shared" si="156"/>
        <v>82.434879813357327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projet'!$B$16,Paramètres!$A$1:$I$89,3,0)*0.475*44/12</f>
        <v>0</v>
      </c>
      <c r="FR158" s="23">
        <f>EXP(-LN(2)/25)*FR157+(1-EXP(-LN(2)/25))/(LN(2)/25)*Calculateur!FM158*Calculateur!FO158*VLOOKUP('Données projet'!$B$16,Paramètres!$A$1:$I$89,3,0)*0.475*44/12</f>
        <v>0</v>
      </c>
      <c r="FS158" s="23">
        <f>EXP(-LN(2)/2)*FS157+(1-EXP(-LN(2)/2))/(LN(2)/2)*FM158*FP158*VLOOKUP('Données projet'!$B$16,Paramètres!$A$1:$I$89,3,0)*0.475*44/12</f>
        <v>0</v>
      </c>
      <c r="FT158" s="24">
        <f t="shared" si="184"/>
        <v>0</v>
      </c>
      <c r="FU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1.0231815394945443E-12</v>
      </c>
      <c r="GA158" s="18">
        <f>FZ158*VLOOKUP('Données projet'!$B$17,Paramètres!$A$1:$I$89,3,0)*VLOOKUP('Données projet'!$B$17,Paramètres!$A$1:$I$89,5,0)</f>
        <v>4.5224624045658859E-13</v>
      </c>
      <c r="GB158" s="14">
        <f t="shared" si="185"/>
        <v>5.6995607121061449E-12</v>
      </c>
      <c r="GC158" s="22">
        <f t="shared" si="186"/>
        <v>1.0714397109046761E-11</v>
      </c>
      <c r="GD158" s="60">
        <f t="shared" si="134"/>
        <v>293.333333333344</v>
      </c>
      <c r="GE158" s="60">
        <f ca="1">AVERAGE(OFFSET($GD$3,0,0,'Données projet'!$E$17+1,1))-AVERAGE(OFFSET($H$3,0,0,'Données projet'!$E$17+1,1))</f>
        <v>323.56667371063662</v>
      </c>
      <c r="GF158" s="60">
        <f t="shared" si="158"/>
        <v>275.70373467723385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>
        <f>EXP(-LN(2)/35)*GL157+(1-EXP(-LN(2)/35))/(LN(2)/35)*GH158*GI158*VLOOKUP('Données projet'!$B$17,Paramètres!$A$1:$I$89,3,0)*0.475*44/12</f>
        <v>0</v>
      </c>
      <c r="GM158" s="23">
        <f>EXP(-LN(2)/25)*GM157+(1-EXP(-LN(2)/25))/(LN(2)/25)*Calculateur!GH158*Calculateur!GJ158*VLOOKUP('Données projet'!$B$17,Paramètres!$A$1:$I$89,3,0)*0.475*44/12</f>
        <v>0</v>
      </c>
      <c r="GN158" s="23">
        <f>EXP(-LN(2)/2)*GN157+(1-EXP(-LN(2)/2))/(LN(2)/2)*GH158*GK158*VLOOKUP('Données projet'!$B$17,Paramètres!$A$1:$I$89,3,0)*0.475*44/12</f>
        <v>0</v>
      </c>
      <c r="GO158" s="23">
        <f t="shared" si="187"/>
        <v>0</v>
      </c>
      <c r="GP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0" t="e">
        <f t="shared" si="137"/>
        <v>#N/A</v>
      </c>
      <c r="GZ158" s="60" t="e">
        <f ca="1">AVERAGE(OFFSET($GY$3,0,0,'Données projet'!$E$18+1,1))-AVERAGE(OFFSET($H$3,0,0,'Données projet'!$E$18+1,1))</f>
        <v>#N/A</v>
      </c>
      <c r="HA158" s="60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4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2">
        <f t="shared" si="140"/>
        <v>23.398088487656484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-1.1368683772161603E-13</v>
      </c>
      <c r="O159" s="14">
        <f>N159*VLOOKUP('Données projet'!$B$9,Paramètres!$A$1:$I$89,3,0)*VLOOKUP('Données projet'!$B$9,Paramètres!$A$1:$I$89,5,0)</f>
        <v>-6.7984728957526396E-14</v>
      </c>
      <c r="P159" s="14" t="e">
        <f t="shared" si="141"/>
        <v>#NUM!</v>
      </c>
      <c r="Q159" s="22" t="e">
        <f t="shared" si="162"/>
        <v>#NUM!</v>
      </c>
      <c r="R159" s="60" t="e">
        <f t="shared" si="109"/>
        <v>#NUM!</v>
      </c>
      <c r="S159" s="60">
        <f ca="1">AVERAGE(OFFSET($R$3,0,0,'Données projet'!$E$9+1,1))-AVERAGE(OFFSET($H$3,0,0,'Données projet'!$E$9+1,1))</f>
        <v>235.63766249714581</v>
      </c>
      <c r="T159" s="60">
        <f t="shared" si="142"/>
        <v>231.3297293785277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0.9462266026728311</v>
      </c>
      <c r="AA159" s="23">
        <f>EXP(-LN(2)/25)*AA158+(1-EXP(-LN(2)/25))/(LN(2)/25)*Calculateur!V159*Calculateur!X159*VLOOKUP('Données projet'!$B$9,Paramètres!$A$1:$I$89,3,0)*0.475*44/12</f>
        <v>0.52550578222433297</v>
      </c>
      <c r="AB159" s="23">
        <f>EXP(-LN(2)/2)*AB158+(1-EXP(-LN(2)/2))/(LN(2)/2)*V159*Y159*VLOOKUP('Données projet'!$B$9,Paramètres!$A$1:$I$89,3,0)*0.475*44/12</f>
        <v>7.7113143593024908E-19</v>
      </c>
      <c r="AC159" s="24">
        <f t="shared" si="163"/>
        <v>1.4717323848971642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-9.6633812063373625E-13</v>
      </c>
      <c r="AJ159" s="14">
        <f>AI159*VLOOKUP('Données projet'!$B$10,Paramètres!$A$1:$I$89,3,0)*VLOOKUP('Données projet'!$B$10,Paramètres!$A$1:$I$89,5,0)</f>
        <v>-9.7986685432260874E-13</v>
      </c>
      <c r="AK159" s="14" t="e">
        <f t="shared" si="164"/>
        <v>#NUM!</v>
      </c>
      <c r="AL159" s="22" t="e">
        <f t="shared" si="165"/>
        <v>#NUM!</v>
      </c>
      <c r="AM159" s="60" t="e">
        <f t="shared" si="113"/>
        <v>#NUM!</v>
      </c>
      <c r="AN159" s="60">
        <f ca="1">AVERAGE(OFFSET($AM$3,0,0,'Données projet'!$E$10+1,1))-AVERAGE(OFFSET($H$3,0,0,'Données projet'!$E$10+1,1))</f>
        <v>350.3652766444938</v>
      </c>
      <c r="AO159" s="60">
        <f t="shared" si="144"/>
        <v>197.04549436738586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6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-9.6633812063373625E-13</v>
      </c>
      <c r="BE159" s="14">
        <f>BD159*VLOOKUP('Données projet'!$B$11,Paramètres!$A$1:$I$89,3,0)*VLOOKUP('Données projet'!$B$11,Paramètres!$A$1:$I$89,5,0)</f>
        <v>-9.3464223027694966E-13</v>
      </c>
      <c r="BF159" s="14" t="e">
        <f t="shared" si="167"/>
        <v>#NUM!</v>
      </c>
      <c r="BG159" s="22" t="e">
        <f t="shared" si="168"/>
        <v>#NUM!</v>
      </c>
      <c r="BH159" s="60" t="e">
        <f t="shared" si="116"/>
        <v>#NUM!</v>
      </c>
      <c r="BI159" s="60">
        <f ca="1">AVERAGE(OFFSET($BH$3,0,0,'Données projet'!$E$11+1,1))-AVERAGE(OFFSET($H$3,0,0,'Données projet'!$E$11+1,1))</f>
        <v>330.39429528665841</v>
      </c>
      <c r="BJ159" s="60">
        <f t="shared" si="146"/>
        <v>186.45728006007261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1.7053025658242404E-13</v>
      </c>
      <c r="BZ159" s="14">
        <f>BY159*VLOOKUP('Données projet'!$B$12,Paramètres!$A$1:$I$89,3,0)*VLOOKUP('Données projet'!$B$12,Paramètres!$A$1:$I$89,5,0)</f>
        <v>1.1439169611549005E-13</v>
      </c>
      <c r="CA159" s="14">
        <f t="shared" si="170"/>
        <v>1.6918016515029816E-12</v>
      </c>
      <c r="CB159" s="22">
        <f t="shared" si="171"/>
        <v>3.1457867471021712E-12</v>
      </c>
      <c r="CC159" s="60">
        <f t="shared" si="119"/>
        <v>293.33333333333644</v>
      </c>
      <c r="CD159" s="60">
        <f ca="1">AVERAGE(OFFSET($CC$3,0,0,'Données projet'!$E$12+1,1))-AVERAGE(OFFSET($H$3,0,0,'Données projet'!$E$12+1,1))</f>
        <v>212.33913923444732</v>
      </c>
      <c r="CE159" s="60">
        <f t="shared" si="148"/>
        <v>183.51194426094372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-3.979039320256561E-13</v>
      </c>
      <c r="CU159" s="18">
        <f>CT159*VLOOKUP('Données projet'!$B$13,Paramètres!$A$1:$I$89,3,0)*VLOOKUP('Données projet'!$B$13,Paramètres!$A$1:$I$89,5,0)</f>
        <v>-3.4760887501761321E-13</v>
      </c>
      <c r="CV159" s="14" t="e">
        <f t="shared" si="173"/>
        <v>#NUM!</v>
      </c>
      <c r="CW159" s="22" t="e">
        <f t="shared" si="174"/>
        <v>#NUM!</v>
      </c>
      <c r="CX159" s="60" t="e">
        <f t="shared" si="122"/>
        <v>#NUM!</v>
      </c>
      <c r="CY159" s="60">
        <f ca="1">AVERAGE(OFFSET($CX$3,0,0,'Données projet'!$E$13+1,1))-AVERAGE(OFFSET($H$3,0,0,'Données projet'!$E$13+1,1))</f>
        <v>228.0393346366489</v>
      </c>
      <c r="CZ159" s="60">
        <f t="shared" si="150"/>
        <v>238.591781509447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-9.6633812063373625E-13</v>
      </c>
      <c r="DP159" s="18">
        <f>DO159*VLOOKUP('Données projet'!$B$14,Paramètres!$A$1:$I$89,3,0)*VLOOKUP('Données projet'!$B$14,Paramètres!$A$1:$I$89,5,0)</f>
        <v>-8.7434273154940449E-13</v>
      </c>
      <c r="DQ159" s="14" t="e">
        <f t="shared" si="176"/>
        <v>#NUM!</v>
      </c>
      <c r="DR159" s="22" t="e">
        <f t="shared" si="177"/>
        <v>#NUM!</v>
      </c>
      <c r="DS159" s="60" t="e">
        <f t="shared" si="125"/>
        <v>#NUM!</v>
      </c>
      <c r="DT159" s="60">
        <f ca="1">AVERAGE(OFFSET($DS$3,0,0,'Données projet'!$E$14+1,1))-AVERAGE(OFFSET($H$3,0,0,'Données projet'!$E$14+1,1))</f>
        <v>303.73499739059076</v>
      </c>
      <c r="DU159" s="60">
        <f t="shared" si="152"/>
        <v>172.32171001882188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1.1368683772161603E-13</v>
      </c>
      <c r="EK159" s="18">
        <f>EJ159*VLOOKUP('Données projet'!$B$15,Paramètres!$A$1:$I$89,3,0)*VLOOKUP('Données projet'!$B$15,Paramètres!$A$1:$I$89,5,0)</f>
        <v>6.7984728957526396E-14</v>
      </c>
      <c r="EL159" s="14">
        <f t="shared" si="179"/>
        <v>1.0682447123141398E-12</v>
      </c>
      <c r="EM159" s="22">
        <f t="shared" si="180"/>
        <v>1.978932943548152E-12</v>
      </c>
      <c r="EN159" s="60">
        <f t="shared" si="128"/>
        <v>293.3333333333353</v>
      </c>
      <c r="EO159" s="60">
        <f ca="1">AVERAGE(OFFSET($EN$3,0,0,'Données projet'!$E$15+1,1))-AVERAGE(OFFSET($H$3,0,0,'Données projet'!$E$15+1,1))</f>
        <v>269.94948820700841</v>
      </c>
      <c r="EP159" s="60">
        <f t="shared" si="154"/>
        <v>183.45158355135192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0.41504119843062454</v>
      </c>
      <c r="EX159" s="23">
        <f>EXP(-LN(2)/2)*EX158+(1-EXP(-LN(2)/2))/(LN(2)/2)*ER159*EU159*VLOOKUP('Données projet'!$B$15,Paramètres!$A$1:$I$89,3,0)*0.475*44/12</f>
        <v>6.1127662019401874E-19</v>
      </c>
      <c r="EY159" s="24">
        <f t="shared" si="181"/>
        <v>0.41504119843062454</v>
      </c>
      <c r="EZ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>
        <f>FE159*VLOOKUP('Données projet'!$B$16,Paramètres!$A$1:$I$89,3,0)*VLOOKUP('Données projet'!$B$16,Paramètres!$A$1:$I$89,5,0)</f>
        <v>0</v>
      </c>
      <c r="FG159" s="14" t="e">
        <f t="shared" si="182"/>
        <v>#NUM!</v>
      </c>
      <c r="FH159" s="22" t="e">
        <f t="shared" si="183"/>
        <v>#NUM!</v>
      </c>
      <c r="FI159" s="60" t="e">
        <f t="shared" si="131"/>
        <v>#NUM!</v>
      </c>
      <c r="FJ159" s="60">
        <f ca="1">AVERAGE(OFFSET($FI$3,0,0,'Données projet'!$E$16+1,1))-AVERAGE(OFFSET($H$3,0,0,'Données projet'!$E$16+1,1))</f>
        <v>111.24788725253484</v>
      </c>
      <c r="FK159" s="60">
        <f t="shared" si="156"/>
        <v>82.434879813357327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projet'!$B$16,Paramètres!$A$1:$I$89,3,0)*0.475*44/12</f>
        <v>0</v>
      </c>
      <c r="FR159" s="23">
        <f>EXP(-LN(2)/25)*FR158+(1-EXP(-LN(2)/25))/(LN(2)/25)*Calculateur!FM159*Calculateur!FO159*VLOOKUP('Données projet'!$B$16,Paramètres!$A$1:$I$89,3,0)*0.475*44/12</f>
        <v>0</v>
      </c>
      <c r="FS159" s="23">
        <f>EXP(-LN(2)/2)*FS158+(1-EXP(-LN(2)/2))/(LN(2)/2)*FM159*FP159*VLOOKUP('Données projet'!$B$16,Paramètres!$A$1:$I$89,3,0)*0.475*44/12</f>
        <v>0</v>
      </c>
      <c r="FT159" s="24">
        <f t="shared" si="184"/>
        <v>0</v>
      </c>
      <c r="FU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1.0231815394945443E-12</v>
      </c>
      <c r="GA159" s="18">
        <f>FZ159*VLOOKUP('Données projet'!$B$17,Paramètres!$A$1:$I$89,3,0)*VLOOKUP('Données projet'!$B$17,Paramètres!$A$1:$I$89,5,0)</f>
        <v>4.5224624045658859E-13</v>
      </c>
      <c r="GB159" s="14">
        <f t="shared" si="185"/>
        <v>5.6995607121061449E-12</v>
      </c>
      <c r="GC159" s="22">
        <f t="shared" si="186"/>
        <v>1.0714397109046761E-11</v>
      </c>
      <c r="GD159" s="60">
        <f t="shared" si="134"/>
        <v>293.333333333344</v>
      </c>
      <c r="GE159" s="60">
        <f ca="1">AVERAGE(OFFSET($GD$3,0,0,'Données projet'!$E$17+1,1))-AVERAGE(OFFSET($H$3,0,0,'Données projet'!$E$17+1,1))</f>
        <v>323.56667371063662</v>
      </c>
      <c r="GF159" s="60">
        <f t="shared" si="158"/>
        <v>275.70373467723385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>
        <f>EXP(-LN(2)/35)*GL158+(1-EXP(-LN(2)/35))/(LN(2)/35)*GH159*GI159*VLOOKUP('Données projet'!$B$17,Paramètres!$A$1:$I$89,3,0)*0.475*44/12</f>
        <v>0</v>
      </c>
      <c r="GM159" s="23">
        <f>EXP(-LN(2)/25)*GM158+(1-EXP(-LN(2)/25))/(LN(2)/25)*Calculateur!GH159*Calculateur!GJ159*VLOOKUP('Données projet'!$B$17,Paramètres!$A$1:$I$89,3,0)*0.475*44/12</f>
        <v>0</v>
      </c>
      <c r="GN159" s="23">
        <f>EXP(-LN(2)/2)*GN158+(1-EXP(-LN(2)/2))/(LN(2)/2)*GH159*GK159*VLOOKUP('Données projet'!$B$17,Paramètres!$A$1:$I$89,3,0)*0.475*44/12</f>
        <v>0</v>
      </c>
      <c r="GO159" s="23">
        <f t="shared" si="187"/>
        <v>0</v>
      </c>
      <c r="GP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0" t="e">
        <f t="shared" si="137"/>
        <v>#N/A</v>
      </c>
      <c r="GZ159" s="60" t="e">
        <f ca="1">AVERAGE(OFFSET($GY$3,0,0,'Données projet'!$E$18+1,1))-AVERAGE(OFFSET($H$3,0,0,'Données projet'!$E$18+1,1))</f>
        <v>#N/A</v>
      </c>
      <c r="HA159" s="60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4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2">
        <f t="shared" si="140"/>
        <v>23.530568334626178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-1.1368683772161603E-13</v>
      </c>
      <c r="O160" s="14">
        <f>N160*VLOOKUP('Données projet'!$B$9,Paramètres!$A$1:$I$89,3,0)*VLOOKUP('Données projet'!$B$9,Paramètres!$A$1:$I$89,5,0)</f>
        <v>-6.7984728957526396E-14</v>
      </c>
      <c r="P160" s="14" t="e">
        <f t="shared" si="141"/>
        <v>#NUM!</v>
      </c>
      <c r="Q160" s="22" t="e">
        <f t="shared" si="162"/>
        <v>#NUM!</v>
      </c>
      <c r="R160" s="60" t="e">
        <f t="shared" si="109"/>
        <v>#NUM!</v>
      </c>
      <c r="S160" s="60">
        <f ca="1">AVERAGE(OFFSET($R$3,0,0,'Données projet'!$E$9+1,1))-AVERAGE(OFFSET($H$3,0,0,'Données projet'!$E$9+1,1))</f>
        <v>235.63766249714581</v>
      </c>
      <c r="T160" s="60">
        <f t="shared" si="142"/>
        <v>231.3297293785277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0.9276716761356566</v>
      </c>
      <c r="AA160" s="23">
        <f>EXP(-LN(2)/25)*AA159+(1-EXP(-LN(2)/25))/(LN(2)/25)*Calculateur!V160*Calculateur!X160*VLOOKUP('Données projet'!$B$9,Paramètres!$A$1:$I$89,3,0)*0.475*44/12</f>
        <v>0.51113579897426054</v>
      </c>
      <c r="AB160" s="23">
        <f>EXP(-LN(2)/2)*AB159+(1-EXP(-LN(2)/2))/(LN(2)/2)*V160*Y160*VLOOKUP('Données projet'!$B$9,Paramètres!$A$1:$I$89,3,0)*0.475*44/12</f>
        <v>5.4527226753239882E-19</v>
      </c>
      <c r="AC160" s="24">
        <f t="shared" si="163"/>
        <v>1.4388074751099171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-9.6633812063373625E-13</v>
      </c>
      <c r="AJ160" s="14">
        <f>AI160*VLOOKUP('Données projet'!$B$10,Paramètres!$A$1:$I$89,3,0)*VLOOKUP('Données projet'!$B$10,Paramètres!$A$1:$I$89,5,0)</f>
        <v>-9.7986685432260874E-13</v>
      </c>
      <c r="AK160" s="14" t="e">
        <f t="shared" si="164"/>
        <v>#NUM!</v>
      </c>
      <c r="AL160" s="22" t="e">
        <f t="shared" si="165"/>
        <v>#NUM!</v>
      </c>
      <c r="AM160" s="60" t="e">
        <f t="shared" si="113"/>
        <v>#NUM!</v>
      </c>
      <c r="AN160" s="60">
        <f ca="1">AVERAGE(OFFSET($AM$3,0,0,'Données projet'!$E$10+1,1))-AVERAGE(OFFSET($H$3,0,0,'Données projet'!$E$10+1,1))</f>
        <v>350.3652766444938</v>
      </c>
      <c r="AO160" s="60">
        <f t="shared" si="144"/>
        <v>197.04549436738586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6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-9.6633812063373625E-13</v>
      </c>
      <c r="BE160" s="14">
        <f>BD160*VLOOKUP('Données projet'!$B$11,Paramètres!$A$1:$I$89,3,0)*VLOOKUP('Données projet'!$B$11,Paramètres!$A$1:$I$89,5,0)</f>
        <v>-9.3464223027694966E-13</v>
      </c>
      <c r="BF160" s="14" t="e">
        <f t="shared" si="167"/>
        <v>#NUM!</v>
      </c>
      <c r="BG160" s="22" t="e">
        <f t="shared" si="168"/>
        <v>#NUM!</v>
      </c>
      <c r="BH160" s="60" t="e">
        <f t="shared" si="116"/>
        <v>#NUM!</v>
      </c>
      <c r="BI160" s="60">
        <f ca="1">AVERAGE(OFFSET($BH$3,0,0,'Données projet'!$E$11+1,1))-AVERAGE(OFFSET($H$3,0,0,'Données projet'!$E$11+1,1))</f>
        <v>330.39429528665841</v>
      </c>
      <c r="BJ160" s="60">
        <f t="shared" si="146"/>
        <v>186.45728006007261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1.7053025658242404E-13</v>
      </c>
      <c r="BZ160" s="14">
        <f>BY160*VLOOKUP('Données projet'!$B$12,Paramètres!$A$1:$I$89,3,0)*VLOOKUP('Données projet'!$B$12,Paramètres!$A$1:$I$89,5,0)</f>
        <v>1.1439169611549005E-13</v>
      </c>
      <c r="CA160" s="14">
        <f t="shared" si="170"/>
        <v>1.6918016515029816E-12</v>
      </c>
      <c r="CB160" s="22">
        <f t="shared" si="171"/>
        <v>3.1457867471021712E-12</v>
      </c>
      <c r="CC160" s="60">
        <f t="shared" si="119"/>
        <v>293.33333333333644</v>
      </c>
      <c r="CD160" s="60">
        <f ca="1">AVERAGE(OFFSET($CC$3,0,0,'Données projet'!$E$12+1,1))-AVERAGE(OFFSET($H$3,0,0,'Données projet'!$E$12+1,1))</f>
        <v>212.33913923444732</v>
      </c>
      <c r="CE160" s="60">
        <f t="shared" si="148"/>
        <v>183.51194426094372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-3.979039320256561E-13</v>
      </c>
      <c r="CU160" s="18">
        <f>CT160*VLOOKUP('Données projet'!$B$13,Paramètres!$A$1:$I$89,3,0)*VLOOKUP('Données projet'!$B$13,Paramètres!$A$1:$I$89,5,0)</f>
        <v>-3.4760887501761321E-13</v>
      </c>
      <c r="CV160" s="14" t="e">
        <f t="shared" si="173"/>
        <v>#NUM!</v>
      </c>
      <c r="CW160" s="22" t="e">
        <f t="shared" si="174"/>
        <v>#NUM!</v>
      </c>
      <c r="CX160" s="60" t="e">
        <f t="shared" si="122"/>
        <v>#NUM!</v>
      </c>
      <c r="CY160" s="60">
        <f ca="1">AVERAGE(OFFSET($CX$3,0,0,'Données projet'!$E$13+1,1))-AVERAGE(OFFSET($H$3,0,0,'Données projet'!$E$13+1,1))</f>
        <v>228.0393346366489</v>
      </c>
      <c r="CZ160" s="60">
        <f t="shared" si="150"/>
        <v>238.591781509447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-9.6633812063373625E-13</v>
      </c>
      <c r="DP160" s="18">
        <f>DO160*VLOOKUP('Données projet'!$B$14,Paramètres!$A$1:$I$89,3,0)*VLOOKUP('Données projet'!$B$14,Paramètres!$A$1:$I$89,5,0)</f>
        <v>-8.7434273154940449E-13</v>
      </c>
      <c r="DQ160" s="14" t="e">
        <f t="shared" si="176"/>
        <v>#NUM!</v>
      </c>
      <c r="DR160" s="22" t="e">
        <f t="shared" si="177"/>
        <v>#NUM!</v>
      </c>
      <c r="DS160" s="60" t="e">
        <f t="shared" si="125"/>
        <v>#NUM!</v>
      </c>
      <c r="DT160" s="60">
        <f ca="1">AVERAGE(OFFSET($DS$3,0,0,'Données projet'!$E$14+1,1))-AVERAGE(OFFSET($H$3,0,0,'Données projet'!$E$14+1,1))</f>
        <v>303.73499739059076</v>
      </c>
      <c r="DU160" s="60">
        <f t="shared" si="152"/>
        <v>172.32171001882188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1.1368683772161603E-13</v>
      </c>
      <c r="EK160" s="18">
        <f>EJ160*VLOOKUP('Données projet'!$B$15,Paramètres!$A$1:$I$89,3,0)*VLOOKUP('Données projet'!$B$15,Paramètres!$A$1:$I$89,5,0)</f>
        <v>6.7984728957526396E-14</v>
      </c>
      <c r="EL160" s="14">
        <f t="shared" si="179"/>
        <v>1.0682447123141398E-12</v>
      </c>
      <c r="EM160" s="22">
        <f t="shared" si="180"/>
        <v>1.978932943548152E-12</v>
      </c>
      <c r="EN160" s="60">
        <f t="shared" si="128"/>
        <v>293.3333333333353</v>
      </c>
      <c r="EO160" s="60">
        <f ca="1">AVERAGE(OFFSET($EN$3,0,0,'Données projet'!$E$15+1,1))-AVERAGE(OFFSET($H$3,0,0,'Données projet'!$E$15+1,1))</f>
        <v>269.94948820700841</v>
      </c>
      <c r="EP160" s="60">
        <f t="shared" si="154"/>
        <v>183.45158355135192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0.40369187503347109</v>
      </c>
      <c r="EX160" s="23">
        <f>EXP(-LN(2)/2)*EX159+(1-EXP(-LN(2)/2))/(LN(2)/2)*ER160*EU160*VLOOKUP('Données projet'!$B$15,Paramètres!$A$1:$I$89,3,0)*0.475*44/12</f>
        <v>4.3223784331998435E-19</v>
      </c>
      <c r="EY160" s="24">
        <f t="shared" si="181"/>
        <v>0.40369187503347109</v>
      </c>
      <c r="EZ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>
        <f>FE160*VLOOKUP('Données projet'!$B$16,Paramètres!$A$1:$I$89,3,0)*VLOOKUP('Données projet'!$B$16,Paramètres!$A$1:$I$89,5,0)</f>
        <v>0</v>
      </c>
      <c r="FG160" s="14" t="e">
        <f t="shared" si="182"/>
        <v>#NUM!</v>
      </c>
      <c r="FH160" s="22" t="e">
        <f t="shared" si="183"/>
        <v>#NUM!</v>
      </c>
      <c r="FI160" s="60" t="e">
        <f t="shared" si="131"/>
        <v>#NUM!</v>
      </c>
      <c r="FJ160" s="60">
        <f ca="1">AVERAGE(OFFSET($FI$3,0,0,'Données projet'!$E$16+1,1))-AVERAGE(OFFSET($H$3,0,0,'Données projet'!$E$16+1,1))</f>
        <v>111.24788725253484</v>
      </c>
      <c r="FK160" s="60">
        <f t="shared" si="156"/>
        <v>82.434879813357327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projet'!$B$16,Paramètres!$A$1:$I$89,3,0)*0.475*44/12</f>
        <v>0</v>
      </c>
      <c r="FR160" s="23">
        <f>EXP(-LN(2)/25)*FR159+(1-EXP(-LN(2)/25))/(LN(2)/25)*Calculateur!FM160*Calculateur!FO160*VLOOKUP('Données projet'!$B$16,Paramètres!$A$1:$I$89,3,0)*0.475*44/12</f>
        <v>0</v>
      </c>
      <c r="FS160" s="23">
        <f>EXP(-LN(2)/2)*FS159+(1-EXP(-LN(2)/2))/(LN(2)/2)*FM160*FP160*VLOOKUP('Données projet'!$B$16,Paramètres!$A$1:$I$89,3,0)*0.475*44/12</f>
        <v>0</v>
      </c>
      <c r="FT160" s="24">
        <f t="shared" si="184"/>
        <v>0</v>
      </c>
      <c r="FU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1.0231815394945443E-12</v>
      </c>
      <c r="GA160" s="18">
        <f>FZ160*VLOOKUP('Données projet'!$B$17,Paramètres!$A$1:$I$89,3,0)*VLOOKUP('Données projet'!$B$17,Paramètres!$A$1:$I$89,5,0)</f>
        <v>4.5224624045658859E-13</v>
      </c>
      <c r="GB160" s="14">
        <f t="shared" si="185"/>
        <v>5.6995607121061449E-12</v>
      </c>
      <c r="GC160" s="22">
        <f t="shared" si="186"/>
        <v>1.0714397109046761E-11</v>
      </c>
      <c r="GD160" s="60">
        <f t="shared" si="134"/>
        <v>293.333333333344</v>
      </c>
      <c r="GE160" s="60">
        <f ca="1">AVERAGE(OFFSET($GD$3,0,0,'Données projet'!$E$17+1,1))-AVERAGE(OFFSET($H$3,0,0,'Données projet'!$E$17+1,1))</f>
        <v>323.56667371063662</v>
      </c>
      <c r="GF160" s="60">
        <f t="shared" si="158"/>
        <v>275.70373467723385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>
        <f>EXP(-LN(2)/35)*GL159+(1-EXP(-LN(2)/35))/(LN(2)/35)*GH160*GI160*VLOOKUP('Données projet'!$B$17,Paramètres!$A$1:$I$89,3,0)*0.475*44/12</f>
        <v>0</v>
      </c>
      <c r="GM160" s="23">
        <f>EXP(-LN(2)/25)*GM159+(1-EXP(-LN(2)/25))/(LN(2)/25)*Calculateur!GH160*Calculateur!GJ160*VLOOKUP('Données projet'!$B$17,Paramètres!$A$1:$I$89,3,0)*0.475*44/12</f>
        <v>0</v>
      </c>
      <c r="GN160" s="23">
        <f>EXP(-LN(2)/2)*GN159+(1-EXP(-LN(2)/2))/(LN(2)/2)*GH160*GK160*VLOOKUP('Données projet'!$B$17,Paramètres!$A$1:$I$89,3,0)*0.475*44/12</f>
        <v>0</v>
      </c>
      <c r="GO160" s="23">
        <f t="shared" si="187"/>
        <v>0</v>
      </c>
      <c r="GP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0" t="e">
        <f t="shared" si="137"/>
        <v>#N/A</v>
      </c>
      <c r="GZ160" s="60" t="e">
        <f ca="1">AVERAGE(OFFSET($GY$3,0,0,'Données projet'!$E$18+1,1))-AVERAGE(OFFSET($H$3,0,0,'Données projet'!$E$18+1,1))</f>
        <v>#N/A</v>
      </c>
      <c r="HA160" s="60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4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2">
        <f t="shared" si="140"/>
        <v>23.662949996567761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-1.1368683772161603E-13</v>
      </c>
      <c r="O161" s="14">
        <f>N161*VLOOKUP('Données projet'!$B$9,Paramètres!$A$1:$I$89,3,0)*VLOOKUP('Données projet'!$B$9,Paramètres!$A$1:$I$89,5,0)</f>
        <v>-6.7984728957526396E-14</v>
      </c>
      <c r="P161" s="14" t="e">
        <f t="shared" si="141"/>
        <v>#NUM!</v>
      </c>
      <c r="Q161" s="22" t="e">
        <f t="shared" si="162"/>
        <v>#NUM!</v>
      </c>
      <c r="R161" s="60" t="e">
        <f t="shared" si="109"/>
        <v>#NUM!</v>
      </c>
      <c r="S161" s="60">
        <f ca="1">AVERAGE(OFFSET($R$3,0,0,'Données projet'!$E$9+1,1))-AVERAGE(OFFSET($H$3,0,0,'Données projet'!$E$9+1,1))</f>
        <v>235.63766249714581</v>
      </c>
      <c r="T161" s="60">
        <f t="shared" si="142"/>
        <v>231.3297293785277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0.90948060039048839</v>
      </c>
      <c r="AA161" s="23">
        <f>EXP(-LN(2)/25)*AA160+(1-EXP(-LN(2)/25))/(LN(2)/25)*Calculateur!V161*Calculateur!X161*VLOOKUP('Données projet'!$B$9,Paramètres!$A$1:$I$89,3,0)*0.475*44/12</f>
        <v>0.49715876367184592</v>
      </c>
      <c r="AB161" s="23">
        <f>EXP(-LN(2)/2)*AB160+(1-EXP(-LN(2)/2))/(LN(2)/2)*V161*Y161*VLOOKUP('Données projet'!$B$9,Paramètres!$A$1:$I$89,3,0)*0.475*44/12</f>
        <v>3.8556571796512454E-19</v>
      </c>
      <c r="AC161" s="24">
        <f t="shared" si="163"/>
        <v>1.4066393640623343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-9.6633812063373625E-13</v>
      </c>
      <c r="AJ161" s="14">
        <f>AI161*VLOOKUP('Données projet'!$B$10,Paramètres!$A$1:$I$89,3,0)*VLOOKUP('Données projet'!$B$10,Paramètres!$A$1:$I$89,5,0)</f>
        <v>-9.7986685432260874E-13</v>
      </c>
      <c r="AK161" s="14" t="e">
        <f t="shared" si="164"/>
        <v>#NUM!</v>
      </c>
      <c r="AL161" s="22" t="e">
        <f t="shared" si="165"/>
        <v>#NUM!</v>
      </c>
      <c r="AM161" s="60" t="e">
        <f t="shared" si="113"/>
        <v>#NUM!</v>
      </c>
      <c r="AN161" s="60">
        <f ca="1">AVERAGE(OFFSET($AM$3,0,0,'Données projet'!$E$10+1,1))-AVERAGE(OFFSET($H$3,0,0,'Données projet'!$E$10+1,1))</f>
        <v>350.3652766444938</v>
      </c>
      <c r="AO161" s="60">
        <f t="shared" si="144"/>
        <v>197.04549436738586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6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-9.6633812063373625E-13</v>
      </c>
      <c r="BE161" s="14">
        <f>BD161*VLOOKUP('Données projet'!$B$11,Paramètres!$A$1:$I$89,3,0)*VLOOKUP('Données projet'!$B$11,Paramètres!$A$1:$I$89,5,0)</f>
        <v>-9.3464223027694966E-13</v>
      </c>
      <c r="BF161" s="14" t="e">
        <f t="shared" si="167"/>
        <v>#NUM!</v>
      </c>
      <c r="BG161" s="22" t="e">
        <f t="shared" si="168"/>
        <v>#NUM!</v>
      </c>
      <c r="BH161" s="60" t="e">
        <f t="shared" si="116"/>
        <v>#NUM!</v>
      </c>
      <c r="BI161" s="60">
        <f ca="1">AVERAGE(OFFSET($BH$3,0,0,'Données projet'!$E$11+1,1))-AVERAGE(OFFSET($H$3,0,0,'Données projet'!$E$11+1,1))</f>
        <v>330.39429528665841</v>
      </c>
      <c r="BJ161" s="60">
        <f t="shared" si="146"/>
        <v>186.45728006007261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1.7053025658242404E-13</v>
      </c>
      <c r="BZ161" s="14">
        <f>BY161*VLOOKUP('Données projet'!$B$12,Paramètres!$A$1:$I$89,3,0)*VLOOKUP('Données projet'!$B$12,Paramètres!$A$1:$I$89,5,0)</f>
        <v>1.1439169611549005E-13</v>
      </c>
      <c r="CA161" s="14">
        <f t="shared" si="170"/>
        <v>1.6918016515029816E-12</v>
      </c>
      <c r="CB161" s="22">
        <f t="shared" si="171"/>
        <v>3.1457867471021712E-12</v>
      </c>
      <c r="CC161" s="60">
        <f t="shared" si="119"/>
        <v>293.33333333333644</v>
      </c>
      <c r="CD161" s="60">
        <f ca="1">AVERAGE(OFFSET($CC$3,0,0,'Données projet'!$E$12+1,1))-AVERAGE(OFFSET($H$3,0,0,'Données projet'!$E$12+1,1))</f>
        <v>212.33913923444732</v>
      </c>
      <c r="CE161" s="60">
        <f t="shared" si="148"/>
        <v>183.51194426094372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-3.979039320256561E-13</v>
      </c>
      <c r="CU161" s="18">
        <f>CT161*VLOOKUP('Données projet'!$B$13,Paramètres!$A$1:$I$89,3,0)*VLOOKUP('Données projet'!$B$13,Paramètres!$A$1:$I$89,5,0)</f>
        <v>-3.4760887501761321E-13</v>
      </c>
      <c r="CV161" s="14" t="e">
        <f t="shared" si="173"/>
        <v>#NUM!</v>
      </c>
      <c r="CW161" s="22" t="e">
        <f t="shared" si="174"/>
        <v>#NUM!</v>
      </c>
      <c r="CX161" s="60" t="e">
        <f t="shared" si="122"/>
        <v>#NUM!</v>
      </c>
      <c r="CY161" s="60">
        <f ca="1">AVERAGE(OFFSET($CX$3,0,0,'Données projet'!$E$13+1,1))-AVERAGE(OFFSET($H$3,0,0,'Données projet'!$E$13+1,1))</f>
        <v>228.0393346366489</v>
      </c>
      <c r="CZ161" s="60">
        <f t="shared" si="150"/>
        <v>238.591781509447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-9.6633812063373625E-13</v>
      </c>
      <c r="DP161" s="18">
        <f>DO161*VLOOKUP('Données projet'!$B$14,Paramètres!$A$1:$I$89,3,0)*VLOOKUP('Données projet'!$B$14,Paramètres!$A$1:$I$89,5,0)</f>
        <v>-8.7434273154940449E-13</v>
      </c>
      <c r="DQ161" s="14" t="e">
        <f t="shared" si="176"/>
        <v>#NUM!</v>
      </c>
      <c r="DR161" s="22" t="e">
        <f t="shared" si="177"/>
        <v>#NUM!</v>
      </c>
      <c r="DS161" s="60" t="e">
        <f t="shared" si="125"/>
        <v>#NUM!</v>
      </c>
      <c r="DT161" s="60">
        <f ca="1">AVERAGE(OFFSET($DS$3,0,0,'Données projet'!$E$14+1,1))-AVERAGE(OFFSET($H$3,0,0,'Données projet'!$E$14+1,1))</f>
        <v>303.73499739059076</v>
      </c>
      <c r="DU161" s="60">
        <f t="shared" si="152"/>
        <v>172.32171001882188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1.1368683772161603E-13</v>
      </c>
      <c r="EK161" s="18">
        <f>EJ161*VLOOKUP('Données projet'!$B$15,Paramètres!$A$1:$I$89,3,0)*VLOOKUP('Données projet'!$B$15,Paramètres!$A$1:$I$89,5,0)</f>
        <v>6.7984728957526396E-14</v>
      </c>
      <c r="EL161" s="14">
        <f t="shared" si="179"/>
        <v>1.0682447123141398E-12</v>
      </c>
      <c r="EM161" s="22">
        <f t="shared" si="180"/>
        <v>1.978932943548152E-12</v>
      </c>
      <c r="EN161" s="60">
        <f t="shared" si="128"/>
        <v>293.3333333333353</v>
      </c>
      <c r="EO161" s="60">
        <f ca="1">AVERAGE(OFFSET($EN$3,0,0,'Données projet'!$E$15+1,1))-AVERAGE(OFFSET($H$3,0,0,'Données projet'!$E$15+1,1))</f>
        <v>269.94948820700841</v>
      </c>
      <c r="EP161" s="60">
        <f t="shared" si="154"/>
        <v>183.45158355135192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0.39265289948144777</v>
      </c>
      <c r="EX161" s="23">
        <f>EXP(-LN(2)/2)*EX160+(1-EXP(-LN(2)/2))/(LN(2)/2)*ER161*EU161*VLOOKUP('Données projet'!$B$15,Paramètres!$A$1:$I$89,3,0)*0.475*44/12</f>
        <v>3.0563831009700942E-19</v>
      </c>
      <c r="EY161" s="24">
        <f t="shared" si="181"/>
        <v>0.39265289948144777</v>
      </c>
      <c r="EZ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>
        <f>FE161*VLOOKUP('Données projet'!$B$16,Paramètres!$A$1:$I$89,3,0)*VLOOKUP('Données projet'!$B$16,Paramètres!$A$1:$I$89,5,0)</f>
        <v>0</v>
      </c>
      <c r="FG161" s="14" t="e">
        <f t="shared" si="182"/>
        <v>#NUM!</v>
      </c>
      <c r="FH161" s="22" t="e">
        <f t="shared" si="183"/>
        <v>#NUM!</v>
      </c>
      <c r="FI161" s="60" t="e">
        <f t="shared" si="131"/>
        <v>#NUM!</v>
      </c>
      <c r="FJ161" s="60">
        <f ca="1">AVERAGE(OFFSET($FI$3,0,0,'Données projet'!$E$16+1,1))-AVERAGE(OFFSET($H$3,0,0,'Données projet'!$E$16+1,1))</f>
        <v>111.24788725253484</v>
      </c>
      <c r="FK161" s="60">
        <f t="shared" si="156"/>
        <v>82.434879813357327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projet'!$B$16,Paramètres!$A$1:$I$89,3,0)*0.475*44/12</f>
        <v>0</v>
      </c>
      <c r="FR161" s="23">
        <f>EXP(-LN(2)/25)*FR160+(1-EXP(-LN(2)/25))/(LN(2)/25)*Calculateur!FM161*Calculateur!FO161*VLOOKUP('Données projet'!$B$16,Paramètres!$A$1:$I$89,3,0)*0.475*44/12</f>
        <v>0</v>
      </c>
      <c r="FS161" s="23">
        <f>EXP(-LN(2)/2)*FS160+(1-EXP(-LN(2)/2))/(LN(2)/2)*FM161*FP161*VLOOKUP('Données projet'!$B$16,Paramètres!$A$1:$I$89,3,0)*0.475*44/12</f>
        <v>0</v>
      </c>
      <c r="FT161" s="24">
        <f t="shared" si="184"/>
        <v>0</v>
      </c>
      <c r="FU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1.0231815394945443E-12</v>
      </c>
      <c r="GA161" s="18">
        <f>FZ161*VLOOKUP('Données projet'!$B$17,Paramètres!$A$1:$I$89,3,0)*VLOOKUP('Données projet'!$B$17,Paramètres!$A$1:$I$89,5,0)</f>
        <v>4.5224624045658859E-13</v>
      </c>
      <c r="GB161" s="14">
        <f t="shared" si="185"/>
        <v>5.6995607121061449E-12</v>
      </c>
      <c r="GC161" s="22">
        <f t="shared" si="186"/>
        <v>1.0714397109046761E-11</v>
      </c>
      <c r="GD161" s="60">
        <f t="shared" si="134"/>
        <v>293.333333333344</v>
      </c>
      <c r="GE161" s="60">
        <f ca="1">AVERAGE(OFFSET($GD$3,0,0,'Données projet'!$E$17+1,1))-AVERAGE(OFFSET($H$3,0,0,'Données projet'!$E$17+1,1))</f>
        <v>323.56667371063662</v>
      </c>
      <c r="GF161" s="60">
        <f t="shared" si="158"/>
        <v>275.70373467723385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>
        <f>EXP(-LN(2)/35)*GL160+(1-EXP(-LN(2)/35))/(LN(2)/35)*GH161*GI161*VLOOKUP('Données projet'!$B$17,Paramètres!$A$1:$I$89,3,0)*0.475*44/12</f>
        <v>0</v>
      </c>
      <c r="GM161" s="23">
        <f>EXP(-LN(2)/25)*GM160+(1-EXP(-LN(2)/25))/(LN(2)/25)*Calculateur!GH161*Calculateur!GJ161*VLOOKUP('Données projet'!$B$17,Paramètres!$A$1:$I$89,3,0)*0.475*44/12</f>
        <v>0</v>
      </c>
      <c r="GN161" s="23">
        <f>EXP(-LN(2)/2)*GN160+(1-EXP(-LN(2)/2))/(LN(2)/2)*GH161*GK161*VLOOKUP('Données projet'!$B$17,Paramètres!$A$1:$I$89,3,0)*0.475*44/12</f>
        <v>0</v>
      </c>
      <c r="GO161" s="23">
        <f t="shared" si="187"/>
        <v>0</v>
      </c>
      <c r="GP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0" t="e">
        <f t="shared" si="137"/>
        <v>#N/A</v>
      </c>
      <c r="GZ161" s="60" t="e">
        <f ca="1">AVERAGE(OFFSET($GY$3,0,0,'Données projet'!$E$18+1,1))-AVERAGE(OFFSET($H$3,0,0,'Données projet'!$E$18+1,1))</f>
        <v>#N/A</v>
      </c>
      <c r="HA161" s="60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4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2">
        <f t="shared" si="140"/>
        <v>23.795234166993069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-1.1368683772161603E-13</v>
      </c>
      <c r="O162" s="14">
        <f>N162*VLOOKUP('Données projet'!$B$9,Paramètres!$A$1:$I$89,3,0)*VLOOKUP('Données projet'!$B$9,Paramètres!$A$1:$I$89,5,0)</f>
        <v>-6.7984728957526396E-14</v>
      </c>
      <c r="P162" s="14" t="e">
        <f t="shared" si="141"/>
        <v>#NUM!</v>
      </c>
      <c r="Q162" s="22" t="e">
        <f t="shared" si="162"/>
        <v>#NUM!</v>
      </c>
      <c r="R162" s="60" t="e">
        <f t="shared" si="109"/>
        <v>#NUM!</v>
      </c>
      <c r="S162" s="60">
        <f ca="1">AVERAGE(OFFSET($R$3,0,0,'Données projet'!$E$9+1,1))-AVERAGE(OFFSET($H$3,0,0,'Données projet'!$E$9+1,1))</f>
        <v>235.63766249714581</v>
      </c>
      <c r="T162" s="60">
        <f t="shared" si="142"/>
        <v>231.3297293785277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0.89164624054522224</v>
      </c>
      <c r="AA162" s="23">
        <f>EXP(-LN(2)/25)*AA161+(1-EXP(-LN(2)/25))/(LN(2)/25)*Calculateur!V162*Calculateur!X162*VLOOKUP('Données projet'!$B$9,Paramètres!$A$1:$I$89,3,0)*0.475*44/12</f>
        <v>0.48356393113479618</v>
      </c>
      <c r="AB162" s="23">
        <f>EXP(-LN(2)/2)*AB161+(1-EXP(-LN(2)/2))/(LN(2)/2)*V162*Y162*VLOOKUP('Données projet'!$B$9,Paramètres!$A$1:$I$89,3,0)*0.475*44/12</f>
        <v>2.7263613376619941E-19</v>
      </c>
      <c r="AC162" s="24">
        <f t="shared" si="163"/>
        <v>1.3752101716800185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-9.6633812063373625E-13</v>
      </c>
      <c r="AJ162" s="14">
        <f>AI162*VLOOKUP('Données projet'!$B$10,Paramètres!$A$1:$I$89,3,0)*VLOOKUP('Données projet'!$B$10,Paramètres!$A$1:$I$89,5,0)</f>
        <v>-9.7986685432260874E-13</v>
      </c>
      <c r="AK162" s="14" t="e">
        <f t="shared" si="164"/>
        <v>#NUM!</v>
      </c>
      <c r="AL162" s="22" t="e">
        <f t="shared" si="165"/>
        <v>#NUM!</v>
      </c>
      <c r="AM162" s="60" t="e">
        <f t="shared" si="113"/>
        <v>#NUM!</v>
      </c>
      <c r="AN162" s="60">
        <f ca="1">AVERAGE(OFFSET($AM$3,0,0,'Données projet'!$E$10+1,1))-AVERAGE(OFFSET($H$3,0,0,'Données projet'!$E$10+1,1))</f>
        <v>350.3652766444938</v>
      </c>
      <c r="AO162" s="60">
        <f t="shared" si="144"/>
        <v>197.04549436738586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6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-9.6633812063373625E-13</v>
      </c>
      <c r="BE162" s="14">
        <f>BD162*VLOOKUP('Données projet'!$B$11,Paramètres!$A$1:$I$89,3,0)*VLOOKUP('Données projet'!$B$11,Paramètres!$A$1:$I$89,5,0)</f>
        <v>-9.3464223027694966E-13</v>
      </c>
      <c r="BF162" s="14" t="e">
        <f t="shared" si="167"/>
        <v>#NUM!</v>
      </c>
      <c r="BG162" s="22" t="e">
        <f t="shared" si="168"/>
        <v>#NUM!</v>
      </c>
      <c r="BH162" s="60" t="e">
        <f t="shared" si="116"/>
        <v>#NUM!</v>
      </c>
      <c r="BI162" s="60">
        <f ca="1">AVERAGE(OFFSET($BH$3,0,0,'Données projet'!$E$11+1,1))-AVERAGE(OFFSET($H$3,0,0,'Données projet'!$E$11+1,1))</f>
        <v>330.39429528665841</v>
      </c>
      <c r="BJ162" s="60">
        <f t="shared" si="146"/>
        <v>186.45728006007261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1.7053025658242404E-13</v>
      </c>
      <c r="BZ162" s="14">
        <f>BY162*VLOOKUP('Données projet'!$B$12,Paramètres!$A$1:$I$89,3,0)*VLOOKUP('Données projet'!$B$12,Paramètres!$A$1:$I$89,5,0)</f>
        <v>1.1439169611549005E-13</v>
      </c>
      <c r="CA162" s="14">
        <f t="shared" si="170"/>
        <v>1.6918016515029816E-12</v>
      </c>
      <c r="CB162" s="22">
        <f t="shared" si="171"/>
        <v>3.1457867471021712E-12</v>
      </c>
      <c r="CC162" s="60">
        <f t="shared" si="119"/>
        <v>293.33333333333644</v>
      </c>
      <c r="CD162" s="60">
        <f ca="1">AVERAGE(OFFSET($CC$3,0,0,'Données projet'!$E$12+1,1))-AVERAGE(OFFSET($H$3,0,0,'Données projet'!$E$12+1,1))</f>
        <v>212.33913923444732</v>
      </c>
      <c r="CE162" s="60">
        <f t="shared" si="148"/>
        <v>183.51194426094372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-3.979039320256561E-13</v>
      </c>
      <c r="CU162" s="18">
        <f>CT162*VLOOKUP('Données projet'!$B$13,Paramètres!$A$1:$I$89,3,0)*VLOOKUP('Données projet'!$B$13,Paramètres!$A$1:$I$89,5,0)</f>
        <v>-3.4760887501761321E-13</v>
      </c>
      <c r="CV162" s="14" t="e">
        <f t="shared" si="173"/>
        <v>#NUM!</v>
      </c>
      <c r="CW162" s="22" t="e">
        <f t="shared" si="174"/>
        <v>#NUM!</v>
      </c>
      <c r="CX162" s="60" t="e">
        <f t="shared" si="122"/>
        <v>#NUM!</v>
      </c>
      <c r="CY162" s="60">
        <f ca="1">AVERAGE(OFFSET($CX$3,0,0,'Données projet'!$E$13+1,1))-AVERAGE(OFFSET($H$3,0,0,'Données projet'!$E$13+1,1))</f>
        <v>228.0393346366489</v>
      </c>
      <c r="CZ162" s="60">
        <f t="shared" si="150"/>
        <v>238.591781509447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-9.6633812063373625E-13</v>
      </c>
      <c r="DP162" s="18">
        <f>DO162*VLOOKUP('Données projet'!$B$14,Paramètres!$A$1:$I$89,3,0)*VLOOKUP('Données projet'!$B$14,Paramètres!$A$1:$I$89,5,0)</f>
        <v>-8.7434273154940449E-13</v>
      </c>
      <c r="DQ162" s="14" t="e">
        <f t="shared" si="176"/>
        <v>#NUM!</v>
      </c>
      <c r="DR162" s="22" t="e">
        <f t="shared" si="177"/>
        <v>#NUM!</v>
      </c>
      <c r="DS162" s="60" t="e">
        <f t="shared" si="125"/>
        <v>#NUM!</v>
      </c>
      <c r="DT162" s="60">
        <f ca="1">AVERAGE(OFFSET($DS$3,0,0,'Données projet'!$E$14+1,1))-AVERAGE(OFFSET($H$3,0,0,'Données projet'!$E$14+1,1))</f>
        <v>303.73499739059076</v>
      </c>
      <c r="DU162" s="60">
        <f t="shared" si="152"/>
        <v>172.32171001882188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1.1368683772161603E-13</v>
      </c>
      <c r="EK162" s="18">
        <f>EJ162*VLOOKUP('Données projet'!$B$15,Paramètres!$A$1:$I$89,3,0)*VLOOKUP('Données projet'!$B$15,Paramètres!$A$1:$I$89,5,0)</f>
        <v>6.7984728957526396E-14</v>
      </c>
      <c r="EL162" s="14">
        <f t="shared" si="179"/>
        <v>1.0682447123141398E-12</v>
      </c>
      <c r="EM162" s="22">
        <f t="shared" si="180"/>
        <v>1.978932943548152E-12</v>
      </c>
      <c r="EN162" s="60">
        <f t="shared" si="128"/>
        <v>293.3333333333353</v>
      </c>
      <c r="EO162" s="60">
        <f ca="1">AVERAGE(OFFSET($EN$3,0,0,'Données projet'!$E$15+1,1))-AVERAGE(OFFSET($H$3,0,0,'Données projet'!$E$15+1,1))</f>
        <v>269.94948820700841</v>
      </c>
      <c r="EP162" s="60">
        <f t="shared" si="154"/>
        <v>183.45158355135192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0.38191578529640902</v>
      </c>
      <c r="EX162" s="23">
        <f>EXP(-LN(2)/2)*EX161+(1-EXP(-LN(2)/2))/(LN(2)/2)*ER162*EU162*VLOOKUP('Données projet'!$B$15,Paramètres!$A$1:$I$89,3,0)*0.475*44/12</f>
        <v>2.1611892165999222E-19</v>
      </c>
      <c r="EY162" s="24">
        <f t="shared" si="181"/>
        <v>0.38191578529640902</v>
      </c>
      <c r="EZ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>
        <f>FE162*VLOOKUP('Données projet'!$B$16,Paramètres!$A$1:$I$89,3,0)*VLOOKUP('Données projet'!$B$16,Paramètres!$A$1:$I$89,5,0)</f>
        <v>0</v>
      </c>
      <c r="FG162" s="14" t="e">
        <f t="shared" si="182"/>
        <v>#NUM!</v>
      </c>
      <c r="FH162" s="22" t="e">
        <f t="shared" si="183"/>
        <v>#NUM!</v>
      </c>
      <c r="FI162" s="60" t="e">
        <f t="shared" si="131"/>
        <v>#NUM!</v>
      </c>
      <c r="FJ162" s="60">
        <f ca="1">AVERAGE(OFFSET($FI$3,0,0,'Données projet'!$E$16+1,1))-AVERAGE(OFFSET($H$3,0,0,'Données projet'!$E$16+1,1))</f>
        <v>111.24788725253484</v>
      </c>
      <c r="FK162" s="60">
        <f t="shared" si="156"/>
        <v>82.434879813357327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projet'!$B$16,Paramètres!$A$1:$I$89,3,0)*0.475*44/12</f>
        <v>0</v>
      </c>
      <c r="FR162" s="23">
        <f>EXP(-LN(2)/25)*FR161+(1-EXP(-LN(2)/25))/(LN(2)/25)*Calculateur!FM162*Calculateur!FO162*VLOOKUP('Données projet'!$B$16,Paramètres!$A$1:$I$89,3,0)*0.475*44/12</f>
        <v>0</v>
      </c>
      <c r="FS162" s="23">
        <f>EXP(-LN(2)/2)*FS161+(1-EXP(-LN(2)/2))/(LN(2)/2)*FM162*FP162*VLOOKUP('Données projet'!$B$16,Paramètres!$A$1:$I$89,3,0)*0.475*44/12</f>
        <v>0</v>
      </c>
      <c r="FT162" s="24">
        <f t="shared" si="184"/>
        <v>0</v>
      </c>
      <c r="FU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1.0231815394945443E-12</v>
      </c>
      <c r="GA162" s="18">
        <f>FZ162*VLOOKUP('Données projet'!$B$17,Paramètres!$A$1:$I$89,3,0)*VLOOKUP('Données projet'!$B$17,Paramètres!$A$1:$I$89,5,0)</f>
        <v>4.5224624045658859E-13</v>
      </c>
      <c r="GB162" s="14">
        <f t="shared" si="185"/>
        <v>5.6995607121061449E-12</v>
      </c>
      <c r="GC162" s="22">
        <f t="shared" si="186"/>
        <v>1.0714397109046761E-11</v>
      </c>
      <c r="GD162" s="60">
        <f t="shared" si="134"/>
        <v>293.333333333344</v>
      </c>
      <c r="GE162" s="60">
        <f ca="1">AVERAGE(OFFSET($GD$3,0,0,'Données projet'!$E$17+1,1))-AVERAGE(OFFSET($H$3,0,0,'Données projet'!$E$17+1,1))</f>
        <v>323.56667371063662</v>
      </c>
      <c r="GF162" s="60">
        <f t="shared" si="158"/>
        <v>275.70373467723385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>
        <f>EXP(-LN(2)/35)*GL161+(1-EXP(-LN(2)/35))/(LN(2)/35)*GH162*GI162*VLOOKUP('Données projet'!$B$17,Paramètres!$A$1:$I$89,3,0)*0.475*44/12</f>
        <v>0</v>
      </c>
      <c r="GM162" s="23">
        <f>EXP(-LN(2)/25)*GM161+(1-EXP(-LN(2)/25))/(LN(2)/25)*Calculateur!GH162*Calculateur!GJ162*VLOOKUP('Données projet'!$B$17,Paramètres!$A$1:$I$89,3,0)*0.475*44/12</f>
        <v>0</v>
      </c>
      <c r="GN162" s="23">
        <f>EXP(-LN(2)/2)*GN161+(1-EXP(-LN(2)/2))/(LN(2)/2)*GH162*GK162*VLOOKUP('Données projet'!$B$17,Paramètres!$A$1:$I$89,3,0)*0.475*44/12</f>
        <v>0</v>
      </c>
      <c r="GO162" s="23">
        <f t="shared" si="187"/>
        <v>0</v>
      </c>
      <c r="GP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0" t="e">
        <f t="shared" si="137"/>
        <v>#N/A</v>
      </c>
      <c r="GZ162" s="60" t="e">
        <f ca="1">AVERAGE(OFFSET($GY$3,0,0,'Données projet'!$E$18+1,1))-AVERAGE(OFFSET($H$3,0,0,'Données projet'!$E$18+1,1))</f>
        <v>#N/A</v>
      </c>
      <c r="HA162" s="60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4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2">
        <f t="shared" si="140"/>
        <v>23.927421530185995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-1.1368683772161603E-13</v>
      </c>
      <c r="O163" s="14">
        <f>N163*VLOOKUP('Données projet'!$B$9,Paramètres!$A$1:$I$89,3,0)*VLOOKUP('Données projet'!$B$9,Paramètres!$A$1:$I$89,5,0)</f>
        <v>-6.7984728957526396E-14</v>
      </c>
      <c r="P163" s="14" t="e">
        <f t="shared" si="141"/>
        <v>#NUM!</v>
      </c>
      <c r="Q163" s="22" t="e">
        <f t="shared" si="162"/>
        <v>#NUM!</v>
      </c>
      <c r="R163" s="60" t="e">
        <f t="shared" si="109"/>
        <v>#NUM!</v>
      </c>
      <c r="S163" s="60">
        <f ca="1">AVERAGE(OFFSET($R$3,0,0,'Données projet'!$E$9+1,1))-AVERAGE(OFFSET($H$3,0,0,'Données projet'!$E$9+1,1))</f>
        <v>235.63766249714581</v>
      </c>
      <c r="T163" s="60">
        <f t="shared" si="142"/>
        <v>231.3297293785277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0.87416160161863643</v>
      </c>
      <c r="AA163" s="23">
        <f>EXP(-LN(2)/25)*AA162+(1-EXP(-LN(2)/25))/(LN(2)/25)*Calculateur!V163*Calculateur!X163*VLOOKUP('Données projet'!$B$9,Paramètres!$A$1:$I$89,3,0)*0.475*44/12</f>
        <v>0.47034085000839326</v>
      </c>
      <c r="AB163" s="23">
        <f>EXP(-LN(2)/2)*AB162+(1-EXP(-LN(2)/2))/(LN(2)/2)*V163*Y163*VLOOKUP('Données projet'!$B$9,Paramètres!$A$1:$I$89,3,0)*0.475*44/12</f>
        <v>1.9278285898256227E-19</v>
      </c>
      <c r="AC163" s="24">
        <f t="shared" si="163"/>
        <v>1.3445024516270296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-9.6633812063373625E-13</v>
      </c>
      <c r="AJ163" s="14">
        <f>AI163*VLOOKUP('Données projet'!$B$10,Paramètres!$A$1:$I$89,3,0)*VLOOKUP('Données projet'!$B$10,Paramètres!$A$1:$I$89,5,0)</f>
        <v>-9.7986685432260874E-13</v>
      </c>
      <c r="AK163" s="14" t="e">
        <f t="shared" si="164"/>
        <v>#NUM!</v>
      </c>
      <c r="AL163" s="22" t="e">
        <f t="shared" si="165"/>
        <v>#NUM!</v>
      </c>
      <c r="AM163" s="60" t="e">
        <f t="shared" si="113"/>
        <v>#NUM!</v>
      </c>
      <c r="AN163" s="60">
        <f ca="1">AVERAGE(OFFSET($AM$3,0,0,'Données projet'!$E$10+1,1))-AVERAGE(OFFSET($H$3,0,0,'Données projet'!$E$10+1,1))</f>
        <v>350.3652766444938</v>
      </c>
      <c r="AO163" s="60">
        <f t="shared" si="144"/>
        <v>197.04549436738586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6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-9.6633812063373625E-13</v>
      </c>
      <c r="BE163" s="14">
        <f>BD163*VLOOKUP('Données projet'!$B$11,Paramètres!$A$1:$I$89,3,0)*VLOOKUP('Données projet'!$B$11,Paramètres!$A$1:$I$89,5,0)</f>
        <v>-9.3464223027694966E-13</v>
      </c>
      <c r="BF163" s="14" t="e">
        <f t="shared" si="167"/>
        <v>#NUM!</v>
      </c>
      <c r="BG163" s="22" t="e">
        <f t="shared" si="168"/>
        <v>#NUM!</v>
      </c>
      <c r="BH163" s="60" t="e">
        <f t="shared" si="116"/>
        <v>#NUM!</v>
      </c>
      <c r="BI163" s="60">
        <f ca="1">AVERAGE(OFFSET($BH$3,0,0,'Données projet'!$E$11+1,1))-AVERAGE(OFFSET($H$3,0,0,'Données projet'!$E$11+1,1))</f>
        <v>330.39429528665841</v>
      </c>
      <c r="BJ163" s="60">
        <f t="shared" si="146"/>
        <v>186.45728006007261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1.7053025658242404E-13</v>
      </c>
      <c r="BZ163" s="14">
        <f>BY163*VLOOKUP('Données projet'!$B$12,Paramètres!$A$1:$I$89,3,0)*VLOOKUP('Données projet'!$B$12,Paramètres!$A$1:$I$89,5,0)</f>
        <v>1.1439169611549005E-13</v>
      </c>
      <c r="CA163" s="14">
        <f t="shared" si="170"/>
        <v>1.6918016515029816E-12</v>
      </c>
      <c r="CB163" s="22">
        <f t="shared" si="171"/>
        <v>3.1457867471021712E-12</v>
      </c>
      <c r="CC163" s="60">
        <f t="shared" si="119"/>
        <v>293.33333333333644</v>
      </c>
      <c r="CD163" s="60">
        <f ca="1">AVERAGE(OFFSET($CC$3,0,0,'Données projet'!$E$12+1,1))-AVERAGE(OFFSET($H$3,0,0,'Données projet'!$E$12+1,1))</f>
        <v>212.33913923444732</v>
      </c>
      <c r="CE163" s="60">
        <f t="shared" si="148"/>
        <v>183.51194426094372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-3.979039320256561E-13</v>
      </c>
      <c r="CU163" s="18">
        <f>CT163*VLOOKUP('Données projet'!$B$13,Paramètres!$A$1:$I$89,3,0)*VLOOKUP('Données projet'!$B$13,Paramètres!$A$1:$I$89,5,0)</f>
        <v>-3.4760887501761321E-13</v>
      </c>
      <c r="CV163" s="14" t="e">
        <f t="shared" si="173"/>
        <v>#NUM!</v>
      </c>
      <c r="CW163" s="22" t="e">
        <f t="shared" si="174"/>
        <v>#NUM!</v>
      </c>
      <c r="CX163" s="60" t="e">
        <f t="shared" si="122"/>
        <v>#NUM!</v>
      </c>
      <c r="CY163" s="60">
        <f ca="1">AVERAGE(OFFSET($CX$3,0,0,'Données projet'!$E$13+1,1))-AVERAGE(OFFSET($H$3,0,0,'Données projet'!$E$13+1,1))</f>
        <v>228.0393346366489</v>
      </c>
      <c r="CZ163" s="60">
        <f t="shared" si="150"/>
        <v>238.591781509447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-9.6633812063373625E-13</v>
      </c>
      <c r="DP163" s="18">
        <f>DO163*VLOOKUP('Données projet'!$B$14,Paramètres!$A$1:$I$89,3,0)*VLOOKUP('Données projet'!$B$14,Paramètres!$A$1:$I$89,5,0)</f>
        <v>-8.7434273154940449E-13</v>
      </c>
      <c r="DQ163" s="14" t="e">
        <f t="shared" si="176"/>
        <v>#NUM!</v>
      </c>
      <c r="DR163" s="22" t="e">
        <f t="shared" si="177"/>
        <v>#NUM!</v>
      </c>
      <c r="DS163" s="60" t="e">
        <f t="shared" si="125"/>
        <v>#NUM!</v>
      </c>
      <c r="DT163" s="60">
        <f ca="1">AVERAGE(OFFSET($DS$3,0,0,'Données projet'!$E$14+1,1))-AVERAGE(OFFSET($H$3,0,0,'Données projet'!$E$14+1,1))</f>
        <v>303.73499739059076</v>
      </c>
      <c r="DU163" s="60">
        <f t="shared" si="152"/>
        <v>172.32171001882188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1.1368683772161603E-13</v>
      </c>
      <c r="EK163" s="18">
        <f>EJ163*VLOOKUP('Données projet'!$B$15,Paramètres!$A$1:$I$89,3,0)*VLOOKUP('Données projet'!$B$15,Paramètres!$A$1:$I$89,5,0)</f>
        <v>6.7984728957526396E-14</v>
      </c>
      <c r="EL163" s="14">
        <f t="shared" si="179"/>
        <v>1.0682447123141398E-12</v>
      </c>
      <c r="EM163" s="22">
        <f t="shared" si="180"/>
        <v>1.978932943548152E-12</v>
      </c>
      <c r="EN163" s="60">
        <f t="shared" si="128"/>
        <v>293.3333333333353</v>
      </c>
      <c r="EO163" s="60">
        <f ca="1">AVERAGE(OFFSET($EN$3,0,0,'Données projet'!$E$15+1,1))-AVERAGE(OFFSET($H$3,0,0,'Données projet'!$E$15+1,1))</f>
        <v>269.94948820700841</v>
      </c>
      <c r="EP163" s="60">
        <f t="shared" si="154"/>
        <v>183.45158355135192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0.37147227806340044</v>
      </c>
      <c r="EX163" s="23">
        <f>EXP(-LN(2)/2)*EX162+(1-EXP(-LN(2)/2))/(LN(2)/2)*ER163*EU163*VLOOKUP('Données projet'!$B$15,Paramètres!$A$1:$I$89,3,0)*0.475*44/12</f>
        <v>1.5281915504850473E-19</v>
      </c>
      <c r="EY163" s="24">
        <f t="shared" si="181"/>
        <v>0.37147227806340044</v>
      </c>
      <c r="EZ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>
        <f>FE163*VLOOKUP('Données projet'!$B$16,Paramètres!$A$1:$I$89,3,0)*VLOOKUP('Données projet'!$B$16,Paramètres!$A$1:$I$89,5,0)</f>
        <v>0</v>
      </c>
      <c r="FG163" s="14" t="e">
        <f t="shared" si="182"/>
        <v>#NUM!</v>
      </c>
      <c r="FH163" s="22" t="e">
        <f t="shared" si="183"/>
        <v>#NUM!</v>
      </c>
      <c r="FI163" s="60" t="e">
        <f t="shared" si="131"/>
        <v>#NUM!</v>
      </c>
      <c r="FJ163" s="60">
        <f ca="1">AVERAGE(OFFSET($FI$3,0,0,'Données projet'!$E$16+1,1))-AVERAGE(OFFSET($H$3,0,0,'Données projet'!$E$16+1,1))</f>
        <v>111.24788725253484</v>
      </c>
      <c r="FK163" s="60">
        <f t="shared" si="156"/>
        <v>82.434879813357327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projet'!$B$16,Paramètres!$A$1:$I$89,3,0)*0.475*44/12</f>
        <v>0</v>
      </c>
      <c r="FR163" s="23">
        <f>EXP(-LN(2)/25)*FR162+(1-EXP(-LN(2)/25))/(LN(2)/25)*Calculateur!FM163*Calculateur!FO163*VLOOKUP('Données projet'!$B$16,Paramètres!$A$1:$I$89,3,0)*0.475*44/12</f>
        <v>0</v>
      </c>
      <c r="FS163" s="23">
        <f>EXP(-LN(2)/2)*FS162+(1-EXP(-LN(2)/2))/(LN(2)/2)*FM163*FP163*VLOOKUP('Données projet'!$B$16,Paramètres!$A$1:$I$89,3,0)*0.475*44/12</f>
        <v>0</v>
      </c>
      <c r="FT163" s="24">
        <f t="shared" si="184"/>
        <v>0</v>
      </c>
      <c r="FU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1.0231815394945443E-12</v>
      </c>
      <c r="GA163" s="18">
        <f>FZ163*VLOOKUP('Données projet'!$B$17,Paramètres!$A$1:$I$89,3,0)*VLOOKUP('Données projet'!$B$17,Paramètres!$A$1:$I$89,5,0)</f>
        <v>4.5224624045658859E-13</v>
      </c>
      <c r="GB163" s="14">
        <f t="shared" si="185"/>
        <v>5.6995607121061449E-12</v>
      </c>
      <c r="GC163" s="22">
        <f t="shared" si="186"/>
        <v>1.0714397109046761E-11</v>
      </c>
      <c r="GD163" s="60">
        <f t="shared" si="134"/>
        <v>293.333333333344</v>
      </c>
      <c r="GE163" s="60">
        <f ca="1">AVERAGE(OFFSET($GD$3,0,0,'Données projet'!$E$17+1,1))-AVERAGE(OFFSET($H$3,0,0,'Données projet'!$E$17+1,1))</f>
        <v>323.56667371063662</v>
      </c>
      <c r="GF163" s="60">
        <f t="shared" si="158"/>
        <v>275.70373467723385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>
        <f>EXP(-LN(2)/35)*GL162+(1-EXP(-LN(2)/35))/(LN(2)/35)*GH163*GI163*VLOOKUP('Données projet'!$B$17,Paramètres!$A$1:$I$89,3,0)*0.475*44/12</f>
        <v>0</v>
      </c>
      <c r="GM163" s="23">
        <f>EXP(-LN(2)/25)*GM162+(1-EXP(-LN(2)/25))/(LN(2)/25)*Calculateur!GH163*Calculateur!GJ163*VLOOKUP('Données projet'!$B$17,Paramètres!$A$1:$I$89,3,0)*0.475*44/12</f>
        <v>0</v>
      </c>
      <c r="GN163" s="23">
        <f>EXP(-LN(2)/2)*GN162+(1-EXP(-LN(2)/2))/(LN(2)/2)*GH163*GK163*VLOOKUP('Données projet'!$B$17,Paramètres!$A$1:$I$89,3,0)*0.475*44/12</f>
        <v>0</v>
      </c>
      <c r="GO163" s="23">
        <f t="shared" si="187"/>
        <v>0</v>
      </c>
      <c r="GP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0" t="e">
        <f t="shared" si="137"/>
        <v>#N/A</v>
      </c>
      <c r="GZ163" s="60" t="e">
        <f ca="1">AVERAGE(OFFSET($GY$3,0,0,'Données projet'!$E$18+1,1))-AVERAGE(OFFSET($H$3,0,0,'Données projet'!$E$18+1,1))</f>
        <v>#N/A</v>
      </c>
      <c r="HA163" s="60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4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2">
        <f t="shared" si="140"/>
        <v>24.059512761382141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-1.1368683772161603E-13</v>
      </c>
      <c r="O164" s="14">
        <f>N164*VLOOKUP('Données projet'!$B$9,Paramètres!$A$1:$I$89,3,0)*VLOOKUP('Données projet'!$B$9,Paramètres!$A$1:$I$89,5,0)</f>
        <v>-6.7984728957526396E-14</v>
      </c>
      <c r="P164" s="14" t="e">
        <f t="shared" si="141"/>
        <v>#NUM!</v>
      </c>
      <c r="Q164" s="22" t="e">
        <f t="shared" si="162"/>
        <v>#NUM!</v>
      </c>
      <c r="R164" s="60" t="e">
        <f t="shared" si="109"/>
        <v>#NUM!</v>
      </c>
      <c r="S164" s="60">
        <f ca="1">AVERAGE(OFFSET($R$3,0,0,'Données projet'!$E$9+1,1))-AVERAGE(OFFSET($H$3,0,0,'Données projet'!$E$9+1,1))</f>
        <v>235.63766249714581</v>
      </c>
      <c r="T164" s="60">
        <f t="shared" si="142"/>
        <v>231.3297293785277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0.85701982579682423</v>
      </c>
      <c r="AA164" s="23">
        <f>EXP(-LN(2)/25)*AA163+(1-EXP(-LN(2)/25))/(LN(2)/25)*Calculateur!V164*Calculateur!X164*VLOOKUP('Données projet'!$B$9,Paramètres!$A$1:$I$89,3,0)*0.475*44/12</f>
        <v>0.4574793547307634</v>
      </c>
      <c r="AB164" s="23">
        <f>EXP(-LN(2)/2)*AB163+(1-EXP(-LN(2)/2))/(LN(2)/2)*V164*Y164*VLOOKUP('Données projet'!$B$9,Paramètres!$A$1:$I$89,3,0)*0.475*44/12</f>
        <v>1.3631806688309971E-19</v>
      </c>
      <c r="AC164" s="24">
        <f t="shared" si="163"/>
        <v>1.3144991805275876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-9.6633812063373625E-13</v>
      </c>
      <c r="AJ164" s="14">
        <f>AI164*VLOOKUP('Données projet'!$B$10,Paramètres!$A$1:$I$89,3,0)*VLOOKUP('Données projet'!$B$10,Paramètres!$A$1:$I$89,5,0)</f>
        <v>-9.7986685432260874E-13</v>
      </c>
      <c r="AK164" s="14" t="e">
        <f t="shared" si="164"/>
        <v>#NUM!</v>
      </c>
      <c r="AL164" s="22" t="e">
        <f t="shared" si="165"/>
        <v>#NUM!</v>
      </c>
      <c r="AM164" s="60" t="e">
        <f t="shared" si="113"/>
        <v>#NUM!</v>
      </c>
      <c r="AN164" s="60">
        <f ca="1">AVERAGE(OFFSET($AM$3,0,0,'Données projet'!$E$10+1,1))-AVERAGE(OFFSET($H$3,0,0,'Données projet'!$E$10+1,1))</f>
        <v>350.3652766444938</v>
      </c>
      <c r="AO164" s="60">
        <f t="shared" si="144"/>
        <v>197.04549436738586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6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-9.6633812063373625E-13</v>
      </c>
      <c r="BE164" s="14">
        <f>BD164*VLOOKUP('Données projet'!$B$11,Paramètres!$A$1:$I$89,3,0)*VLOOKUP('Données projet'!$B$11,Paramètres!$A$1:$I$89,5,0)</f>
        <v>-9.3464223027694966E-13</v>
      </c>
      <c r="BF164" s="14" t="e">
        <f t="shared" si="167"/>
        <v>#NUM!</v>
      </c>
      <c r="BG164" s="22" t="e">
        <f t="shared" si="168"/>
        <v>#NUM!</v>
      </c>
      <c r="BH164" s="60" t="e">
        <f t="shared" si="116"/>
        <v>#NUM!</v>
      </c>
      <c r="BI164" s="60">
        <f ca="1">AVERAGE(OFFSET($BH$3,0,0,'Données projet'!$E$11+1,1))-AVERAGE(OFFSET($H$3,0,0,'Données projet'!$E$11+1,1))</f>
        <v>330.39429528665841</v>
      </c>
      <c r="BJ164" s="60">
        <f t="shared" si="146"/>
        <v>186.45728006007261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1.7053025658242404E-13</v>
      </c>
      <c r="BZ164" s="14">
        <f>BY164*VLOOKUP('Données projet'!$B$12,Paramètres!$A$1:$I$89,3,0)*VLOOKUP('Données projet'!$B$12,Paramètres!$A$1:$I$89,5,0)</f>
        <v>1.1439169611549005E-13</v>
      </c>
      <c r="CA164" s="14">
        <f t="shared" si="170"/>
        <v>1.6918016515029816E-12</v>
      </c>
      <c r="CB164" s="22">
        <f t="shared" si="171"/>
        <v>3.1457867471021712E-12</v>
      </c>
      <c r="CC164" s="60">
        <f t="shared" si="119"/>
        <v>293.33333333333644</v>
      </c>
      <c r="CD164" s="60">
        <f ca="1">AVERAGE(OFFSET($CC$3,0,0,'Données projet'!$E$12+1,1))-AVERAGE(OFFSET($H$3,0,0,'Données projet'!$E$12+1,1))</f>
        <v>212.33913923444732</v>
      </c>
      <c r="CE164" s="60">
        <f t="shared" si="148"/>
        <v>183.51194426094372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-3.979039320256561E-13</v>
      </c>
      <c r="CU164" s="18">
        <f>CT164*VLOOKUP('Données projet'!$B$13,Paramètres!$A$1:$I$89,3,0)*VLOOKUP('Données projet'!$B$13,Paramètres!$A$1:$I$89,5,0)</f>
        <v>-3.4760887501761321E-13</v>
      </c>
      <c r="CV164" s="14" t="e">
        <f t="shared" si="173"/>
        <v>#NUM!</v>
      </c>
      <c r="CW164" s="22" t="e">
        <f t="shared" si="174"/>
        <v>#NUM!</v>
      </c>
      <c r="CX164" s="60" t="e">
        <f t="shared" si="122"/>
        <v>#NUM!</v>
      </c>
      <c r="CY164" s="60">
        <f ca="1">AVERAGE(OFFSET($CX$3,0,0,'Données projet'!$E$13+1,1))-AVERAGE(OFFSET($H$3,0,0,'Données projet'!$E$13+1,1))</f>
        <v>228.0393346366489</v>
      </c>
      <c r="CZ164" s="60">
        <f t="shared" si="150"/>
        <v>238.591781509447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-9.6633812063373625E-13</v>
      </c>
      <c r="DP164" s="18">
        <f>DO164*VLOOKUP('Données projet'!$B$14,Paramètres!$A$1:$I$89,3,0)*VLOOKUP('Données projet'!$B$14,Paramètres!$A$1:$I$89,5,0)</f>
        <v>-8.7434273154940449E-13</v>
      </c>
      <c r="DQ164" s="14" t="e">
        <f t="shared" si="176"/>
        <v>#NUM!</v>
      </c>
      <c r="DR164" s="22" t="e">
        <f t="shared" si="177"/>
        <v>#NUM!</v>
      </c>
      <c r="DS164" s="60" t="e">
        <f t="shared" si="125"/>
        <v>#NUM!</v>
      </c>
      <c r="DT164" s="60">
        <f ca="1">AVERAGE(OFFSET($DS$3,0,0,'Données projet'!$E$14+1,1))-AVERAGE(OFFSET($H$3,0,0,'Données projet'!$E$14+1,1))</f>
        <v>303.73499739059076</v>
      </c>
      <c r="DU164" s="60">
        <f t="shared" si="152"/>
        <v>172.32171001882188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1.1368683772161603E-13</v>
      </c>
      <c r="EK164" s="18">
        <f>EJ164*VLOOKUP('Données projet'!$B$15,Paramètres!$A$1:$I$89,3,0)*VLOOKUP('Données projet'!$B$15,Paramètres!$A$1:$I$89,5,0)</f>
        <v>6.7984728957526396E-14</v>
      </c>
      <c r="EL164" s="14">
        <f t="shared" si="179"/>
        <v>1.0682447123141398E-12</v>
      </c>
      <c r="EM164" s="22">
        <f t="shared" si="180"/>
        <v>1.978932943548152E-12</v>
      </c>
      <c r="EN164" s="60">
        <f t="shared" si="128"/>
        <v>293.3333333333353</v>
      </c>
      <c r="EO164" s="60">
        <f ca="1">AVERAGE(OFFSET($EN$3,0,0,'Données projet'!$E$15+1,1))-AVERAGE(OFFSET($H$3,0,0,'Données projet'!$E$15+1,1))</f>
        <v>269.94948820700841</v>
      </c>
      <c r="EP164" s="60">
        <f t="shared" si="154"/>
        <v>183.45158355135192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0.36131434908487864</v>
      </c>
      <c r="EX164" s="23">
        <f>EXP(-LN(2)/2)*EX163+(1-EXP(-LN(2)/2))/(LN(2)/2)*ER164*EU164*VLOOKUP('Données projet'!$B$15,Paramètres!$A$1:$I$89,3,0)*0.475*44/12</f>
        <v>1.0805946082999612E-19</v>
      </c>
      <c r="EY164" s="24">
        <f t="shared" si="181"/>
        <v>0.36131434908487864</v>
      </c>
      <c r="EZ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>
        <f>FE164*VLOOKUP('Données projet'!$B$16,Paramètres!$A$1:$I$89,3,0)*VLOOKUP('Données projet'!$B$16,Paramètres!$A$1:$I$89,5,0)</f>
        <v>0</v>
      </c>
      <c r="FG164" s="14" t="e">
        <f t="shared" si="182"/>
        <v>#NUM!</v>
      </c>
      <c r="FH164" s="22" t="e">
        <f t="shared" si="183"/>
        <v>#NUM!</v>
      </c>
      <c r="FI164" s="60" t="e">
        <f t="shared" si="131"/>
        <v>#NUM!</v>
      </c>
      <c r="FJ164" s="60">
        <f ca="1">AVERAGE(OFFSET($FI$3,0,0,'Données projet'!$E$16+1,1))-AVERAGE(OFFSET($H$3,0,0,'Données projet'!$E$16+1,1))</f>
        <v>111.24788725253484</v>
      </c>
      <c r="FK164" s="60">
        <f t="shared" si="156"/>
        <v>82.434879813357327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projet'!$B$16,Paramètres!$A$1:$I$89,3,0)*0.475*44/12</f>
        <v>0</v>
      </c>
      <c r="FR164" s="23">
        <f>EXP(-LN(2)/25)*FR163+(1-EXP(-LN(2)/25))/(LN(2)/25)*Calculateur!FM164*Calculateur!FO164*VLOOKUP('Données projet'!$B$16,Paramètres!$A$1:$I$89,3,0)*0.475*44/12</f>
        <v>0</v>
      </c>
      <c r="FS164" s="23">
        <f>EXP(-LN(2)/2)*FS163+(1-EXP(-LN(2)/2))/(LN(2)/2)*FM164*FP164*VLOOKUP('Données projet'!$B$16,Paramètres!$A$1:$I$89,3,0)*0.475*44/12</f>
        <v>0</v>
      </c>
      <c r="FT164" s="24">
        <f t="shared" si="184"/>
        <v>0</v>
      </c>
      <c r="FU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1.0231815394945443E-12</v>
      </c>
      <c r="GA164" s="18">
        <f>FZ164*VLOOKUP('Données projet'!$B$17,Paramètres!$A$1:$I$89,3,0)*VLOOKUP('Données projet'!$B$17,Paramètres!$A$1:$I$89,5,0)</f>
        <v>4.5224624045658859E-13</v>
      </c>
      <c r="GB164" s="14">
        <f t="shared" si="185"/>
        <v>5.6995607121061449E-12</v>
      </c>
      <c r="GC164" s="22">
        <f t="shared" si="186"/>
        <v>1.0714397109046761E-11</v>
      </c>
      <c r="GD164" s="60">
        <f t="shared" si="134"/>
        <v>293.333333333344</v>
      </c>
      <c r="GE164" s="60">
        <f ca="1">AVERAGE(OFFSET($GD$3,0,0,'Données projet'!$E$17+1,1))-AVERAGE(OFFSET($H$3,0,0,'Données projet'!$E$17+1,1))</f>
        <v>323.56667371063662</v>
      </c>
      <c r="GF164" s="60">
        <f t="shared" si="158"/>
        <v>275.70373467723385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>
        <f>EXP(-LN(2)/35)*GL163+(1-EXP(-LN(2)/35))/(LN(2)/35)*GH164*GI164*VLOOKUP('Données projet'!$B$17,Paramètres!$A$1:$I$89,3,0)*0.475*44/12</f>
        <v>0</v>
      </c>
      <c r="GM164" s="23">
        <f>EXP(-LN(2)/25)*GM163+(1-EXP(-LN(2)/25))/(LN(2)/25)*Calculateur!GH164*Calculateur!GJ164*VLOOKUP('Données projet'!$B$17,Paramètres!$A$1:$I$89,3,0)*0.475*44/12</f>
        <v>0</v>
      </c>
      <c r="GN164" s="23">
        <f>EXP(-LN(2)/2)*GN163+(1-EXP(-LN(2)/2))/(LN(2)/2)*GH164*GK164*VLOOKUP('Données projet'!$B$17,Paramètres!$A$1:$I$89,3,0)*0.475*44/12</f>
        <v>0</v>
      </c>
      <c r="GO164" s="23">
        <f t="shared" si="187"/>
        <v>0</v>
      </c>
      <c r="GP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0" t="e">
        <f t="shared" si="137"/>
        <v>#N/A</v>
      </c>
      <c r="GZ164" s="60" t="e">
        <f ca="1">AVERAGE(OFFSET($GY$3,0,0,'Données projet'!$E$18+1,1))-AVERAGE(OFFSET($H$3,0,0,'Données projet'!$E$18+1,1))</f>
        <v>#N/A</v>
      </c>
      <c r="HA164" s="60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4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2">
        <f t="shared" si="140"/>
        <v>24.191508526944009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-1.1368683772161603E-13</v>
      </c>
      <c r="O165" s="14">
        <f>N165*VLOOKUP('Données projet'!$B$9,Paramètres!$A$1:$I$89,3,0)*VLOOKUP('Données projet'!$B$9,Paramètres!$A$1:$I$89,5,0)</f>
        <v>-6.7984728957526396E-14</v>
      </c>
      <c r="P165" s="14" t="e">
        <f t="shared" si="141"/>
        <v>#NUM!</v>
      </c>
      <c r="Q165" s="22" t="e">
        <f t="shared" si="162"/>
        <v>#NUM!</v>
      </c>
      <c r="R165" s="60" t="e">
        <f t="shared" si="109"/>
        <v>#NUM!</v>
      </c>
      <c r="S165" s="60">
        <f ca="1">AVERAGE(OFFSET($R$3,0,0,'Données projet'!$E$9+1,1))-AVERAGE(OFFSET($H$3,0,0,'Données projet'!$E$9+1,1))</f>
        <v>235.63766249714581</v>
      </c>
      <c r="T165" s="60">
        <f t="shared" si="142"/>
        <v>231.3297293785277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0.84021418974342688</v>
      </c>
      <c r="AA165" s="23">
        <f>EXP(-LN(2)/25)*AA164+(1-EXP(-LN(2)/25))/(LN(2)/25)*Calculateur!V165*Calculateur!X165*VLOOKUP('Données projet'!$B$9,Paramètres!$A$1:$I$89,3,0)*0.475*44/12</f>
        <v>0.44496955771785701</v>
      </c>
      <c r="AB165" s="23">
        <f>EXP(-LN(2)/2)*AB164+(1-EXP(-LN(2)/2))/(LN(2)/2)*V165*Y165*VLOOKUP('Données projet'!$B$9,Paramètres!$A$1:$I$89,3,0)*0.475*44/12</f>
        <v>9.6391429491281135E-20</v>
      </c>
      <c r="AC165" s="24">
        <f t="shared" si="163"/>
        <v>1.2851837474612839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-9.6633812063373625E-13</v>
      </c>
      <c r="AJ165" s="14">
        <f>AI165*VLOOKUP('Données projet'!$B$10,Paramètres!$A$1:$I$89,3,0)*VLOOKUP('Données projet'!$B$10,Paramètres!$A$1:$I$89,5,0)</f>
        <v>-9.7986685432260874E-13</v>
      </c>
      <c r="AK165" s="14" t="e">
        <f t="shared" si="164"/>
        <v>#NUM!</v>
      </c>
      <c r="AL165" s="22" t="e">
        <f t="shared" si="165"/>
        <v>#NUM!</v>
      </c>
      <c r="AM165" s="60" t="e">
        <f t="shared" si="113"/>
        <v>#NUM!</v>
      </c>
      <c r="AN165" s="60">
        <f ca="1">AVERAGE(OFFSET($AM$3,0,0,'Données projet'!$E$10+1,1))-AVERAGE(OFFSET($H$3,0,0,'Données projet'!$E$10+1,1))</f>
        <v>350.3652766444938</v>
      </c>
      <c r="AO165" s="60">
        <f t="shared" si="144"/>
        <v>197.04549436738586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6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-9.6633812063373625E-13</v>
      </c>
      <c r="BE165" s="14">
        <f>BD165*VLOOKUP('Données projet'!$B$11,Paramètres!$A$1:$I$89,3,0)*VLOOKUP('Données projet'!$B$11,Paramètres!$A$1:$I$89,5,0)</f>
        <v>-9.3464223027694966E-13</v>
      </c>
      <c r="BF165" s="14" t="e">
        <f t="shared" si="167"/>
        <v>#NUM!</v>
      </c>
      <c r="BG165" s="22" t="e">
        <f t="shared" si="168"/>
        <v>#NUM!</v>
      </c>
      <c r="BH165" s="60" t="e">
        <f t="shared" si="116"/>
        <v>#NUM!</v>
      </c>
      <c r="BI165" s="60">
        <f ca="1">AVERAGE(OFFSET($BH$3,0,0,'Données projet'!$E$11+1,1))-AVERAGE(OFFSET($H$3,0,0,'Données projet'!$E$11+1,1))</f>
        <v>330.39429528665841</v>
      </c>
      <c r="BJ165" s="60">
        <f t="shared" si="146"/>
        <v>186.45728006007261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1.7053025658242404E-13</v>
      </c>
      <c r="BZ165" s="14">
        <f>BY165*VLOOKUP('Données projet'!$B$12,Paramètres!$A$1:$I$89,3,0)*VLOOKUP('Données projet'!$B$12,Paramètres!$A$1:$I$89,5,0)</f>
        <v>1.1439169611549005E-13</v>
      </c>
      <c r="CA165" s="14">
        <f t="shared" si="170"/>
        <v>1.6918016515029816E-12</v>
      </c>
      <c r="CB165" s="22">
        <f t="shared" si="171"/>
        <v>3.1457867471021712E-12</v>
      </c>
      <c r="CC165" s="60">
        <f t="shared" si="119"/>
        <v>293.33333333333644</v>
      </c>
      <c r="CD165" s="60">
        <f ca="1">AVERAGE(OFFSET($CC$3,0,0,'Données projet'!$E$12+1,1))-AVERAGE(OFFSET($H$3,0,0,'Données projet'!$E$12+1,1))</f>
        <v>212.33913923444732</v>
      </c>
      <c r="CE165" s="60">
        <f t="shared" si="148"/>
        <v>183.51194426094372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-3.979039320256561E-13</v>
      </c>
      <c r="CU165" s="18">
        <f>CT165*VLOOKUP('Données projet'!$B$13,Paramètres!$A$1:$I$89,3,0)*VLOOKUP('Données projet'!$B$13,Paramètres!$A$1:$I$89,5,0)</f>
        <v>-3.4760887501761321E-13</v>
      </c>
      <c r="CV165" s="14" t="e">
        <f t="shared" si="173"/>
        <v>#NUM!</v>
      </c>
      <c r="CW165" s="22" t="e">
        <f t="shared" si="174"/>
        <v>#NUM!</v>
      </c>
      <c r="CX165" s="60" t="e">
        <f t="shared" si="122"/>
        <v>#NUM!</v>
      </c>
      <c r="CY165" s="60">
        <f ca="1">AVERAGE(OFFSET($CX$3,0,0,'Données projet'!$E$13+1,1))-AVERAGE(OFFSET($H$3,0,0,'Données projet'!$E$13+1,1))</f>
        <v>228.0393346366489</v>
      </c>
      <c r="CZ165" s="60">
        <f t="shared" si="150"/>
        <v>238.591781509447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-9.6633812063373625E-13</v>
      </c>
      <c r="DP165" s="18">
        <f>DO165*VLOOKUP('Données projet'!$B$14,Paramètres!$A$1:$I$89,3,0)*VLOOKUP('Données projet'!$B$14,Paramètres!$A$1:$I$89,5,0)</f>
        <v>-8.7434273154940449E-13</v>
      </c>
      <c r="DQ165" s="14" t="e">
        <f t="shared" si="176"/>
        <v>#NUM!</v>
      </c>
      <c r="DR165" s="22" t="e">
        <f t="shared" si="177"/>
        <v>#NUM!</v>
      </c>
      <c r="DS165" s="60" t="e">
        <f t="shared" si="125"/>
        <v>#NUM!</v>
      </c>
      <c r="DT165" s="60">
        <f ca="1">AVERAGE(OFFSET($DS$3,0,0,'Données projet'!$E$14+1,1))-AVERAGE(OFFSET($H$3,0,0,'Données projet'!$E$14+1,1))</f>
        <v>303.73499739059076</v>
      </c>
      <c r="DU165" s="60">
        <f t="shared" si="152"/>
        <v>172.32171001882188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1.1368683772161603E-13</v>
      </c>
      <c r="EK165" s="18">
        <f>EJ165*VLOOKUP('Données projet'!$B$15,Paramètres!$A$1:$I$89,3,0)*VLOOKUP('Données projet'!$B$15,Paramètres!$A$1:$I$89,5,0)</f>
        <v>6.7984728957526396E-14</v>
      </c>
      <c r="EL165" s="14">
        <f t="shared" si="179"/>
        <v>1.0682447123141398E-12</v>
      </c>
      <c r="EM165" s="22">
        <f t="shared" si="180"/>
        <v>1.978932943548152E-12</v>
      </c>
      <c r="EN165" s="60">
        <f t="shared" si="128"/>
        <v>293.3333333333353</v>
      </c>
      <c r="EO165" s="60">
        <f ca="1">AVERAGE(OFFSET($EN$3,0,0,'Données projet'!$E$15+1,1))-AVERAGE(OFFSET($H$3,0,0,'Données projet'!$E$15+1,1))</f>
        <v>269.94948820700841</v>
      </c>
      <c r="EP165" s="60">
        <f t="shared" si="154"/>
        <v>183.45158355135192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0.35143418920845682</v>
      </c>
      <c r="EX165" s="23">
        <f>EXP(-LN(2)/2)*EX164+(1-EXP(-LN(2)/2))/(LN(2)/2)*ER165*EU165*VLOOKUP('Données projet'!$B$15,Paramètres!$A$1:$I$89,3,0)*0.475*44/12</f>
        <v>7.6409577524252379E-20</v>
      </c>
      <c r="EY165" s="24">
        <f t="shared" si="181"/>
        <v>0.35143418920845682</v>
      </c>
      <c r="EZ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>
        <f>FE165*VLOOKUP('Données projet'!$B$16,Paramètres!$A$1:$I$89,3,0)*VLOOKUP('Données projet'!$B$16,Paramètres!$A$1:$I$89,5,0)</f>
        <v>0</v>
      </c>
      <c r="FG165" s="14" t="e">
        <f t="shared" si="182"/>
        <v>#NUM!</v>
      </c>
      <c r="FH165" s="22" t="e">
        <f t="shared" si="183"/>
        <v>#NUM!</v>
      </c>
      <c r="FI165" s="60" t="e">
        <f t="shared" si="131"/>
        <v>#NUM!</v>
      </c>
      <c r="FJ165" s="60">
        <f ca="1">AVERAGE(OFFSET($FI$3,0,0,'Données projet'!$E$16+1,1))-AVERAGE(OFFSET($H$3,0,0,'Données projet'!$E$16+1,1))</f>
        <v>111.24788725253484</v>
      </c>
      <c r="FK165" s="60">
        <f t="shared" si="156"/>
        <v>82.434879813357327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projet'!$B$16,Paramètres!$A$1:$I$89,3,0)*0.475*44/12</f>
        <v>0</v>
      </c>
      <c r="FR165" s="23">
        <f>EXP(-LN(2)/25)*FR164+(1-EXP(-LN(2)/25))/(LN(2)/25)*Calculateur!FM165*Calculateur!FO165*VLOOKUP('Données projet'!$B$16,Paramètres!$A$1:$I$89,3,0)*0.475*44/12</f>
        <v>0</v>
      </c>
      <c r="FS165" s="23">
        <f>EXP(-LN(2)/2)*FS164+(1-EXP(-LN(2)/2))/(LN(2)/2)*FM165*FP165*VLOOKUP('Données projet'!$B$16,Paramètres!$A$1:$I$89,3,0)*0.475*44/12</f>
        <v>0</v>
      </c>
      <c r="FT165" s="24">
        <f t="shared" si="184"/>
        <v>0</v>
      </c>
      <c r="FU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1.0231815394945443E-12</v>
      </c>
      <c r="GA165" s="18">
        <f>FZ165*VLOOKUP('Données projet'!$B$17,Paramètres!$A$1:$I$89,3,0)*VLOOKUP('Données projet'!$B$17,Paramètres!$A$1:$I$89,5,0)</f>
        <v>4.5224624045658859E-13</v>
      </c>
      <c r="GB165" s="14">
        <f t="shared" si="185"/>
        <v>5.6995607121061449E-12</v>
      </c>
      <c r="GC165" s="22">
        <f t="shared" si="186"/>
        <v>1.0714397109046761E-11</v>
      </c>
      <c r="GD165" s="60">
        <f t="shared" si="134"/>
        <v>293.333333333344</v>
      </c>
      <c r="GE165" s="60">
        <f ca="1">AVERAGE(OFFSET($GD$3,0,0,'Données projet'!$E$17+1,1))-AVERAGE(OFFSET($H$3,0,0,'Données projet'!$E$17+1,1))</f>
        <v>323.56667371063662</v>
      </c>
      <c r="GF165" s="60">
        <f t="shared" si="158"/>
        <v>275.70373467723385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>
        <f>EXP(-LN(2)/35)*GL164+(1-EXP(-LN(2)/35))/(LN(2)/35)*GH165*GI165*VLOOKUP('Données projet'!$B$17,Paramètres!$A$1:$I$89,3,0)*0.475*44/12</f>
        <v>0</v>
      </c>
      <c r="GM165" s="23">
        <f>EXP(-LN(2)/25)*GM164+(1-EXP(-LN(2)/25))/(LN(2)/25)*Calculateur!GH165*Calculateur!GJ165*VLOOKUP('Données projet'!$B$17,Paramètres!$A$1:$I$89,3,0)*0.475*44/12</f>
        <v>0</v>
      </c>
      <c r="GN165" s="23">
        <f>EXP(-LN(2)/2)*GN164+(1-EXP(-LN(2)/2))/(LN(2)/2)*GH165*GK165*VLOOKUP('Données projet'!$B$17,Paramètres!$A$1:$I$89,3,0)*0.475*44/12</f>
        <v>0</v>
      </c>
      <c r="GO165" s="23">
        <f t="shared" si="187"/>
        <v>0</v>
      </c>
      <c r="GP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0" t="e">
        <f t="shared" si="137"/>
        <v>#N/A</v>
      </c>
      <c r="GZ165" s="60" t="e">
        <f ca="1">AVERAGE(OFFSET($GY$3,0,0,'Données projet'!$E$18+1,1))-AVERAGE(OFFSET($H$3,0,0,'Données projet'!$E$18+1,1))</f>
        <v>#N/A</v>
      </c>
      <c r="HA165" s="60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4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2">
        <f t="shared" si="140"/>
        <v>24.323409484531542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-1.1368683772161603E-13</v>
      </c>
      <c r="O166" s="14">
        <f>N166*VLOOKUP('Données projet'!$B$9,Paramètres!$A$1:$I$89,3,0)*VLOOKUP('Données projet'!$B$9,Paramètres!$A$1:$I$89,5,0)</f>
        <v>-6.7984728957526396E-14</v>
      </c>
      <c r="P166" s="14" t="e">
        <f t="shared" si="141"/>
        <v>#NUM!</v>
      </c>
      <c r="Q166" s="22" t="e">
        <f t="shared" si="162"/>
        <v>#NUM!</v>
      </c>
      <c r="R166" s="60" t="e">
        <f t="shared" si="109"/>
        <v>#NUM!</v>
      </c>
      <c r="S166" s="60">
        <f ca="1">AVERAGE(OFFSET($R$3,0,0,'Données projet'!$E$9+1,1))-AVERAGE(OFFSET($H$3,0,0,'Données projet'!$E$9+1,1))</f>
        <v>235.63766249714581</v>
      </c>
      <c r="T166" s="60">
        <f t="shared" si="142"/>
        <v>231.3297293785277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0.82373810196261077</v>
      </c>
      <c r="AA166" s="23">
        <f>EXP(-LN(2)/25)*AA165+(1-EXP(-LN(2)/25))/(LN(2)/25)*Calculateur!V166*Calculateur!X166*VLOOKUP('Données projet'!$B$9,Paramètres!$A$1:$I$89,3,0)*0.475*44/12</f>
        <v>0.43280184176213016</v>
      </c>
      <c r="AB166" s="23">
        <f>EXP(-LN(2)/2)*AB165+(1-EXP(-LN(2)/2))/(LN(2)/2)*V166*Y166*VLOOKUP('Données projet'!$B$9,Paramètres!$A$1:$I$89,3,0)*0.475*44/12</f>
        <v>6.8159033441549853E-20</v>
      </c>
      <c r="AC166" s="24">
        <f t="shared" si="163"/>
        <v>1.2565399437247409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-9.6633812063373625E-13</v>
      </c>
      <c r="AJ166" s="14">
        <f>AI166*VLOOKUP('Données projet'!$B$10,Paramètres!$A$1:$I$89,3,0)*VLOOKUP('Données projet'!$B$10,Paramètres!$A$1:$I$89,5,0)</f>
        <v>-9.7986685432260874E-13</v>
      </c>
      <c r="AK166" s="14" t="e">
        <f t="shared" si="164"/>
        <v>#NUM!</v>
      </c>
      <c r="AL166" s="22" t="e">
        <f t="shared" si="165"/>
        <v>#NUM!</v>
      </c>
      <c r="AM166" s="60" t="e">
        <f t="shared" si="113"/>
        <v>#NUM!</v>
      </c>
      <c r="AN166" s="60">
        <f ca="1">AVERAGE(OFFSET($AM$3,0,0,'Données projet'!$E$10+1,1))-AVERAGE(OFFSET($H$3,0,0,'Données projet'!$E$10+1,1))</f>
        <v>350.3652766444938</v>
      </c>
      <c r="AO166" s="60">
        <f t="shared" si="144"/>
        <v>197.04549436738586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6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-9.6633812063373625E-13</v>
      </c>
      <c r="BE166" s="14">
        <f>BD166*VLOOKUP('Données projet'!$B$11,Paramètres!$A$1:$I$89,3,0)*VLOOKUP('Données projet'!$B$11,Paramètres!$A$1:$I$89,5,0)</f>
        <v>-9.3464223027694966E-13</v>
      </c>
      <c r="BF166" s="14" t="e">
        <f t="shared" si="167"/>
        <v>#NUM!</v>
      </c>
      <c r="BG166" s="22" t="e">
        <f t="shared" si="168"/>
        <v>#NUM!</v>
      </c>
      <c r="BH166" s="60" t="e">
        <f t="shared" si="116"/>
        <v>#NUM!</v>
      </c>
      <c r="BI166" s="60">
        <f ca="1">AVERAGE(OFFSET($BH$3,0,0,'Données projet'!$E$11+1,1))-AVERAGE(OFFSET($H$3,0,0,'Données projet'!$E$11+1,1))</f>
        <v>330.39429528665841</v>
      </c>
      <c r="BJ166" s="60">
        <f t="shared" si="146"/>
        <v>186.45728006007261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1.7053025658242404E-13</v>
      </c>
      <c r="BZ166" s="14">
        <f>BY166*VLOOKUP('Données projet'!$B$12,Paramètres!$A$1:$I$89,3,0)*VLOOKUP('Données projet'!$B$12,Paramètres!$A$1:$I$89,5,0)</f>
        <v>1.1439169611549005E-13</v>
      </c>
      <c r="CA166" s="14">
        <f t="shared" si="170"/>
        <v>1.6918016515029816E-12</v>
      </c>
      <c r="CB166" s="22">
        <f t="shared" si="171"/>
        <v>3.1457867471021712E-12</v>
      </c>
      <c r="CC166" s="60">
        <f t="shared" si="119"/>
        <v>293.33333333333644</v>
      </c>
      <c r="CD166" s="60">
        <f ca="1">AVERAGE(OFFSET($CC$3,0,0,'Données projet'!$E$12+1,1))-AVERAGE(OFFSET($H$3,0,0,'Données projet'!$E$12+1,1))</f>
        <v>212.33913923444732</v>
      </c>
      <c r="CE166" s="60">
        <f t="shared" si="148"/>
        <v>183.51194426094372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-3.979039320256561E-13</v>
      </c>
      <c r="CU166" s="18">
        <f>CT166*VLOOKUP('Données projet'!$B$13,Paramètres!$A$1:$I$89,3,0)*VLOOKUP('Données projet'!$B$13,Paramètres!$A$1:$I$89,5,0)</f>
        <v>-3.4760887501761321E-13</v>
      </c>
      <c r="CV166" s="14" t="e">
        <f t="shared" si="173"/>
        <v>#NUM!</v>
      </c>
      <c r="CW166" s="22" t="e">
        <f t="shared" si="174"/>
        <v>#NUM!</v>
      </c>
      <c r="CX166" s="60" t="e">
        <f t="shared" si="122"/>
        <v>#NUM!</v>
      </c>
      <c r="CY166" s="60">
        <f ca="1">AVERAGE(OFFSET($CX$3,0,0,'Données projet'!$E$13+1,1))-AVERAGE(OFFSET($H$3,0,0,'Données projet'!$E$13+1,1))</f>
        <v>228.0393346366489</v>
      </c>
      <c r="CZ166" s="60">
        <f t="shared" si="150"/>
        <v>238.591781509447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-9.6633812063373625E-13</v>
      </c>
      <c r="DP166" s="18">
        <f>DO166*VLOOKUP('Données projet'!$B$14,Paramètres!$A$1:$I$89,3,0)*VLOOKUP('Données projet'!$B$14,Paramètres!$A$1:$I$89,5,0)</f>
        <v>-8.7434273154940449E-13</v>
      </c>
      <c r="DQ166" s="14" t="e">
        <f t="shared" si="176"/>
        <v>#NUM!</v>
      </c>
      <c r="DR166" s="22" t="e">
        <f t="shared" si="177"/>
        <v>#NUM!</v>
      </c>
      <c r="DS166" s="60" t="e">
        <f t="shared" si="125"/>
        <v>#NUM!</v>
      </c>
      <c r="DT166" s="60">
        <f ca="1">AVERAGE(OFFSET($DS$3,0,0,'Données projet'!$E$14+1,1))-AVERAGE(OFFSET($H$3,0,0,'Données projet'!$E$14+1,1))</f>
        <v>303.73499739059076</v>
      </c>
      <c r="DU166" s="60">
        <f t="shared" si="152"/>
        <v>172.32171001882188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1.1368683772161603E-13</v>
      </c>
      <c r="EK166" s="18">
        <f>EJ166*VLOOKUP('Données projet'!$B$15,Paramètres!$A$1:$I$89,3,0)*VLOOKUP('Données projet'!$B$15,Paramètres!$A$1:$I$89,5,0)</f>
        <v>6.7984728957526396E-14</v>
      </c>
      <c r="EL166" s="14">
        <f t="shared" si="179"/>
        <v>1.0682447123141398E-12</v>
      </c>
      <c r="EM166" s="22">
        <f t="shared" si="180"/>
        <v>1.978932943548152E-12</v>
      </c>
      <c r="EN166" s="60">
        <f t="shared" si="128"/>
        <v>293.3333333333353</v>
      </c>
      <c r="EO166" s="60">
        <f ca="1">AVERAGE(OFFSET($EN$3,0,0,'Données projet'!$E$15+1,1))-AVERAGE(OFFSET($H$3,0,0,'Données projet'!$E$15+1,1))</f>
        <v>269.94948820700841</v>
      </c>
      <c r="EP166" s="60">
        <f t="shared" si="154"/>
        <v>183.45158355135192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0.34182420282343079</v>
      </c>
      <c r="EX166" s="23">
        <f>EXP(-LN(2)/2)*EX165+(1-EXP(-LN(2)/2))/(LN(2)/2)*ER166*EU166*VLOOKUP('Données projet'!$B$15,Paramètres!$A$1:$I$89,3,0)*0.475*44/12</f>
        <v>5.4029730414998073E-20</v>
      </c>
      <c r="EY166" s="24">
        <f t="shared" si="181"/>
        <v>0.34182420282343079</v>
      </c>
      <c r="EZ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>
        <f>FE166*VLOOKUP('Données projet'!$B$16,Paramètres!$A$1:$I$89,3,0)*VLOOKUP('Données projet'!$B$16,Paramètres!$A$1:$I$89,5,0)</f>
        <v>0</v>
      </c>
      <c r="FG166" s="14" t="e">
        <f t="shared" si="182"/>
        <v>#NUM!</v>
      </c>
      <c r="FH166" s="22" t="e">
        <f t="shared" si="183"/>
        <v>#NUM!</v>
      </c>
      <c r="FI166" s="60" t="e">
        <f t="shared" si="131"/>
        <v>#NUM!</v>
      </c>
      <c r="FJ166" s="60">
        <f ca="1">AVERAGE(OFFSET($FI$3,0,0,'Données projet'!$E$16+1,1))-AVERAGE(OFFSET($H$3,0,0,'Données projet'!$E$16+1,1))</f>
        <v>111.24788725253484</v>
      </c>
      <c r="FK166" s="60">
        <f t="shared" si="156"/>
        <v>82.434879813357327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projet'!$B$16,Paramètres!$A$1:$I$89,3,0)*0.475*44/12</f>
        <v>0</v>
      </c>
      <c r="FR166" s="23">
        <f>EXP(-LN(2)/25)*FR165+(1-EXP(-LN(2)/25))/(LN(2)/25)*Calculateur!FM166*Calculateur!FO166*VLOOKUP('Données projet'!$B$16,Paramètres!$A$1:$I$89,3,0)*0.475*44/12</f>
        <v>0</v>
      </c>
      <c r="FS166" s="23">
        <f>EXP(-LN(2)/2)*FS165+(1-EXP(-LN(2)/2))/(LN(2)/2)*FM166*FP166*VLOOKUP('Données projet'!$B$16,Paramètres!$A$1:$I$89,3,0)*0.475*44/12</f>
        <v>0</v>
      </c>
      <c r="FT166" s="24">
        <f t="shared" si="184"/>
        <v>0</v>
      </c>
      <c r="FU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1.0231815394945443E-12</v>
      </c>
      <c r="GA166" s="18">
        <f>FZ166*VLOOKUP('Données projet'!$B$17,Paramètres!$A$1:$I$89,3,0)*VLOOKUP('Données projet'!$B$17,Paramètres!$A$1:$I$89,5,0)</f>
        <v>4.5224624045658859E-13</v>
      </c>
      <c r="GB166" s="14">
        <f t="shared" si="185"/>
        <v>5.6995607121061449E-12</v>
      </c>
      <c r="GC166" s="22">
        <f t="shared" si="186"/>
        <v>1.0714397109046761E-11</v>
      </c>
      <c r="GD166" s="60">
        <f t="shared" si="134"/>
        <v>293.333333333344</v>
      </c>
      <c r="GE166" s="60">
        <f ca="1">AVERAGE(OFFSET($GD$3,0,0,'Données projet'!$E$17+1,1))-AVERAGE(OFFSET($H$3,0,0,'Données projet'!$E$17+1,1))</f>
        <v>323.56667371063662</v>
      </c>
      <c r="GF166" s="60">
        <f t="shared" si="158"/>
        <v>275.70373467723385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>
        <f>EXP(-LN(2)/35)*GL165+(1-EXP(-LN(2)/35))/(LN(2)/35)*GH166*GI166*VLOOKUP('Données projet'!$B$17,Paramètres!$A$1:$I$89,3,0)*0.475*44/12</f>
        <v>0</v>
      </c>
      <c r="GM166" s="23">
        <f>EXP(-LN(2)/25)*GM165+(1-EXP(-LN(2)/25))/(LN(2)/25)*Calculateur!GH166*Calculateur!GJ166*VLOOKUP('Données projet'!$B$17,Paramètres!$A$1:$I$89,3,0)*0.475*44/12</f>
        <v>0</v>
      </c>
      <c r="GN166" s="23">
        <f>EXP(-LN(2)/2)*GN165+(1-EXP(-LN(2)/2))/(LN(2)/2)*GH166*GK166*VLOOKUP('Données projet'!$B$17,Paramètres!$A$1:$I$89,3,0)*0.475*44/12</f>
        <v>0</v>
      </c>
      <c r="GO166" s="23">
        <f t="shared" si="187"/>
        <v>0</v>
      </c>
      <c r="GP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0" t="e">
        <f t="shared" si="137"/>
        <v>#N/A</v>
      </c>
      <c r="GZ166" s="60" t="e">
        <f ca="1">AVERAGE(OFFSET($GY$3,0,0,'Données projet'!$E$18+1,1))-AVERAGE(OFFSET($H$3,0,0,'Données projet'!$E$18+1,1))</f>
        <v>#N/A</v>
      </c>
      <c r="HA166" s="60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4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2">
        <f t="shared" si="140"/>
        <v>24.455216283268463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-1.1368683772161603E-13</v>
      </c>
      <c r="O167" s="14">
        <f>N167*VLOOKUP('Données projet'!$B$9,Paramètres!$A$1:$I$89,3,0)*VLOOKUP('Données projet'!$B$9,Paramètres!$A$1:$I$89,5,0)</f>
        <v>-6.7984728957526396E-14</v>
      </c>
      <c r="P167" s="14" t="e">
        <f t="shared" si="141"/>
        <v>#NUM!</v>
      </c>
      <c r="Q167" s="22" t="e">
        <f t="shared" si="162"/>
        <v>#NUM!</v>
      </c>
      <c r="R167" s="60" t="e">
        <f t="shared" si="109"/>
        <v>#NUM!</v>
      </c>
      <c r="S167" s="60">
        <f ca="1">AVERAGE(OFFSET($R$3,0,0,'Données projet'!$E$9+1,1))-AVERAGE(OFFSET($H$3,0,0,'Données projet'!$E$9+1,1))</f>
        <v>235.63766249714581</v>
      </c>
      <c r="T167" s="60">
        <f t="shared" si="142"/>
        <v>231.3297293785277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0.80758510021375529</v>
      </c>
      <c r="AA167" s="23">
        <f>EXP(-LN(2)/25)*AA166+(1-EXP(-LN(2)/25))/(LN(2)/25)*Calculateur!V167*Calculateur!X167*VLOOKUP('Données projet'!$B$9,Paramètres!$A$1:$I$89,3,0)*0.475*44/12</f>
        <v>0.42096685263908501</v>
      </c>
      <c r="AB167" s="23">
        <f>EXP(-LN(2)/2)*AB166+(1-EXP(-LN(2)/2))/(LN(2)/2)*V167*Y167*VLOOKUP('Données projet'!$B$9,Paramètres!$A$1:$I$89,3,0)*0.475*44/12</f>
        <v>4.8195714745640567E-20</v>
      </c>
      <c r="AC167" s="24">
        <f t="shared" si="163"/>
        <v>1.2285519528528404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-9.6633812063373625E-13</v>
      </c>
      <c r="AJ167" s="14">
        <f>AI167*VLOOKUP('Données projet'!$B$10,Paramètres!$A$1:$I$89,3,0)*VLOOKUP('Données projet'!$B$10,Paramètres!$A$1:$I$89,5,0)</f>
        <v>-9.7986685432260874E-13</v>
      </c>
      <c r="AK167" s="14" t="e">
        <f t="shared" si="164"/>
        <v>#NUM!</v>
      </c>
      <c r="AL167" s="22" t="e">
        <f t="shared" si="165"/>
        <v>#NUM!</v>
      </c>
      <c r="AM167" s="60" t="e">
        <f t="shared" si="113"/>
        <v>#NUM!</v>
      </c>
      <c r="AN167" s="60">
        <f ca="1">AVERAGE(OFFSET($AM$3,0,0,'Données projet'!$E$10+1,1))-AVERAGE(OFFSET($H$3,0,0,'Données projet'!$E$10+1,1))</f>
        <v>350.3652766444938</v>
      </c>
      <c r="AO167" s="60">
        <f t="shared" si="144"/>
        <v>197.04549436738586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6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-9.6633812063373625E-13</v>
      </c>
      <c r="BE167" s="14">
        <f>BD167*VLOOKUP('Données projet'!$B$11,Paramètres!$A$1:$I$89,3,0)*VLOOKUP('Données projet'!$B$11,Paramètres!$A$1:$I$89,5,0)</f>
        <v>-9.3464223027694966E-13</v>
      </c>
      <c r="BF167" s="14" t="e">
        <f t="shared" si="167"/>
        <v>#NUM!</v>
      </c>
      <c r="BG167" s="22" t="e">
        <f t="shared" si="168"/>
        <v>#NUM!</v>
      </c>
      <c r="BH167" s="60" t="e">
        <f t="shared" si="116"/>
        <v>#NUM!</v>
      </c>
      <c r="BI167" s="60">
        <f ca="1">AVERAGE(OFFSET($BH$3,0,0,'Données projet'!$E$11+1,1))-AVERAGE(OFFSET($H$3,0,0,'Données projet'!$E$11+1,1))</f>
        <v>330.39429528665841</v>
      </c>
      <c r="BJ167" s="60">
        <f t="shared" si="146"/>
        <v>186.45728006007261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1.7053025658242404E-13</v>
      </c>
      <c r="BZ167" s="14">
        <f>BY167*VLOOKUP('Données projet'!$B$12,Paramètres!$A$1:$I$89,3,0)*VLOOKUP('Données projet'!$B$12,Paramètres!$A$1:$I$89,5,0)</f>
        <v>1.1439169611549005E-13</v>
      </c>
      <c r="CA167" s="14">
        <f t="shared" si="170"/>
        <v>1.6918016515029816E-12</v>
      </c>
      <c r="CB167" s="22">
        <f t="shared" si="171"/>
        <v>3.1457867471021712E-12</v>
      </c>
      <c r="CC167" s="60">
        <f t="shared" si="119"/>
        <v>293.33333333333644</v>
      </c>
      <c r="CD167" s="60">
        <f ca="1">AVERAGE(OFFSET($CC$3,0,0,'Données projet'!$E$12+1,1))-AVERAGE(OFFSET($H$3,0,0,'Données projet'!$E$12+1,1))</f>
        <v>212.33913923444732</v>
      </c>
      <c r="CE167" s="60">
        <f t="shared" si="148"/>
        <v>183.51194426094372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-3.979039320256561E-13</v>
      </c>
      <c r="CU167" s="18">
        <f>CT167*VLOOKUP('Données projet'!$B$13,Paramètres!$A$1:$I$89,3,0)*VLOOKUP('Données projet'!$B$13,Paramètres!$A$1:$I$89,5,0)</f>
        <v>-3.4760887501761321E-13</v>
      </c>
      <c r="CV167" s="14" t="e">
        <f t="shared" si="173"/>
        <v>#NUM!</v>
      </c>
      <c r="CW167" s="22" t="e">
        <f t="shared" si="174"/>
        <v>#NUM!</v>
      </c>
      <c r="CX167" s="60" t="e">
        <f t="shared" si="122"/>
        <v>#NUM!</v>
      </c>
      <c r="CY167" s="60">
        <f ca="1">AVERAGE(OFFSET($CX$3,0,0,'Données projet'!$E$13+1,1))-AVERAGE(OFFSET($H$3,0,0,'Données projet'!$E$13+1,1))</f>
        <v>228.0393346366489</v>
      </c>
      <c r="CZ167" s="60">
        <f t="shared" si="150"/>
        <v>238.591781509447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-9.6633812063373625E-13</v>
      </c>
      <c r="DP167" s="18">
        <f>DO167*VLOOKUP('Données projet'!$B$14,Paramètres!$A$1:$I$89,3,0)*VLOOKUP('Données projet'!$B$14,Paramètres!$A$1:$I$89,5,0)</f>
        <v>-8.7434273154940449E-13</v>
      </c>
      <c r="DQ167" s="14" t="e">
        <f t="shared" si="176"/>
        <v>#NUM!</v>
      </c>
      <c r="DR167" s="22" t="e">
        <f t="shared" si="177"/>
        <v>#NUM!</v>
      </c>
      <c r="DS167" s="60" t="e">
        <f t="shared" si="125"/>
        <v>#NUM!</v>
      </c>
      <c r="DT167" s="60">
        <f ca="1">AVERAGE(OFFSET($DS$3,0,0,'Données projet'!$E$14+1,1))-AVERAGE(OFFSET($H$3,0,0,'Données projet'!$E$14+1,1))</f>
        <v>303.73499739059076</v>
      </c>
      <c r="DU167" s="60">
        <f t="shared" si="152"/>
        <v>172.32171001882188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1.1368683772161603E-13</v>
      </c>
      <c r="EK167" s="18">
        <f>EJ167*VLOOKUP('Données projet'!$B$15,Paramètres!$A$1:$I$89,3,0)*VLOOKUP('Données projet'!$B$15,Paramètres!$A$1:$I$89,5,0)</f>
        <v>6.7984728957526396E-14</v>
      </c>
      <c r="EL167" s="14">
        <f t="shared" si="179"/>
        <v>1.0682447123141398E-12</v>
      </c>
      <c r="EM167" s="22">
        <f t="shared" si="180"/>
        <v>1.978932943548152E-12</v>
      </c>
      <c r="EN167" s="60">
        <f t="shared" si="128"/>
        <v>293.3333333333353</v>
      </c>
      <c r="EO167" s="60">
        <f ca="1">AVERAGE(OFFSET($EN$3,0,0,'Données projet'!$E$15+1,1))-AVERAGE(OFFSET($H$3,0,0,'Données projet'!$E$15+1,1))</f>
        <v>269.94948820700841</v>
      </c>
      <c r="EP167" s="60">
        <f t="shared" si="154"/>
        <v>183.45158355135192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0.33247700202147051</v>
      </c>
      <c r="EX167" s="23">
        <f>EXP(-LN(2)/2)*EX166+(1-EXP(-LN(2)/2))/(LN(2)/2)*ER167*EU167*VLOOKUP('Données projet'!$B$15,Paramètres!$A$1:$I$89,3,0)*0.475*44/12</f>
        <v>3.8204788762126196E-20</v>
      </c>
      <c r="EY167" s="24">
        <f t="shared" si="181"/>
        <v>0.33247700202147051</v>
      </c>
      <c r="EZ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>
        <f>FE167*VLOOKUP('Données projet'!$B$16,Paramètres!$A$1:$I$89,3,0)*VLOOKUP('Données projet'!$B$16,Paramètres!$A$1:$I$89,5,0)</f>
        <v>0</v>
      </c>
      <c r="FG167" s="14" t="e">
        <f t="shared" si="182"/>
        <v>#NUM!</v>
      </c>
      <c r="FH167" s="22" t="e">
        <f t="shared" si="183"/>
        <v>#NUM!</v>
      </c>
      <c r="FI167" s="60" t="e">
        <f t="shared" si="131"/>
        <v>#NUM!</v>
      </c>
      <c r="FJ167" s="60">
        <f ca="1">AVERAGE(OFFSET($FI$3,0,0,'Données projet'!$E$16+1,1))-AVERAGE(OFFSET($H$3,0,0,'Données projet'!$E$16+1,1))</f>
        <v>111.24788725253484</v>
      </c>
      <c r="FK167" s="60">
        <f t="shared" si="156"/>
        <v>82.434879813357327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projet'!$B$16,Paramètres!$A$1:$I$89,3,0)*0.475*44/12</f>
        <v>0</v>
      </c>
      <c r="FR167" s="23">
        <f>EXP(-LN(2)/25)*FR166+(1-EXP(-LN(2)/25))/(LN(2)/25)*Calculateur!FM167*Calculateur!FO167*VLOOKUP('Données projet'!$B$16,Paramètres!$A$1:$I$89,3,0)*0.475*44/12</f>
        <v>0</v>
      </c>
      <c r="FS167" s="23">
        <f>EXP(-LN(2)/2)*FS166+(1-EXP(-LN(2)/2))/(LN(2)/2)*FM167*FP167*VLOOKUP('Données projet'!$B$16,Paramètres!$A$1:$I$89,3,0)*0.475*44/12</f>
        <v>0</v>
      </c>
      <c r="FT167" s="24">
        <f t="shared" si="184"/>
        <v>0</v>
      </c>
      <c r="FU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1.0231815394945443E-12</v>
      </c>
      <c r="GA167" s="18">
        <f>FZ167*VLOOKUP('Données projet'!$B$17,Paramètres!$A$1:$I$89,3,0)*VLOOKUP('Données projet'!$B$17,Paramètres!$A$1:$I$89,5,0)</f>
        <v>4.5224624045658859E-13</v>
      </c>
      <c r="GB167" s="14">
        <f t="shared" si="185"/>
        <v>5.6995607121061449E-12</v>
      </c>
      <c r="GC167" s="22">
        <f t="shared" si="186"/>
        <v>1.0714397109046761E-11</v>
      </c>
      <c r="GD167" s="60">
        <f t="shared" si="134"/>
        <v>293.333333333344</v>
      </c>
      <c r="GE167" s="60">
        <f ca="1">AVERAGE(OFFSET($GD$3,0,0,'Données projet'!$E$17+1,1))-AVERAGE(OFFSET($H$3,0,0,'Données projet'!$E$17+1,1))</f>
        <v>323.56667371063662</v>
      </c>
      <c r="GF167" s="60">
        <f t="shared" si="158"/>
        <v>275.70373467723385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>
        <f>EXP(-LN(2)/35)*GL166+(1-EXP(-LN(2)/35))/(LN(2)/35)*GH167*GI167*VLOOKUP('Données projet'!$B$17,Paramètres!$A$1:$I$89,3,0)*0.475*44/12</f>
        <v>0</v>
      </c>
      <c r="GM167" s="23">
        <f>EXP(-LN(2)/25)*GM166+(1-EXP(-LN(2)/25))/(LN(2)/25)*Calculateur!GH167*Calculateur!GJ167*VLOOKUP('Données projet'!$B$17,Paramètres!$A$1:$I$89,3,0)*0.475*44/12</f>
        <v>0</v>
      </c>
      <c r="GN167" s="23">
        <f>EXP(-LN(2)/2)*GN166+(1-EXP(-LN(2)/2))/(LN(2)/2)*GH167*GK167*VLOOKUP('Données projet'!$B$17,Paramètres!$A$1:$I$89,3,0)*0.475*44/12</f>
        <v>0</v>
      </c>
      <c r="GO167" s="23">
        <f t="shared" si="187"/>
        <v>0</v>
      </c>
      <c r="GP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0" t="e">
        <f t="shared" si="137"/>
        <v>#N/A</v>
      </c>
      <c r="GZ167" s="60" t="e">
        <f ca="1">AVERAGE(OFFSET($GY$3,0,0,'Données projet'!$E$18+1,1))-AVERAGE(OFFSET($H$3,0,0,'Données projet'!$E$18+1,1))</f>
        <v>#N/A</v>
      </c>
      <c r="HA167" s="60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4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2">
        <f t="shared" si="140"/>
        <v>24.586929563904505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-1.1368683772161603E-13</v>
      </c>
      <c r="O168" s="14">
        <f>N168*VLOOKUP('Données projet'!$B$9,Paramètres!$A$1:$I$89,3,0)*VLOOKUP('Données projet'!$B$9,Paramètres!$A$1:$I$89,5,0)</f>
        <v>-6.7984728957526396E-14</v>
      </c>
      <c r="P168" s="14" t="e">
        <f t="shared" si="141"/>
        <v>#NUM!</v>
      </c>
      <c r="Q168" s="22" t="e">
        <f t="shared" si="162"/>
        <v>#NUM!</v>
      </c>
      <c r="R168" s="60" t="e">
        <f t="shared" si="109"/>
        <v>#NUM!</v>
      </c>
      <c r="S168" s="60">
        <f ca="1">AVERAGE(OFFSET($R$3,0,0,'Données projet'!$E$9+1,1))-AVERAGE(OFFSET($H$3,0,0,'Données projet'!$E$9+1,1))</f>
        <v>235.63766249714581</v>
      </c>
      <c r="T168" s="60">
        <f t="shared" si="142"/>
        <v>231.3297293785277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0.79174884897683662</v>
      </c>
      <c r="AA168" s="23">
        <f>EXP(-LN(2)/25)*AA167+(1-EXP(-LN(2)/25))/(LN(2)/25)*Calculateur!V168*Calculateur!X168*VLOOKUP('Données projet'!$B$9,Paramètres!$A$1:$I$89,3,0)*0.475*44/12</f>
        <v>0.40945549191598457</v>
      </c>
      <c r="AB168" s="23">
        <f>EXP(-LN(2)/2)*AB167+(1-EXP(-LN(2)/2))/(LN(2)/2)*V168*Y168*VLOOKUP('Données projet'!$B$9,Paramètres!$A$1:$I$89,3,0)*0.475*44/12</f>
        <v>3.4079516720774926E-20</v>
      </c>
      <c r="AC168" s="24">
        <f t="shared" si="163"/>
        <v>1.2012043408928212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-9.6633812063373625E-13</v>
      </c>
      <c r="AJ168" s="14">
        <f>AI168*VLOOKUP('Données projet'!$B$10,Paramètres!$A$1:$I$89,3,0)*VLOOKUP('Données projet'!$B$10,Paramètres!$A$1:$I$89,5,0)</f>
        <v>-9.7986685432260874E-13</v>
      </c>
      <c r="AK168" s="14" t="e">
        <f t="shared" si="164"/>
        <v>#NUM!</v>
      </c>
      <c r="AL168" s="22" t="e">
        <f t="shared" si="165"/>
        <v>#NUM!</v>
      </c>
      <c r="AM168" s="60" t="e">
        <f t="shared" si="113"/>
        <v>#NUM!</v>
      </c>
      <c r="AN168" s="60">
        <f ca="1">AVERAGE(OFFSET($AM$3,0,0,'Données projet'!$E$10+1,1))-AVERAGE(OFFSET($H$3,0,0,'Données projet'!$E$10+1,1))</f>
        <v>350.3652766444938</v>
      </c>
      <c r="AO168" s="60">
        <f t="shared" si="144"/>
        <v>197.04549436738586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6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-9.6633812063373625E-13</v>
      </c>
      <c r="BE168" s="14">
        <f>BD168*VLOOKUP('Données projet'!$B$11,Paramètres!$A$1:$I$89,3,0)*VLOOKUP('Données projet'!$B$11,Paramètres!$A$1:$I$89,5,0)</f>
        <v>-9.3464223027694966E-13</v>
      </c>
      <c r="BF168" s="14" t="e">
        <f t="shared" si="167"/>
        <v>#NUM!</v>
      </c>
      <c r="BG168" s="22" t="e">
        <f t="shared" si="168"/>
        <v>#NUM!</v>
      </c>
      <c r="BH168" s="60" t="e">
        <f t="shared" si="116"/>
        <v>#NUM!</v>
      </c>
      <c r="BI168" s="60">
        <f ca="1">AVERAGE(OFFSET($BH$3,0,0,'Données projet'!$E$11+1,1))-AVERAGE(OFFSET($H$3,0,0,'Données projet'!$E$11+1,1))</f>
        <v>330.39429528665841</v>
      </c>
      <c r="BJ168" s="60">
        <f t="shared" si="146"/>
        <v>186.45728006007261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1.7053025658242404E-13</v>
      </c>
      <c r="BZ168" s="14">
        <f>BY168*VLOOKUP('Données projet'!$B$12,Paramètres!$A$1:$I$89,3,0)*VLOOKUP('Données projet'!$B$12,Paramètres!$A$1:$I$89,5,0)</f>
        <v>1.1439169611549005E-13</v>
      </c>
      <c r="CA168" s="14">
        <f t="shared" si="170"/>
        <v>1.6918016515029816E-12</v>
      </c>
      <c r="CB168" s="22">
        <f t="shared" si="171"/>
        <v>3.1457867471021712E-12</v>
      </c>
      <c r="CC168" s="60">
        <f t="shared" si="119"/>
        <v>293.33333333333644</v>
      </c>
      <c r="CD168" s="60">
        <f ca="1">AVERAGE(OFFSET($CC$3,0,0,'Données projet'!$E$12+1,1))-AVERAGE(OFFSET($H$3,0,0,'Données projet'!$E$12+1,1))</f>
        <v>212.33913923444732</v>
      </c>
      <c r="CE168" s="60">
        <f t="shared" si="148"/>
        <v>183.51194426094372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-3.979039320256561E-13</v>
      </c>
      <c r="CU168" s="18">
        <f>CT168*VLOOKUP('Données projet'!$B$13,Paramètres!$A$1:$I$89,3,0)*VLOOKUP('Données projet'!$B$13,Paramètres!$A$1:$I$89,5,0)</f>
        <v>-3.4760887501761321E-13</v>
      </c>
      <c r="CV168" s="14" t="e">
        <f t="shared" si="173"/>
        <v>#NUM!</v>
      </c>
      <c r="CW168" s="22" t="e">
        <f t="shared" si="174"/>
        <v>#NUM!</v>
      </c>
      <c r="CX168" s="60" t="e">
        <f t="shared" si="122"/>
        <v>#NUM!</v>
      </c>
      <c r="CY168" s="60">
        <f ca="1">AVERAGE(OFFSET($CX$3,0,0,'Données projet'!$E$13+1,1))-AVERAGE(OFFSET($H$3,0,0,'Données projet'!$E$13+1,1))</f>
        <v>228.0393346366489</v>
      </c>
      <c r="CZ168" s="60">
        <f t="shared" si="150"/>
        <v>238.591781509447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-9.6633812063373625E-13</v>
      </c>
      <c r="DP168" s="18">
        <f>DO168*VLOOKUP('Données projet'!$B$14,Paramètres!$A$1:$I$89,3,0)*VLOOKUP('Données projet'!$B$14,Paramètres!$A$1:$I$89,5,0)</f>
        <v>-8.7434273154940449E-13</v>
      </c>
      <c r="DQ168" s="14" t="e">
        <f t="shared" si="176"/>
        <v>#NUM!</v>
      </c>
      <c r="DR168" s="22" t="e">
        <f t="shared" si="177"/>
        <v>#NUM!</v>
      </c>
      <c r="DS168" s="60" t="e">
        <f t="shared" si="125"/>
        <v>#NUM!</v>
      </c>
      <c r="DT168" s="60">
        <f ca="1">AVERAGE(OFFSET($DS$3,0,0,'Données projet'!$E$14+1,1))-AVERAGE(OFFSET($H$3,0,0,'Données projet'!$E$14+1,1))</f>
        <v>303.73499739059076</v>
      </c>
      <c r="DU168" s="60">
        <f t="shared" si="152"/>
        <v>172.32171001882188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1.1368683772161603E-13</v>
      </c>
      <c r="EK168" s="18">
        <f>EJ168*VLOOKUP('Données projet'!$B$15,Paramètres!$A$1:$I$89,3,0)*VLOOKUP('Données projet'!$B$15,Paramètres!$A$1:$I$89,5,0)</f>
        <v>6.7984728957526396E-14</v>
      </c>
      <c r="EL168" s="14">
        <f t="shared" si="179"/>
        <v>1.0682447123141398E-12</v>
      </c>
      <c r="EM168" s="22">
        <f t="shared" si="180"/>
        <v>1.978932943548152E-12</v>
      </c>
      <c r="EN168" s="60">
        <f t="shared" si="128"/>
        <v>293.3333333333353</v>
      </c>
      <c r="EO168" s="60">
        <f ca="1">AVERAGE(OFFSET($EN$3,0,0,'Données projet'!$E$15+1,1))-AVERAGE(OFFSET($H$3,0,0,'Données projet'!$E$15+1,1))</f>
        <v>269.94948820700841</v>
      </c>
      <c r="EP168" s="60">
        <f t="shared" si="154"/>
        <v>183.45158355135192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0.32338540091698775</v>
      </c>
      <c r="EX168" s="23">
        <f>EXP(-LN(2)/2)*EX167+(1-EXP(-LN(2)/2))/(LN(2)/2)*ER168*EU168*VLOOKUP('Données projet'!$B$15,Paramètres!$A$1:$I$89,3,0)*0.475*44/12</f>
        <v>2.701486520749904E-20</v>
      </c>
      <c r="EY168" s="24">
        <f t="shared" si="181"/>
        <v>0.32338540091698775</v>
      </c>
      <c r="EZ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>
        <f>FE168*VLOOKUP('Données projet'!$B$16,Paramètres!$A$1:$I$89,3,0)*VLOOKUP('Données projet'!$B$16,Paramètres!$A$1:$I$89,5,0)</f>
        <v>0</v>
      </c>
      <c r="FG168" s="14" t="e">
        <f t="shared" si="182"/>
        <v>#NUM!</v>
      </c>
      <c r="FH168" s="22" t="e">
        <f t="shared" si="183"/>
        <v>#NUM!</v>
      </c>
      <c r="FI168" s="60" t="e">
        <f t="shared" si="131"/>
        <v>#NUM!</v>
      </c>
      <c r="FJ168" s="60">
        <f ca="1">AVERAGE(OFFSET($FI$3,0,0,'Données projet'!$E$16+1,1))-AVERAGE(OFFSET($H$3,0,0,'Données projet'!$E$16+1,1))</f>
        <v>111.24788725253484</v>
      </c>
      <c r="FK168" s="60">
        <f t="shared" si="156"/>
        <v>82.434879813357327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projet'!$B$16,Paramètres!$A$1:$I$89,3,0)*0.475*44/12</f>
        <v>0</v>
      </c>
      <c r="FR168" s="23">
        <f>EXP(-LN(2)/25)*FR167+(1-EXP(-LN(2)/25))/(LN(2)/25)*Calculateur!FM168*Calculateur!FO168*VLOOKUP('Données projet'!$B$16,Paramètres!$A$1:$I$89,3,0)*0.475*44/12</f>
        <v>0</v>
      </c>
      <c r="FS168" s="23">
        <f>EXP(-LN(2)/2)*FS167+(1-EXP(-LN(2)/2))/(LN(2)/2)*FM168*FP168*VLOOKUP('Données projet'!$B$16,Paramètres!$A$1:$I$89,3,0)*0.475*44/12</f>
        <v>0</v>
      </c>
      <c r="FT168" s="24">
        <f t="shared" si="184"/>
        <v>0</v>
      </c>
      <c r="FU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1.0231815394945443E-12</v>
      </c>
      <c r="GA168" s="18">
        <f>FZ168*VLOOKUP('Données projet'!$B$17,Paramètres!$A$1:$I$89,3,0)*VLOOKUP('Données projet'!$B$17,Paramètres!$A$1:$I$89,5,0)</f>
        <v>4.5224624045658859E-13</v>
      </c>
      <c r="GB168" s="14">
        <f t="shared" si="185"/>
        <v>5.6995607121061449E-12</v>
      </c>
      <c r="GC168" s="22">
        <f t="shared" si="186"/>
        <v>1.0714397109046761E-11</v>
      </c>
      <c r="GD168" s="60">
        <f t="shared" si="134"/>
        <v>293.333333333344</v>
      </c>
      <c r="GE168" s="60">
        <f ca="1">AVERAGE(OFFSET($GD$3,0,0,'Données projet'!$E$17+1,1))-AVERAGE(OFFSET($H$3,0,0,'Données projet'!$E$17+1,1))</f>
        <v>323.56667371063662</v>
      </c>
      <c r="GF168" s="60">
        <f t="shared" si="158"/>
        <v>275.70373467723385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>
        <f>EXP(-LN(2)/35)*GL167+(1-EXP(-LN(2)/35))/(LN(2)/35)*GH168*GI168*VLOOKUP('Données projet'!$B$17,Paramètres!$A$1:$I$89,3,0)*0.475*44/12</f>
        <v>0</v>
      </c>
      <c r="GM168" s="23">
        <f>EXP(-LN(2)/25)*GM167+(1-EXP(-LN(2)/25))/(LN(2)/25)*Calculateur!GH168*Calculateur!GJ168*VLOOKUP('Données projet'!$B$17,Paramètres!$A$1:$I$89,3,0)*0.475*44/12</f>
        <v>0</v>
      </c>
      <c r="GN168" s="23">
        <f>EXP(-LN(2)/2)*GN167+(1-EXP(-LN(2)/2))/(LN(2)/2)*GH168*GK168*VLOOKUP('Données projet'!$B$17,Paramètres!$A$1:$I$89,3,0)*0.475*44/12</f>
        <v>0</v>
      </c>
      <c r="GO168" s="23">
        <f t="shared" si="187"/>
        <v>0</v>
      </c>
      <c r="GP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0" t="e">
        <f t="shared" si="137"/>
        <v>#N/A</v>
      </c>
      <c r="GZ168" s="60" t="e">
        <f ca="1">AVERAGE(OFFSET($GY$3,0,0,'Données projet'!$E$18+1,1))-AVERAGE(OFFSET($H$3,0,0,'Données projet'!$E$18+1,1))</f>
        <v>#N/A</v>
      </c>
      <c r="HA168" s="60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4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2">
        <f t="shared" si="140"/>
        <v>24.718549958973419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-1.1368683772161603E-13</v>
      </c>
      <c r="O169" s="14">
        <f>N169*VLOOKUP('Données projet'!$B$9,Paramètres!$A$1:$I$89,3,0)*VLOOKUP('Données projet'!$B$9,Paramètres!$A$1:$I$89,5,0)</f>
        <v>-6.7984728957526396E-14</v>
      </c>
      <c r="P169" s="14" t="e">
        <f t="shared" si="141"/>
        <v>#NUM!</v>
      </c>
      <c r="Q169" s="22" t="e">
        <f t="shared" si="162"/>
        <v>#NUM!</v>
      </c>
      <c r="R169" s="60" t="e">
        <f t="shared" si="109"/>
        <v>#NUM!</v>
      </c>
      <c r="S169" s="60">
        <f ca="1">AVERAGE(OFFSET($R$3,0,0,'Données projet'!$E$9+1,1))-AVERAGE(OFFSET($H$3,0,0,'Données projet'!$E$9+1,1))</f>
        <v>235.63766249714581</v>
      </c>
      <c r="T169" s="60">
        <f t="shared" si="142"/>
        <v>231.3297293785277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0.77622313696751444</v>
      </c>
      <c r="AA169" s="23">
        <f>EXP(-LN(2)/25)*AA168+(1-EXP(-LN(2)/25))/(LN(2)/25)*Calculateur!V169*Calculateur!X169*VLOOKUP('Données projet'!$B$9,Paramètres!$A$1:$I$89,3,0)*0.475*44/12</f>
        <v>0.39825890995721347</v>
      </c>
      <c r="AB169" s="23">
        <f>EXP(-LN(2)/2)*AB168+(1-EXP(-LN(2)/2))/(LN(2)/2)*V169*Y169*VLOOKUP('Données projet'!$B$9,Paramètres!$A$1:$I$89,3,0)*0.475*44/12</f>
        <v>2.4097857372820284E-20</v>
      </c>
      <c r="AC169" s="24">
        <f t="shared" si="163"/>
        <v>1.1744820469247279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-9.6633812063373625E-13</v>
      </c>
      <c r="AJ169" s="14">
        <f>AI169*VLOOKUP('Données projet'!$B$10,Paramètres!$A$1:$I$89,3,0)*VLOOKUP('Données projet'!$B$10,Paramètres!$A$1:$I$89,5,0)</f>
        <v>-9.7986685432260874E-13</v>
      </c>
      <c r="AK169" s="14" t="e">
        <f t="shared" si="164"/>
        <v>#NUM!</v>
      </c>
      <c r="AL169" s="22" t="e">
        <f t="shared" si="165"/>
        <v>#NUM!</v>
      </c>
      <c r="AM169" s="60" t="e">
        <f t="shared" si="113"/>
        <v>#NUM!</v>
      </c>
      <c r="AN169" s="60">
        <f ca="1">AVERAGE(OFFSET($AM$3,0,0,'Données projet'!$E$10+1,1))-AVERAGE(OFFSET($H$3,0,0,'Données projet'!$E$10+1,1))</f>
        <v>350.3652766444938</v>
      </c>
      <c r="AO169" s="60">
        <f t="shared" si="144"/>
        <v>197.04549436738586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6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-9.6633812063373625E-13</v>
      </c>
      <c r="BE169" s="14">
        <f>BD169*VLOOKUP('Données projet'!$B$11,Paramètres!$A$1:$I$89,3,0)*VLOOKUP('Données projet'!$B$11,Paramètres!$A$1:$I$89,5,0)</f>
        <v>-9.3464223027694966E-13</v>
      </c>
      <c r="BF169" s="14" t="e">
        <f t="shared" si="167"/>
        <v>#NUM!</v>
      </c>
      <c r="BG169" s="22" t="e">
        <f t="shared" si="168"/>
        <v>#NUM!</v>
      </c>
      <c r="BH169" s="60" t="e">
        <f t="shared" si="116"/>
        <v>#NUM!</v>
      </c>
      <c r="BI169" s="60">
        <f ca="1">AVERAGE(OFFSET($BH$3,0,0,'Données projet'!$E$11+1,1))-AVERAGE(OFFSET($H$3,0,0,'Données projet'!$E$11+1,1))</f>
        <v>330.39429528665841</v>
      </c>
      <c r="BJ169" s="60">
        <f t="shared" si="146"/>
        <v>186.45728006007261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1.7053025658242404E-13</v>
      </c>
      <c r="BZ169" s="14">
        <f>BY169*VLOOKUP('Données projet'!$B$12,Paramètres!$A$1:$I$89,3,0)*VLOOKUP('Données projet'!$B$12,Paramètres!$A$1:$I$89,5,0)</f>
        <v>1.1439169611549005E-13</v>
      </c>
      <c r="CA169" s="14">
        <f t="shared" si="170"/>
        <v>1.6918016515029816E-12</v>
      </c>
      <c r="CB169" s="22">
        <f t="shared" si="171"/>
        <v>3.1457867471021712E-12</v>
      </c>
      <c r="CC169" s="60">
        <f t="shared" si="119"/>
        <v>293.33333333333644</v>
      </c>
      <c r="CD169" s="60">
        <f ca="1">AVERAGE(OFFSET($CC$3,0,0,'Données projet'!$E$12+1,1))-AVERAGE(OFFSET($H$3,0,0,'Données projet'!$E$12+1,1))</f>
        <v>212.33913923444732</v>
      </c>
      <c r="CE169" s="60">
        <f t="shared" si="148"/>
        <v>183.51194426094372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-3.979039320256561E-13</v>
      </c>
      <c r="CU169" s="18">
        <f>CT169*VLOOKUP('Données projet'!$B$13,Paramètres!$A$1:$I$89,3,0)*VLOOKUP('Données projet'!$B$13,Paramètres!$A$1:$I$89,5,0)</f>
        <v>-3.4760887501761321E-13</v>
      </c>
      <c r="CV169" s="14" t="e">
        <f t="shared" si="173"/>
        <v>#NUM!</v>
      </c>
      <c r="CW169" s="22" t="e">
        <f t="shared" si="174"/>
        <v>#NUM!</v>
      </c>
      <c r="CX169" s="60" t="e">
        <f t="shared" si="122"/>
        <v>#NUM!</v>
      </c>
      <c r="CY169" s="60">
        <f ca="1">AVERAGE(OFFSET($CX$3,0,0,'Données projet'!$E$13+1,1))-AVERAGE(OFFSET($H$3,0,0,'Données projet'!$E$13+1,1))</f>
        <v>228.0393346366489</v>
      </c>
      <c r="CZ169" s="60">
        <f t="shared" si="150"/>
        <v>238.591781509447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-9.6633812063373625E-13</v>
      </c>
      <c r="DP169" s="18">
        <f>DO169*VLOOKUP('Données projet'!$B$14,Paramètres!$A$1:$I$89,3,0)*VLOOKUP('Données projet'!$B$14,Paramètres!$A$1:$I$89,5,0)</f>
        <v>-8.7434273154940449E-13</v>
      </c>
      <c r="DQ169" s="14" t="e">
        <f t="shared" si="176"/>
        <v>#NUM!</v>
      </c>
      <c r="DR169" s="22" t="e">
        <f t="shared" si="177"/>
        <v>#NUM!</v>
      </c>
      <c r="DS169" s="60" t="e">
        <f t="shared" si="125"/>
        <v>#NUM!</v>
      </c>
      <c r="DT169" s="60">
        <f ca="1">AVERAGE(OFFSET($DS$3,0,0,'Données projet'!$E$14+1,1))-AVERAGE(OFFSET($H$3,0,0,'Données projet'!$E$14+1,1))</f>
        <v>303.73499739059076</v>
      </c>
      <c r="DU169" s="60">
        <f t="shared" si="152"/>
        <v>172.32171001882188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1.1368683772161603E-13</v>
      </c>
      <c r="EK169" s="18">
        <f>EJ169*VLOOKUP('Données projet'!$B$15,Paramètres!$A$1:$I$89,3,0)*VLOOKUP('Données projet'!$B$15,Paramètres!$A$1:$I$89,5,0)</f>
        <v>6.7984728957526396E-14</v>
      </c>
      <c r="EL169" s="14">
        <f t="shared" si="179"/>
        <v>1.0682447123141398E-12</v>
      </c>
      <c r="EM169" s="22">
        <f t="shared" si="180"/>
        <v>1.978932943548152E-12</v>
      </c>
      <c r="EN169" s="60">
        <f t="shared" si="128"/>
        <v>293.3333333333353</v>
      </c>
      <c r="EO169" s="60">
        <f ca="1">AVERAGE(OFFSET($EN$3,0,0,'Données projet'!$E$15+1,1))-AVERAGE(OFFSET($H$3,0,0,'Données projet'!$E$15+1,1))</f>
        <v>269.94948820700841</v>
      </c>
      <c r="EP169" s="60">
        <f t="shared" si="154"/>
        <v>183.45158355135192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0.31454241012281359</v>
      </c>
      <c r="EX169" s="23">
        <f>EXP(-LN(2)/2)*EX168+(1-EXP(-LN(2)/2))/(LN(2)/2)*ER169*EU169*VLOOKUP('Données projet'!$B$15,Paramètres!$A$1:$I$89,3,0)*0.475*44/12</f>
        <v>1.9102394381063101E-20</v>
      </c>
      <c r="EY169" s="24">
        <f t="shared" si="181"/>
        <v>0.31454241012281359</v>
      </c>
      <c r="EZ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>
        <f>FE169*VLOOKUP('Données projet'!$B$16,Paramètres!$A$1:$I$89,3,0)*VLOOKUP('Données projet'!$B$16,Paramètres!$A$1:$I$89,5,0)</f>
        <v>0</v>
      </c>
      <c r="FG169" s="14" t="e">
        <f t="shared" si="182"/>
        <v>#NUM!</v>
      </c>
      <c r="FH169" s="22" t="e">
        <f t="shared" si="183"/>
        <v>#NUM!</v>
      </c>
      <c r="FI169" s="60" t="e">
        <f t="shared" si="131"/>
        <v>#NUM!</v>
      </c>
      <c r="FJ169" s="60">
        <f ca="1">AVERAGE(OFFSET($FI$3,0,0,'Données projet'!$E$16+1,1))-AVERAGE(OFFSET($H$3,0,0,'Données projet'!$E$16+1,1))</f>
        <v>111.24788725253484</v>
      </c>
      <c r="FK169" s="60">
        <f t="shared" si="156"/>
        <v>82.434879813357327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projet'!$B$16,Paramètres!$A$1:$I$89,3,0)*0.475*44/12</f>
        <v>0</v>
      </c>
      <c r="FR169" s="23">
        <f>EXP(-LN(2)/25)*FR168+(1-EXP(-LN(2)/25))/(LN(2)/25)*Calculateur!FM169*Calculateur!FO169*VLOOKUP('Données projet'!$B$16,Paramètres!$A$1:$I$89,3,0)*0.475*44/12</f>
        <v>0</v>
      </c>
      <c r="FS169" s="23">
        <f>EXP(-LN(2)/2)*FS168+(1-EXP(-LN(2)/2))/(LN(2)/2)*FM169*FP169*VLOOKUP('Données projet'!$B$16,Paramètres!$A$1:$I$89,3,0)*0.475*44/12</f>
        <v>0</v>
      </c>
      <c r="FT169" s="24">
        <f t="shared" si="184"/>
        <v>0</v>
      </c>
      <c r="FU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1.0231815394945443E-12</v>
      </c>
      <c r="GA169" s="18">
        <f>FZ169*VLOOKUP('Données projet'!$B$17,Paramètres!$A$1:$I$89,3,0)*VLOOKUP('Données projet'!$B$17,Paramètres!$A$1:$I$89,5,0)</f>
        <v>4.5224624045658859E-13</v>
      </c>
      <c r="GB169" s="14">
        <f t="shared" si="185"/>
        <v>5.6995607121061449E-12</v>
      </c>
      <c r="GC169" s="22">
        <f t="shared" si="186"/>
        <v>1.0714397109046761E-11</v>
      </c>
      <c r="GD169" s="60">
        <f t="shared" si="134"/>
        <v>293.333333333344</v>
      </c>
      <c r="GE169" s="60">
        <f ca="1">AVERAGE(OFFSET($GD$3,0,0,'Données projet'!$E$17+1,1))-AVERAGE(OFFSET($H$3,0,0,'Données projet'!$E$17+1,1))</f>
        <v>323.56667371063662</v>
      </c>
      <c r="GF169" s="60">
        <f t="shared" si="158"/>
        <v>275.70373467723385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>
        <f>EXP(-LN(2)/35)*GL168+(1-EXP(-LN(2)/35))/(LN(2)/35)*GH169*GI169*VLOOKUP('Données projet'!$B$17,Paramètres!$A$1:$I$89,3,0)*0.475*44/12</f>
        <v>0</v>
      </c>
      <c r="GM169" s="23">
        <f>EXP(-LN(2)/25)*GM168+(1-EXP(-LN(2)/25))/(LN(2)/25)*Calculateur!GH169*Calculateur!GJ169*VLOOKUP('Données projet'!$B$17,Paramètres!$A$1:$I$89,3,0)*0.475*44/12</f>
        <v>0</v>
      </c>
      <c r="GN169" s="23">
        <f>EXP(-LN(2)/2)*GN168+(1-EXP(-LN(2)/2))/(LN(2)/2)*GH169*GK169*VLOOKUP('Données projet'!$B$17,Paramètres!$A$1:$I$89,3,0)*0.475*44/12</f>
        <v>0</v>
      </c>
      <c r="GO169" s="23">
        <f t="shared" si="187"/>
        <v>0</v>
      </c>
      <c r="GP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0" t="e">
        <f t="shared" si="137"/>
        <v>#N/A</v>
      </c>
      <c r="GZ169" s="60" t="e">
        <f ca="1">AVERAGE(OFFSET($GY$3,0,0,'Données projet'!$E$18+1,1))-AVERAGE(OFFSET($H$3,0,0,'Données projet'!$E$18+1,1))</f>
        <v>#N/A</v>
      </c>
      <c r="HA169" s="60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4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2">
        <f t="shared" si="140"/>
        <v>24.850078092947228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-1.1368683772161603E-13</v>
      </c>
      <c r="O170" s="14">
        <f>N170*VLOOKUP('Données projet'!$B$9,Paramètres!$A$1:$I$89,3,0)*VLOOKUP('Données projet'!$B$9,Paramètres!$A$1:$I$89,5,0)</f>
        <v>-6.7984728957526396E-14</v>
      </c>
      <c r="P170" s="14" t="e">
        <f t="shared" si="141"/>
        <v>#NUM!</v>
      </c>
      <c r="Q170" s="22" t="e">
        <f t="shared" si="162"/>
        <v>#NUM!</v>
      </c>
      <c r="R170" s="60" t="e">
        <f t="shared" si="109"/>
        <v>#NUM!</v>
      </c>
      <c r="S170" s="60">
        <f ca="1">AVERAGE(OFFSET($R$3,0,0,'Données projet'!$E$9+1,1))-AVERAGE(OFFSET($H$3,0,0,'Données projet'!$E$9+1,1))</f>
        <v>235.63766249714581</v>
      </c>
      <c r="T170" s="60">
        <f t="shared" si="142"/>
        <v>231.3297293785277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0.76100187470094582</v>
      </c>
      <c r="AA170" s="23">
        <f>EXP(-LN(2)/25)*AA169+(1-EXP(-LN(2)/25))/(LN(2)/25)*Calculateur!V170*Calculateur!X170*VLOOKUP('Données projet'!$B$9,Paramètres!$A$1:$I$89,3,0)*0.475*44/12</f>
        <v>0.38736849912090765</v>
      </c>
      <c r="AB170" s="23">
        <f>EXP(-LN(2)/2)*AB169+(1-EXP(-LN(2)/2))/(LN(2)/2)*V170*Y170*VLOOKUP('Données projet'!$B$9,Paramètres!$A$1:$I$89,3,0)*0.475*44/12</f>
        <v>1.7039758360387463E-20</v>
      </c>
      <c r="AC170" s="24">
        <f t="shared" si="163"/>
        <v>1.1483703738218534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-9.6633812063373625E-13</v>
      </c>
      <c r="AJ170" s="14">
        <f>AI170*VLOOKUP('Données projet'!$B$10,Paramètres!$A$1:$I$89,3,0)*VLOOKUP('Données projet'!$B$10,Paramètres!$A$1:$I$89,5,0)</f>
        <v>-9.7986685432260874E-13</v>
      </c>
      <c r="AK170" s="14" t="e">
        <f t="shared" si="164"/>
        <v>#NUM!</v>
      </c>
      <c r="AL170" s="22" t="e">
        <f t="shared" si="165"/>
        <v>#NUM!</v>
      </c>
      <c r="AM170" s="60" t="e">
        <f t="shared" si="113"/>
        <v>#NUM!</v>
      </c>
      <c r="AN170" s="60">
        <f ca="1">AVERAGE(OFFSET($AM$3,0,0,'Données projet'!$E$10+1,1))-AVERAGE(OFFSET($H$3,0,0,'Données projet'!$E$10+1,1))</f>
        <v>350.3652766444938</v>
      </c>
      <c r="AO170" s="60">
        <f t="shared" si="144"/>
        <v>197.04549436738586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6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-9.6633812063373625E-13</v>
      </c>
      <c r="BE170" s="14">
        <f>BD170*VLOOKUP('Données projet'!$B$11,Paramètres!$A$1:$I$89,3,0)*VLOOKUP('Données projet'!$B$11,Paramètres!$A$1:$I$89,5,0)</f>
        <v>-9.3464223027694966E-13</v>
      </c>
      <c r="BF170" s="14" t="e">
        <f t="shared" si="167"/>
        <v>#NUM!</v>
      </c>
      <c r="BG170" s="22" t="e">
        <f t="shared" si="168"/>
        <v>#NUM!</v>
      </c>
      <c r="BH170" s="60" t="e">
        <f t="shared" si="116"/>
        <v>#NUM!</v>
      </c>
      <c r="BI170" s="60">
        <f ca="1">AVERAGE(OFFSET($BH$3,0,0,'Données projet'!$E$11+1,1))-AVERAGE(OFFSET($H$3,0,0,'Données projet'!$E$11+1,1))</f>
        <v>330.39429528665841</v>
      </c>
      <c r="BJ170" s="60">
        <f t="shared" si="146"/>
        <v>186.45728006007261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1.7053025658242404E-13</v>
      </c>
      <c r="BZ170" s="14">
        <f>BY170*VLOOKUP('Données projet'!$B$12,Paramètres!$A$1:$I$89,3,0)*VLOOKUP('Données projet'!$B$12,Paramètres!$A$1:$I$89,5,0)</f>
        <v>1.1439169611549005E-13</v>
      </c>
      <c r="CA170" s="14">
        <f t="shared" si="170"/>
        <v>1.6918016515029816E-12</v>
      </c>
      <c r="CB170" s="22">
        <f t="shared" si="171"/>
        <v>3.1457867471021712E-12</v>
      </c>
      <c r="CC170" s="60">
        <f t="shared" si="119"/>
        <v>293.33333333333644</v>
      </c>
      <c r="CD170" s="60">
        <f ca="1">AVERAGE(OFFSET($CC$3,0,0,'Données projet'!$E$12+1,1))-AVERAGE(OFFSET($H$3,0,0,'Données projet'!$E$12+1,1))</f>
        <v>212.33913923444732</v>
      </c>
      <c r="CE170" s="60">
        <f t="shared" si="148"/>
        <v>183.51194426094372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-3.979039320256561E-13</v>
      </c>
      <c r="CU170" s="18">
        <f>CT170*VLOOKUP('Données projet'!$B$13,Paramètres!$A$1:$I$89,3,0)*VLOOKUP('Données projet'!$B$13,Paramètres!$A$1:$I$89,5,0)</f>
        <v>-3.4760887501761321E-13</v>
      </c>
      <c r="CV170" s="14" t="e">
        <f t="shared" si="173"/>
        <v>#NUM!</v>
      </c>
      <c r="CW170" s="22" t="e">
        <f t="shared" si="174"/>
        <v>#NUM!</v>
      </c>
      <c r="CX170" s="60" t="e">
        <f t="shared" si="122"/>
        <v>#NUM!</v>
      </c>
      <c r="CY170" s="60">
        <f ca="1">AVERAGE(OFFSET($CX$3,0,0,'Données projet'!$E$13+1,1))-AVERAGE(OFFSET($H$3,0,0,'Données projet'!$E$13+1,1))</f>
        <v>228.0393346366489</v>
      </c>
      <c r="CZ170" s="60">
        <f t="shared" si="150"/>
        <v>238.591781509447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-9.6633812063373625E-13</v>
      </c>
      <c r="DP170" s="18">
        <f>DO170*VLOOKUP('Données projet'!$B$14,Paramètres!$A$1:$I$89,3,0)*VLOOKUP('Données projet'!$B$14,Paramètres!$A$1:$I$89,5,0)</f>
        <v>-8.7434273154940449E-13</v>
      </c>
      <c r="DQ170" s="14" t="e">
        <f t="shared" si="176"/>
        <v>#NUM!</v>
      </c>
      <c r="DR170" s="22" t="e">
        <f t="shared" si="177"/>
        <v>#NUM!</v>
      </c>
      <c r="DS170" s="60" t="e">
        <f t="shared" si="125"/>
        <v>#NUM!</v>
      </c>
      <c r="DT170" s="60">
        <f ca="1">AVERAGE(OFFSET($DS$3,0,0,'Données projet'!$E$14+1,1))-AVERAGE(OFFSET($H$3,0,0,'Données projet'!$E$14+1,1))</f>
        <v>303.73499739059076</v>
      </c>
      <c r="DU170" s="60">
        <f t="shared" si="152"/>
        <v>172.32171001882188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1.1368683772161603E-13</v>
      </c>
      <c r="EK170" s="18">
        <f>EJ170*VLOOKUP('Données projet'!$B$15,Paramètres!$A$1:$I$89,3,0)*VLOOKUP('Données projet'!$B$15,Paramètres!$A$1:$I$89,5,0)</f>
        <v>6.7984728957526396E-14</v>
      </c>
      <c r="EL170" s="14">
        <f t="shared" si="179"/>
        <v>1.0682447123141398E-12</v>
      </c>
      <c r="EM170" s="22">
        <f t="shared" si="180"/>
        <v>1.978932943548152E-12</v>
      </c>
      <c r="EN170" s="60">
        <f t="shared" si="128"/>
        <v>293.3333333333353</v>
      </c>
      <c r="EO170" s="60">
        <f ca="1">AVERAGE(OFFSET($EN$3,0,0,'Données projet'!$E$15+1,1))-AVERAGE(OFFSET($H$3,0,0,'Données projet'!$E$15+1,1))</f>
        <v>269.94948820700841</v>
      </c>
      <c r="EP170" s="60">
        <f t="shared" si="154"/>
        <v>183.45158355135192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0.30594123137693879</v>
      </c>
      <c r="EX170" s="23">
        <f>EXP(-LN(2)/2)*EX169+(1-EXP(-LN(2)/2))/(LN(2)/2)*ER170*EU170*VLOOKUP('Données projet'!$B$15,Paramètres!$A$1:$I$89,3,0)*0.475*44/12</f>
        <v>1.3507432603749521E-20</v>
      </c>
      <c r="EY170" s="24">
        <f t="shared" si="181"/>
        <v>0.30594123137693879</v>
      </c>
      <c r="EZ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>
        <f>FE170*VLOOKUP('Données projet'!$B$16,Paramètres!$A$1:$I$89,3,0)*VLOOKUP('Données projet'!$B$16,Paramètres!$A$1:$I$89,5,0)</f>
        <v>0</v>
      </c>
      <c r="FG170" s="14" t="e">
        <f t="shared" si="182"/>
        <v>#NUM!</v>
      </c>
      <c r="FH170" s="22" t="e">
        <f t="shared" si="183"/>
        <v>#NUM!</v>
      </c>
      <c r="FI170" s="60" t="e">
        <f t="shared" si="131"/>
        <v>#NUM!</v>
      </c>
      <c r="FJ170" s="60">
        <f ca="1">AVERAGE(OFFSET($FI$3,0,0,'Données projet'!$E$16+1,1))-AVERAGE(OFFSET($H$3,0,0,'Données projet'!$E$16+1,1))</f>
        <v>111.24788725253484</v>
      </c>
      <c r="FK170" s="60">
        <f t="shared" si="156"/>
        <v>82.434879813357327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projet'!$B$16,Paramètres!$A$1:$I$89,3,0)*0.475*44/12</f>
        <v>0</v>
      </c>
      <c r="FR170" s="23">
        <f>EXP(-LN(2)/25)*FR169+(1-EXP(-LN(2)/25))/(LN(2)/25)*Calculateur!FM170*Calculateur!FO170*VLOOKUP('Données projet'!$B$16,Paramètres!$A$1:$I$89,3,0)*0.475*44/12</f>
        <v>0</v>
      </c>
      <c r="FS170" s="23">
        <f>EXP(-LN(2)/2)*FS169+(1-EXP(-LN(2)/2))/(LN(2)/2)*FM170*FP170*VLOOKUP('Données projet'!$B$16,Paramètres!$A$1:$I$89,3,0)*0.475*44/12</f>
        <v>0</v>
      </c>
      <c r="FT170" s="24">
        <f t="shared" si="184"/>
        <v>0</v>
      </c>
      <c r="FU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1.0231815394945443E-12</v>
      </c>
      <c r="GA170" s="18">
        <f>FZ170*VLOOKUP('Données projet'!$B$17,Paramètres!$A$1:$I$89,3,0)*VLOOKUP('Données projet'!$B$17,Paramètres!$A$1:$I$89,5,0)</f>
        <v>4.5224624045658859E-13</v>
      </c>
      <c r="GB170" s="14">
        <f t="shared" si="185"/>
        <v>5.6995607121061449E-12</v>
      </c>
      <c r="GC170" s="22">
        <f t="shared" si="186"/>
        <v>1.0714397109046761E-11</v>
      </c>
      <c r="GD170" s="60">
        <f t="shared" si="134"/>
        <v>293.333333333344</v>
      </c>
      <c r="GE170" s="60">
        <f ca="1">AVERAGE(OFFSET($GD$3,0,0,'Données projet'!$E$17+1,1))-AVERAGE(OFFSET($H$3,0,0,'Données projet'!$E$17+1,1))</f>
        <v>323.56667371063662</v>
      </c>
      <c r="GF170" s="60">
        <f t="shared" si="158"/>
        <v>275.70373467723385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>
        <f>EXP(-LN(2)/35)*GL169+(1-EXP(-LN(2)/35))/(LN(2)/35)*GH170*GI170*VLOOKUP('Données projet'!$B$17,Paramètres!$A$1:$I$89,3,0)*0.475*44/12</f>
        <v>0</v>
      </c>
      <c r="GM170" s="23">
        <f>EXP(-LN(2)/25)*GM169+(1-EXP(-LN(2)/25))/(LN(2)/25)*Calculateur!GH170*Calculateur!GJ170*VLOOKUP('Données projet'!$B$17,Paramètres!$A$1:$I$89,3,0)*0.475*44/12</f>
        <v>0</v>
      </c>
      <c r="GN170" s="23">
        <f>EXP(-LN(2)/2)*GN169+(1-EXP(-LN(2)/2))/(LN(2)/2)*GH170*GK170*VLOOKUP('Données projet'!$B$17,Paramètres!$A$1:$I$89,3,0)*0.475*44/12</f>
        <v>0</v>
      </c>
      <c r="GO170" s="23">
        <f t="shared" si="187"/>
        <v>0</v>
      </c>
      <c r="GP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0" t="e">
        <f t="shared" si="137"/>
        <v>#N/A</v>
      </c>
      <c r="GZ170" s="60" t="e">
        <f ca="1">AVERAGE(OFFSET($GY$3,0,0,'Données projet'!$E$18+1,1))-AVERAGE(OFFSET($H$3,0,0,'Données projet'!$E$18+1,1))</f>
        <v>#N/A</v>
      </c>
      <c r="HA170" s="60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4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2">
        <f t="shared" si="140"/>
        <v>24.981514582386627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-1.1368683772161603E-13</v>
      </c>
      <c r="O171" s="14">
        <f>N171*VLOOKUP('Données projet'!$B$9,Paramètres!$A$1:$I$89,3,0)*VLOOKUP('Données projet'!$B$9,Paramètres!$A$1:$I$89,5,0)</f>
        <v>-6.7984728957526396E-14</v>
      </c>
      <c r="P171" s="14" t="e">
        <f t="shared" si="141"/>
        <v>#NUM!</v>
      </c>
      <c r="Q171" s="22" t="e">
        <f t="shared" si="162"/>
        <v>#NUM!</v>
      </c>
      <c r="R171" s="60" t="e">
        <f t="shared" si="109"/>
        <v>#NUM!</v>
      </c>
      <c r="S171" s="60">
        <f ca="1">AVERAGE(OFFSET($R$3,0,0,'Données projet'!$E$9+1,1))-AVERAGE(OFFSET($H$3,0,0,'Données projet'!$E$9+1,1))</f>
        <v>235.63766249714581</v>
      </c>
      <c r="T171" s="60">
        <f t="shared" si="142"/>
        <v>231.3297293785277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0.74607909210337131</v>
      </c>
      <c r="AA171" s="23">
        <f>EXP(-LN(2)/25)*AA170+(1-EXP(-LN(2)/25))/(LN(2)/25)*Calculateur!V171*Calculateur!X171*VLOOKUP('Données projet'!$B$9,Paramètres!$A$1:$I$89,3,0)*0.475*44/12</f>
        <v>0.37677588714162241</v>
      </c>
      <c r="AB171" s="23">
        <f>EXP(-LN(2)/2)*AB170+(1-EXP(-LN(2)/2))/(LN(2)/2)*V171*Y171*VLOOKUP('Données projet'!$B$9,Paramètres!$A$1:$I$89,3,0)*0.475*44/12</f>
        <v>1.2048928686410142E-20</v>
      </c>
      <c r="AC171" s="24">
        <f t="shared" si="163"/>
        <v>1.1228549792449938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-9.6633812063373625E-13</v>
      </c>
      <c r="AJ171" s="14">
        <f>AI171*VLOOKUP('Données projet'!$B$10,Paramètres!$A$1:$I$89,3,0)*VLOOKUP('Données projet'!$B$10,Paramètres!$A$1:$I$89,5,0)</f>
        <v>-9.7986685432260874E-13</v>
      </c>
      <c r="AK171" s="14" t="e">
        <f t="shared" si="164"/>
        <v>#NUM!</v>
      </c>
      <c r="AL171" s="22" t="e">
        <f t="shared" si="165"/>
        <v>#NUM!</v>
      </c>
      <c r="AM171" s="60" t="e">
        <f t="shared" si="113"/>
        <v>#NUM!</v>
      </c>
      <c r="AN171" s="60">
        <f ca="1">AVERAGE(OFFSET($AM$3,0,0,'Données projet'!$E$10+1,1))-AVERAGE(OFFSET($H$3,0,0,'Données projet'!$E$10+1,1))</f>
        <v>350.3652766444938</v>
      </c>
      <c r="AO171" s="60">
        <f t="shared" si="144"/>
        <v>197.04549436738586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6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-9.6633812063373625E-13</v>
      </c>
      <c r="BE171" s="14">
        <f>BD171*VLOOKUP('Données projet'!$B$11,Paramètres!$A$1:$I$89,3,0)*VLOOKUP('Données projet'!$B$11,Paramètres!$A$1:$I$89,5,0)</f>
        <v>-9.3464223027694966E-13</v>
      </c>
      <c r="BF171" s="14" t="e">
        <f t="shared" si="167"/>
        <v>#NUM!</v>
      </c>
      <c r="BG171" s="22" t="e">
        <f t="shared" si="168"/>
        <v>#NUM!</v>
      </c>
      <c r="BH171" s="60" t="e">
        <f t="shared" si="116"/>
        <v>#NUM!</v>
      </c>
      <c r="BI171" s="60">
        <f ca="1">AVERAGE(OFFSET($BH$3,0,0,'Données projet'!$E$11+1,1))-AVERAGE(OFFSET($H$3,0,0,'Données projet'!$E$11+1,1))</f>
        <v>330.39429528665841</v>
      </c>
      <c r="BJ171" s="60">
        <f t="shared" si="146"/>
        <v>186.45728006007261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1.7053025658242404E-13</v>
      </c>
      <c r="BZ171" s="14">
        <f>BY171*VLOOKUP('Données projet'!$B$12,Paramètres!$A$1:$I$89,3,0)*VLOOKUP('Données projet'!$B$12,Paramètres!$A$1:$I$89,5,0)</f>
        <v>1.1439169611549005E-13</v>
      </c>
      <c r="CA171" s="14">
        <f t="shared" si="170"/>
        <v>1.6918016515029816E-12</v>
      </c>
      <c r="CB171" s="22">
        <f t="shared" si="171"/>
        <v>3.1457867471021712E-12</v>
      </c>
      <c r="CC171" s="60">
        <f t="shared" si="119"/>
        <v>293.33333333333644</v>
      </c>
      <c r="CD171" s="60">
        <f ca="1">AVERAGE(OFFSET($CC$3,0,0,'Données projet'!$E$12+1,1))-AVERAGE(OFFSET($H$3,0,0,'Données projet'!$E$12+1,1))</f>
        <v>212.33913923444732</v>
      </c>
      <c r="CE171" s="60">
        <f t="shared" si="148"/>
        <v>183.51194426094372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-3.979039320256561E-13</v>
      </c>
      <c r="CU171" s="18">
        <f>CT171*VLOOKUP('Données projet'!$B$13,Paramètres!$A$1:$I$89,3,0)*VLOOKUP('Données projet'!$B$13,Paramètres!$A$1:$I$89,5,0)</f>
        <v>-3.4760887501761321E-13</v>
      </c>
      <c r="CV171" s="14" t="e">
        <f t="shared" si="173"/>
        <v>#NUM!</v>
      </c>
      <c r="CW171" s="22" t="e">
        <f t="shared" si="174"/>
        <v>#NUM!</v>
      </c>
      <c r="CX171" s="60" t="e">
        <f t="shared" si="122"/>
        <v>#NUM!</v>
      </c>
      <c r="CY171" s="60">
        <f ca="1">AVERAGE(OFFSET($CX$3,0,0,'Données projet'!$E$13+1,1))-AVERAGE(OFFSET($H$3,0,0,'Données projet'!$E$13+1,1))</f>
        <v>228.0393346366489</v>
      </c>
      <c r="CZ171" s="60">
        <f t="shared" si="150"/>
        <v>238.591781509447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-9.6633812063373625E-13</v>
      </c>
      <c r="DP171" s="18">
        <f>DO171*VLOOKUP('Données projet'!$B$14,Paramètres!$A$1:$I$89,3,0)*VLOOKUP('Données projet'!$B$14,Paramètres!$A$1:$I$89,5,0)</f>
        <v>-8.7434273154940449E-13</v>
      </c>
      <c r="DQ171" s="14" t="e">
        <f t="shared" si="176"/>
        <v>#NUM!</v>
      </c>
      <c r="DR171" s="22" t="e">
        <f t="shared" si="177"/>
        <v>#NUM!</v>
      </c>
      <c r="DS171" s="60" t="e">
        <f t="shared" si="125"/>
        <v>#NUM!</v>
      </c>
      <c r="DT171" s="60">
        <f ca="1">AVERAGE(OFFSET($DS$3,0,0,'Données projet'!$E$14+1,1))-AVERAGE(OFFSET($H$3,0,0,'Données projet'!$E$14+1,1))</f>
        <v>303.73499739059076</v>
      </c>
      <c r="DU171" s="60">
        <f t="shared" si="152"/>
        <v>172.32171001882188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1.1368683772161603E-13</v>
      </c>
      <c r="EK171" s="18">
        <f>EJ171*VLOOKUP('Données projet'!$B$15,Paramètres!$A$1:$I$89,3,0)*VLOOKUP('Données projet'!$B$15,Paramètres!$A$1:$I$89,5,0)</f>
        <v>6.7984728957526396E-14</v>
      </c>
      <c r="EL171" s="14">
        <f t="shared" si="179"/>
        <v>1.0682447123141398E-12</v>
      </c>
      <c r="EM171" s="22">
        <f t="shared" si="180"/>
        <v>1.978932943548152E-12</v>
      </c>
      <c r="EN171" s="60">
        <f t="shared" si="128"/>
        <v>293.3333333333353</v>
      </c>
      <c r="EO171" s="60">
        <f ca="1">AVERAGE(OFFSET($EN$3,0,0,'Données projet'!$E$15+1,1))-AVERAGE(OFFSET($H$3,0,0,'Données projet'!$E$15+1,1))</f>
        <v>269.94948820700841</v>
      </c>
      <c r="EP171" s="60">
        <f t="shared" si="154"/>
        <v>183.45158355135192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0.29757525231618626</v>
      </c>
      <c r="EX171" s="23">
        <f>EXP(-LN(2)/2)*EX170+(1-EXP(-LN(2)/2))/(LN(2)/2)*ER171*EU171*VLOOKUP('Données projet'!$B$15,Paramètres!$A$1:$I$89,3,0)*0.475*44/12</f>
        <v>9.5511971905315519E-21</v>
      </c>
      <c r="EY171" s="24">
        <f t="shared" si="181"/>
        <v>0.29757525231618626</v>
      </c>
      <c r="EZ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>
        <f>FE171*VLOOKUP('Données projet'!$B$16,Paramètres!$A$1:$I$89,3,0)*VLOOKUP('Données projet'!$B$16,Paramètres!$A$1:$I$89,5,0)</f>
        <v>0</v>
      </c>
      <c r="FG171" s="14" t="e">
        <f t="shared" si="182"/>
        <v>#NUM!</v>
      </c>
      <c r="FH171" s="22" t="e">
        <f t="shared" si="183"/>
        <v>#NUM!</v>
      </c>
      <c r="FI171" s="60" t="e">
        <f t="shared" si="131"/>
        <v>#NUM!</v>
      </c>
      <c r="FJ171" s="60">
        <f ca="1">AVERAGE(OFFSET($FI$3,0,0,'Données projet'!$E$16+1,1))-AVERAGE(OFFSET($H$3,0,0,'Données projet'!$E$16+1,1))</f>
        <v>111.24788725253484</v>
      </c>
      <c r="FK171" s="60">
        <f t="shared" si="156"/>
        <v>82.434879813357327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projet'!$B$16,Paramètres!$A$1:$I$89,3,0)*0.475*44/12</f>
        <v>0</v>
      </c>
      <c r="FR171" s="23">
        <f>EXP(-LN(2)/25)*FR170+(1-EXP(-LN(2)/25))/(LN(2)/25)*Calculateur!FM171*Calculateur!FO171*VLOOKUP('Données projet'!$B$16,Paramètres!$A$1:$I$89,3,0)*0.475*44/12</f>
        <v>0</v>
      </c>
      <c r="FS171" s="23">
        <f>EXP(-LN(2)/2)*FS170+(1-EXP(-LN(2)/2))/(LN(2)/2)*FM171*FP171*VLOOKUP('Données projet'!$B$16,Paramètres!$A$1:$I$89,3,0)*0.475*44/12</f>
        <v>0</v>
      </c>
      <c r="FT171" s="24">
        <f t="shared" si="184"/>
        <v>0</v>
      </c>
      <c r="FU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1.0231815394945443E-12</v>
      </c>
      <c r="GA171" s="18">
        <f>FZ171*VLOOKUP('Données projet'!$B$17,Paramètres!$A$1:$I$89,3,0)*VLOOKUP('Données projet'!$B$17,Paramètres!$A$1:$I$89,5,0)</f>
        <v>4.5224624045658859E-13</v>
      </c>
      <c r="GB171" s="14">
        <f t="shared" si="185"/>
        <v>5.6995607121061449E-12</v>
      </c>
      <c r="GC171" s="22">
        <f t="shared" si="186"/>
        <v>1.0714397109046761E-11</v>
      </c>
      <c r="GD171" s="60">
        <f t="shared" si="134"/>
        <v>293.333333333344</v>
      </c>
      <c r="GE171" s="60">
        <f ca="1">AVERAGE(OFFSET($GD$3,0,0,'Données projet'!$E$17+1,1))-AVERAGE(OFFSET($H$3,0,0,'Données projet'!$E$17+1,1))</f>
        <v>323.56667371063662</v>
      </c>
      <c r="GF171" s="60">
        <f t="shared" si="158"/>
        <v>275.70373467723385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>
        <f>EXP(-LN(2)/35)*GL170+(1-EXP(-LN(2)/35))/(LN(2)/35)*GH171*GI171*VLOOKUP('Données projet'!$B$17,Paramètres!$A$1:$I$89,3,0)*0.475*44/12</f>
        <v>0</v>
      </c>
      <c r="GM171" s="23">
        <f>EXP(-LN(2)/25)*GM170+(1-EXP(-LN(2)/25))/(LN(2)/25)*Calculateur!GH171*Calculateur!GJ171*VLOOKUP('Données projet'!$B$17,Paramètres!$A$1:$I$89,3,0)*0.475*44/12</f>
        <v>0</v>
      </c>
      <c r="GN171" s="23">
        <f>EXP(-LN(2)/2)*GN170+(1-EXP(-LN(2)/2))/(LN(2)/2)*GH171*GK171*VLOOKUP('Données projet'!$B$17,Paramètres!$A$1:$I$89,3,0)*0.475*44/12</f>
        <v>0</v>
      </c>
      <c r="GO171" s="23">
        <f t="shared" si="187"/>
        <v>0</v>
      </c>
      <c r="GP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0" t="e">
        <f t="shared" si="137"/>
        <v>#N/A</v>
      </c>
      <c r="GZ171" s="60" t="e">
        <f ca="1">AVERAGE(OFFSET($GY$3,0,0,'Données projet'!$E$18+1,1))-AVERAGE(OFFSET($H$3,0,0,'Données projet'!$E$18+1,1))</f>
        <v>#N/A</v>
      </c>
      <c r="HA171" s="60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4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2">
        <f t="shared" si="140"/>
        <v>25.112860036087632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-1.1368683772161603E-13</v>
      </c>
      <c r="O172" s="14">
        <f>N172*VLOOKUP('Données projet'!$B$9,Paramètres!$A$1:$I$89,3,0)*VLOOKUP('Données projet'!$B$9,Paramètres!$A$1:$I$89,5,0)</f>
        <v>-6.7984728957526396E-14</v>
      </c>
      <c r="P172" s="14" t="e">
        <f t="shared" si="141"/>
        <v>#NUM!</v>
      </c>
      <c r="Q172" s="22" t="e">
        <f t="shared" si="162"/>
        <v>#NUM!</v>
      </c>
      <c r="R172" s="60" t="e">
        <f t="shared" si="109"/>
        <v>#NUM!</v>
      </c>
      <c r="S172" s="60">
        <f ca="1">AVERAGE(OFFSET($R$3,0,0,'Données projet'!$E$9+1,1))-AVERAGE(OFFSET($H$3,0,0,'Données projet'!$E$9+1,1))</f>
        <v>235.63766249714581</v>
      </c>
      <c r="T172" s="60">
        <f t="shared" si="142"/>
        <v>231.3297293785277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0.73144893617053663</v>
      </c>
      <c r="AA172" s="23">
        <f>EXP(-LN(2)/25)*AA171+(1-EXP(-LN(2)/25))/(LN(2)/25)*Calculateur!V172*Calculateur!X172*VLOOKUP('Données projet'!$B$9,Paramètres!$A$1:$I$89,3,0)*0.475*44/12</f>
        <v>0.36647293069395198</v>
      </c>
      <c r="AB172" s="23">
        <f>EXP(-LN(2)/2)*AB171+(1-EXP(-LN(2)/2))/(LN(2)/2)*V172*Y172*VLOOKUP('Données projet'!$B$9,Paramètres!$A$1:$I$89,3,0)*0.475*44/12</f>
        <v>8.5198791801937316E-21</v>
      </c>
      <c r="AC172" s="24">
        <f t="shared" si="163"/>
        <v>1.0979218668644886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-9.6633812063373625E-13</v>
      </c>
      <c r="AJ172" s="14">
        <f>AI172*VLOOKUP('Données projet'!$B$10,Paramètres!$A$1:$I$89,3,0)*VLOOKUP('Données projet'!$B$10,Paramètres!$A$1:$I$89,5,0)</f>
        <v>-9.7986685432260874E-13</v>
      </c>
      <c r="AK172" s="14" t="e">
        <f t="shared" si="164"/>
        <v>#NUM!</v>
      </c>
      <c r="AL172" s="22" t="e">
        <f t="shared" si="165"/>
        <v>#NUM!</v>
      </c>
      <c r="AM172" s="60" t="e">
        <f t="shared" si="113"/>
        <v>#NUM!</v>
      </c>
      <c r="AN172" s="60">
        <f ca="1">AVERAGE(OFFSET($AM$3,0,0,'Données projet'!$E$10+1,1))-AVERAGE(OFFSET($H$3,0,0,'Données projet'!$E$10+1,1))</f>
        <v>350.3652766444938</v>
      </c>
      <c r="AO172" s="60">
        <f t="shared" si="144"/>
        <v>197.04549436738586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6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-9.6633812063373625E-13</v>
      </c>
      <c r="BE172" s="14">
        <f>BD172*VLOOKUP('Données projet'!$B$11,Paramètres!$A$1:$I$89,3,0)*VLOOKUP('Données projet'!$B$11,Paramètres!$A$1:$I$89,5,0)</f>
        <v>-9.3464223027694966E-13</v>
      </c>
      <c r="BF172" s="14" t="e">
        <f t="shared" si="167"/>
        <v>#NUM!</v>
      </c>
      <c r="BG172" s="22" t="e">
        <f t="shared" si="168"/>
        <v>#NUM!</v>
      </c>
      <c r="BH172" s="60" t="e">
        <f t="shared" si="116"/>
        <v>#NUM!</v>
      </c>
      <c r="BI172" s="60">
        <f ca="1">AVERAGE(OFFSET($BH$3,0,0,'Données projet'!$E$11+1,1))-AVERAGE(OFFSET($H$3,0,0,'Données projet'!$E$11+1,1))</f>
        <v>330.39429528665841</v>
      </c>
      <c r="BJ172" s="60">
        <f t="shared" si="146"/>
        <v>186.45728006007261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1.7053025658242404E-13</v>
      </c>
      <c r="BZ172" s="14">
        <f>BY172*VLOOKUP('Données projet'!$B$12,Paramètres!$A$1:$I$89,3,0)*VLOOKUP('Données projet'!$B$12,Paramètres!$A$1:$I$89,5,0)</f>
        <v>1.1439169611549005E-13</v>
      </c>
      <c r="CA172" s="14">
        <f t="shared" si="170"/>
        <v>1.6918016515029816E-12</v>
      </c>
      <c r="CB172" s="22">
        <f t="shared" si="171"/>
        <v>3.1457867471021712E-12</v>
      </c>
      <c r="CC172" s="60">
        <f t="shared" si="119"/>
        <v>293.33333333333644</v>
      </c>
      <c r="CD172" s="60">
        <f ca="1">AVERAGE(OFFSET($CC$3,0,0,'Données projet'!$E$12+1,1))-AVERAGE(OFFSET($H$3,0,0,'Données projet'!$E$12+1,1))</f>
        <v>212.33913923444732</v>
      </c>
      <c r="CE172" s="60">
        <f t="shared" si="148"/>
        <v>183.51194426094372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-3.979039320256561E-13</v>
      </c>
      <c r="CU172" s="18">
        <f>CT172*VLOOKUP('Données projet'!$B$13,Paramètres!$A$1:$I$89,3,0)*VLOOKUP('Données projet'!$B$13,Paramètres!$A$1:$I$89,5,0)</f>
        <v>-3.4760887501761321E-13</v>
      </c>
      <c r="CV172" s="14" t="e">
        <f t="shared" si="173"/>
        <v>#NUM!</v>
      </c>
      <c r="CW172" s="22" t="e">
        <f t="shared" si="174"/>
        <v>#NUM!</v>
      </c>
      <c r="CX172" s="60" t="e">
        <f t="shared" si="122"/>
        <v>#NUM!</v>
      </c>
      <c r="CY172" s="60">
        <f ca="1">AVERAGE(OFFSET($CX$3,0,0,'Données projet'!$E$13+1,1))-AVERAGE(OFFSET($H$3,0,0,'Données projet'!$E$13+1,1))</f>
        <v>228.0393346366489</v>
      </c>
      <c r="CZ172" s="60">
        <f t="shared" si="150"/>
        <v>238.591781509447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-9.6633812063373625E-13</v>
      </c>
      <c r="DP172" s="18">
        <f>DO172*VLOOKUP('Données projet'!$B$14,Paramètres!$A$1:$I$89,3,0)*VLOOKUP('Données projet'!$B$14,Paramètres!$A$1:$I$89,5,0)</f>
        <v>-8.7434273154940449E-13</v>
      </c>
      <c r="DQ172" s="14" t="e">
        <f t="shared" si="176"/>
        <v>#NUM!</v>
      </c>
      <c r="DR172" s="22" t="e">
        <f t="shared" si="177"/>
        <v>#NUM!</v>
      </c>
      <c r="DS172" s="60" t="e">
        <f t="shared" si="125"/>
        <v>#NUM!</v>
      </c>
      <c r="DT172" s="60">
        <f ca="1">AVERAGE(OFFSET($DS$3,0,0,'Données projet'!$E$14+1,1))-AVERAGE(OFFSET($H$3,0,0,'Données projet'!$E$14+1,1))</f>
        <v>303.73499739059076</v>
      </c>
      <c r="DU172" s="60">
        <f t="shared" si="152"/>
        <v>172.32171001882188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1.1368683772161603E-13</v>
      </c>
      <c r="EK172" s="18">
        <f>EJ172*VLOOKUP('Données projet'!$B$15,Paramètres!$A$1:$I$89,3,0)*VLOOKUP('Données projet'!$B$15,Paramètres!$A$1:$I$89,5,0)</f>
        <v>6.7984728957526396E-14</v>
      </c>
      <c r="EL172" s="14">
        <f t="shared" si="179"/>
        <v>1.0682447123141398E-12</v>
      </c>
      <c r="EM172" s="22">
        <f t="shared" si="180"/>
        <v>1.978932943548152E-12</v>
      </c>
      <c r="EN172" s="60">
        <f t="shared" si="128"/>
        <v>293.3333333333353</v>
      </c>
      <c r="EO172" s="60">
        <f ca="1">AVERAGE(OFFSET($EN$3,0,0,'Données projet'!$E$15+1,1))-AVERAGE(OFFSET($H$3,0,0,'Données projet'!$E$15+1,1))</f>
        <v>269.94948820700841</v>
      </c>
      <c r="EP172" s="60">
        <f t="shared" si="154"/>
        <v>183.45158355135192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0.28943804139279772</v>
      </c>
      <c r="EX172" s="23">
        <f>EXP(-LN(2)/2)*EX171+(1-EXP(-LN(2)/2))/(LN(2)/2)*ER172*EU172*VLOOKUP('Données projet'!$B$15,Paramètres!$A$1:$I$89,3,0)*0.475*44/12</f>
        <v>6.7537163018747622E-21</v>
      </c>
      <c r="EY172" s="24">
        <f t="shared" si="181"/>
        <v>0.28943804139279772</v>
      </c>
      <c r="EZ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>
        <f>FE172*VLOOKUP('Données projet'!$B$16,Paramètres!$A$1:$I$89,3,0)*VLOOKUP('Données projet'!$B$16,Paramètres!$A$1:$I$89,5,0)</f>
        <v>0</v>
      </c>
      <c r="FG172" s="14" t="e">
        <f t="shared" si="182"/>
        <v>#NUM!</v>
      </c>
      <c r="FH172" s="22" t="e">
        <f t="shared" si="183"/>
        <v>#NUM!</v>
      </c>
      <c r="FI172" s="60" t="e">
        <f t="shared" si="131"/>
        <v>#NUM!</v>
      </c>
      <c r="FJ172" s="60">
        <f ca="1">AVERAGE(OFFSET($FI$3,0,0,'Données projet'!$E$16+1,1))-AVERAGE(OFFSET($H$3,0,0,'Données projet'!$E$16+1,1))</f>
        <v>111.24788725253484</v>
      </c>
      <c r="FK172" s="60">
        <f t="shared" si="156"/>
        <v>82.434879813357327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projet'!$B$16,Paramètres!$A$1:$I$89,3,0)*0.475*44/12</f>
        <v>0</v>
      </c>
      <c r="FR172" s="23">
        <f>EXP(-LN(2)/25)*FR171+(1-EXP(-LN(2)/25))/(LN(2)/25)*Calculateur!FM172*Calculateur!FO172*VLOOKUP('Données projet'!$B$16,Paramètres!$A$1:$I$89,3,0)*0.475*44/12</f>
        <v>0</v>
      </c>
      <c r="FS172" s="23">
        <f>EXP(-LN(2)/2)*FS171+(1-EXP(-LN(2)/2))/(LN(2)/2)*FM172*FP172*VLOOKUP('Données projet'!$B$16,Paramètres!$A$1:$I$89,3,0)*0.475*44/12</f>
        <v>0</v>
      </c>
      <c r="FT172" s="24">
        <f t="shared" si="184"/>
        <v>0</v>
      </c>
      <c r="FU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1.0231815394945443E-12</v>
      </c>
      <c r="GA172" s="18">
        <f>FZ172*VLOOKUP('Données projet'!$B$17,Paramètres!$A$1:$I$89,3,0)*VLOOKUP('Données projet'!$B$17,Paramètres!$A$1:$I$89,5,0)</f>
        <v>4.5224624045658859E-13</v>
      </c>
      <c r="GB172" s="14">
        <f t="shared" si="185"/>
        <v>5.6995607121061449E-12</v>
      </c>
      <c r="GC172" s="22">
        <f t="shared" si="186"/>
        <v>1.0714397109046761E-11</v>
      </c>
      <c r="GD172" s="60">
        <f t="shared" si="134"/>
        <v>293.333333333344</v>
      </c>
      <c r="GE172" s="60">
        <f ca="1">AVERAGE(OFFSET($GD$3,0,0,'Données projet'!$E$17+1,1))-AVERAGE(OFFSET($H$3,0,0,'Données projet'!$E$17+1,1))</f>
        <v>323.56667371063662</v>
      </c>
      <c r="GF172" s="60">
        <f t="shared" si="158"/>
        <v>275.70373467723385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>
        <f>EXP(-LN(2)/35)*GL171+(1-EXP(-LN(2)/35))/(LN(2)/35)*GH172*GI172*VLOOKUP('Données projet'!$B$17,Paramètres!$A$1:$I$89,3,0)*0.475*44/12</f>
        <v>0</v>
      </c>
      <c r="GM172" s="23">
        <f>EXP(-LN(2)/25)*GM171+(1-EXP(-LN(2)/25))/(LN(2)/25)*Calculateur!GH172*Calculateur!GJ172*VLOOKUP('Données projet'!$B$17,Paramètres!$A$1:$I$89,3,0)*0.475*44/12</f>
        <v>0</v>
      </c>
      <c r="GN172" s="23">
        <f>EXP(-LN(2)/2)*GN171+(1-EXP(-LN(2)/2))/(LN(2)/2)*GH172*GK172*VLOOKUP('Données projet'!$B$17,Paramètres!$A$1:$I$89,3,0)*0.475*44/12</f>
        <v>0</v>
      </c>
      <c r="GO172" s="23">
        <f t="shared" si="187"/>
        <v>0</v>
      </c>
      <c r="GP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0" t="e">
        <f t="shared" si="137"/>
        <v>#N/A</v>
      </c>
      <c r="GZ172" s="60" t="e">
        <f ca="1">AVERAGE(OFFSET($GY$3,0,0,'Données projet'!$E$18+1,1))-AVERAGE(OFFSET($H$3,0,0,'Données projet'!$E$18+1,1))</f>
        <v>#N/A</v>
      </c>
      <c r="HA172" s="60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4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2">
        <f t="shared" si="140"/>
        <v>25.244115055224771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-1.1368683772161603E-13</v>
      </c>
      <c r="O173" s="14">
        <f>N173*VLOOKUP('Données projet'!$B$9,Paramètres!$A$1:$I$89,3,0)*VLOOKUP('Données projet'!$B$9,Paramètres!$A$1:$I$89,5,0)</f>
        <v>-6.7984728957526396E-14</v>
      </c>
      <c r="P173" s="14" t="e">
        <f t="shared" si="141"/>
        <v>#NUM!</v>
      </c>
      <c r="Q173" s="22" t="e">
        <f t="shared" si="162"/>
        <v>#NUM!</v>
      </c>
      <c r="R173" s="60" t="e">
        <f t="shared" si="109"/>
        <v>#NUM!</v>
      </c>
      <c r="S173" s="60">
        <f ca="1">AVERAGE(OFFSET($R$3,0,0,'Données projet'!$E$9+1,1))-AVERAGE(OFFSET($H$3,0,0,'Données projet'!$E$9+1,1))</f>
        <v>235.63766249714581</v>
      </c>
      <c r="T173" s="60">
        <f t="shared" si="142"/>
        <v>231.3297293785277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0.71710566867203085</v>
      </c>
      <c r="AA173" s="23">
        <f>EXP(-LN(2)/25)*AA172+(1-EXP(-LN(2)/25))/(LN(2)/25)*Calculateur!V173*Calculateur!X173*VLOOKUP('Données projet'!$B$9,Paramètres!$A$1:$I$89,3,0)*0.475*44/12</f>
        <v>0.35645170913215202</v>
      </c>
      <c r="AB173" s="23">
        <f>EXP(-LN(2)/2)*AB172+(1-EXP(-LN(2)/2))/(LN(2)/2)*V173*Y173*VLOOKUP('Données projet'!$B$9,Paramètres!$A$1:$I$89,3,0)*0.475*44/12</f>
        <v>6.0244643432050709E-21</v>
      </c>
      <c r="AC173" s="24">
        <f t="shared" si="163"/>
        <v>1.0735573778041829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-9.6633812063373625E-13</v>
      </c>
      <c r="AJ173" s="14">
        <f>AI173*VLOOKUP('Données projet'!$B$10,Paramètres!$A$1:$I$89,3,0)*VLOOKUP('Données projet'!$B$10,Paramètres!$A$1:$I$89,5,0)</f>
        <v>-9.7986685432260874E-13</v>
      </c>
      <c r="AK173" s="14" t="e">
        <f t="shared" si="164"/>
        <v>#NUM!</v>
      </c>
      <c r="AL173" s="22" t="e">
        <f t="shared" si="165"/>
        <v>#NUM!</v>
      </c>
      <c r="AM173" s="60" t="e">
        <f t="shared" si="113"/>
        <v>#NUM!</v>
      </c>
      <c r="AN173" s="60">
        <f ca="1">AVERAGE(OFFSET($AM$3,0,0,'Données projet'!$E$10+1,1))-AVERAGE(OFFSET($H$3,0,0,'Données projet'!$E$10+1,1))</f>
        <v>350.3652766444938</v>
      </c>
      <c r="AO173" s="60">
        <f t="shared" si="144"/>
        <v>197.04549436738586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6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-9.6633812063373625E-13</v>
      </c>
      <c r="BE173" s="14">
        <f>BD173*VLOOKUP('Données projet'!$B$11,Paramètres!$A$1:$I$89,3,0)*VLOOKUP('Données projet'!$B$11,Paramètres!$A$1:$I$89,5,0)</f>
        <v>-9.3464223027694966E-13</v>
      </c>
      <c r="BF173" s="14" t="e">
        <f t="shared" si="167"/>
        <v>#NUM!</v>
      </c>
      <c r="BG173" s="22" t="e">
        <f t="shared" si="168"/>
        <v>#NUM!</v>
      </c>
      <c r="BH173" s="60" t="e">
        <f t="shared" si="116"/>
        <v>#NUM!</v>
      </c>
      <c r="BI173" s="60">
        <f ca="1">AVERAGE(OFFSET($BH$3,0,0,'Données projet'!$E$11+1,1))-AVERAGE(OFFSET($H$3,0,0,'Données projet'!$E$11+1,1))</f>
        <v>330.39429528665841</v>
      </c>
      <c r="BJ173" s="60">
        <f t="shared" si="146"/>
        <v>186.45728006007261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1.7053025658242404E-13</v>
      </c>
      <c r="BZ173" s="14">
        <f>BY173*VLOOKUP('Données projet'!$B$12,Paramètres!$A$1:$I$89,3,0)*VLOOKUP('Données projet'!$B$12,Paramètres!$A$1:$I$89,5,0)</f>
        <v>1.1439169611549005E-13</v>
      </c>
      <c r="CA173" s="14">
        <f t="shared" si="170"/>
        <v>1.6918016515029816E-12</v>
      </c>
      <c r="CB173" s="22">
        <f t="shared" si="171"/>
        <v>3.1457867471021712E-12</v>
      </c>
      <c r="CC173" s="60">
        <f t="shared" si="119"/>
        <v>293.33333333333644</v>
      </c>
      <c r="CD173" s="60">
        <f ca="1">AVERAGE(OFFSET($CC$3,0,0,'Données projet'!$E$12+1,1))-AVERAGE(OFFSET($H$3,0,0,'Données projet'!$E$12+1,1))</f>
        <v>212.33913923444732</v>
      </c>
      <c r="CE173" s="60">
        <f t="shared" si="148"/>
        <v>183.51194426094372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-3.979039320256561E-13</v>
      </c>
      <c r="CU173" s="18">
        <f>CT173*VLOOKUP('Données projet'!$B$13,Paramètres!$A$1:$I$89,3,0)*VLOOKUP('Données projet'!$B$13,Paramètres!$A$1:$I$89,5,0)</f>
        <v>-3.4760887501761321E-13</v>
      </c>
      <c r="CV173" s="14" t="e">
        <f t="shared" si="173"/>
        <v>#NUM!</v>
      </c>
      <c r="CW173" s="22" t="e">
        <f t="shared" si="174"/>
        <v>#NUM!</v>
      </c>
      <c r="CX173" s="60" t="e">
        <f t="shared" si="122"/>
        <v>#NUM!</v>
      </c>
      <c r="CY173" s="60">
        <f ca="1">AVERAGE(OFFSET($CX$3,0,0,'Données projet'!$E$13+1,1))-AVERAGE(OFFSET($H$3,0,0,'Données projet'!$E$13+1,1))</f>
        <v>228.0393346366489</v>
      </c>
      <c r="CZ173" s="60">
        <f t="shared" si="150"/>
        <v>238.591781509447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-9.6633812063373625E-13</v>
      </c>
      <c r="DP173" s="18">
        <f>DO173*VLOOKUP('Données projet'!$B$14,Paramètres!$A$1:$I$89,3,0)*VLOOKUP('Données projet'!$B$14,Paramètres!$A$1:$I$89,5,0)</f>
        <v>-8.7434273154940449E-13</v>
      </c>
      <c r="DQ173" s="14" t="e">
        <f t="shared" si="176"/>
        <v>#NUM!</v>
      </c>
      <c r="DR173" s="22" t="e">
        <f t="shared" si="177"/>
        <v>#NUM!</v>
      </c>
      <c r="DS173" s="60" t="e">
        <f t="shared" si="125"/>
        <v>#NUM!</v>
      </c>
      <c r="DT173" s="60">
        <f ca="1">AVERAGE(OFFSET($DS$3,0,0,'Données projet'!$E$14+1,1))-AVERAGE(OFFSET($H$3,0,0,'Données projet'!$E$14+1,1))</f>
        <v>303.73499739059076</v>
      </c>
      <c r="DU173" s="60">
        <f t="shared" si="152"/>
        <v>172.32171001882188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1.1368683772161603E-13</v>
      </c>
      <c r="EK173" s="18">
        <f>EJ173*VLOOKUP('Données projet'!$B$15,Paramètres!$A$1:$I$89,3,0)*VLOOKUP('Données projet'!$B$15,Paramètres!$A$1:$I$89,5,0)</f>
        <v>6.7984728957526396E-14</v>
      </c>
      <c r="EL173" s="14">
        <f t="shared" si="179"/>
        <v>1.0682447123141398E-12</v>
      </c>
      <c r="EM173" s="22">
        <f t="shared" si="180"/>
        <v>1.978932943548152E-12</v>
      </c>
      <c r="EN173" s="60">
        <f t="shared" si="128"/>
        <v>293.3333333333353</v>
      </c>
      <c r="EO173" s="60">
        <f ca="1">AVERAGE(OFFSET($EN$3,0,0,'Données projet'!$E$15+1,1))-AVERAGE(OFFSET($H$3,0,0,'Données projet'!$E$15+1,1))</f>
        <v>269.94948820700841</v>
      </c>
      <c r="EP173" s="60">
        <f t="shared" si="154"/>
        <v>183.45158355135192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0.28152334293002657</v>
      </c>
      <c r="EX173" s="23">
        <f>EXP(-LN(2)/2)*EX172+(1-EXP(-LN(2)/2))/(LN(2)/2)*ER173*EU173*VLOOKUP('Données projet'!$B$15,Paramètres!$A$1:$I$89,3,0)*0.475*44/12</f>
        <v>4.7755985952657767E-21</v>
      </c>
      <c r="EY173" s="24">
        <f t="shared" si="181"/>
        <v>0.28152334293002657</v>
      </c>
      <c r="EZ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>
        <f>FE173*VLOOKUP('Données projet'!$B$16,Paramètres!$A$1:$I$89,3,0)*VLOOKUP('Données projet'!$B$16,Paramètres!$A$1:$I$89,5,0)</f>
        <v>0</v>
      </c>
      <c r="FG173" s="14" t="e">
        <f t="shared" si="182"/>
        <v>#NUM!</v>
      </c>
      <c r="FH173" s="22" t="e">
        <f t="shared" si="183"/>
        <v>#NUM!</v>
      </c>
      <c r="FI173" s="60" t="e">
        <f t="shared" si="131"/>
        <v>#NUM!</v>
      </c>
      <c r="FJ173" s="60">
        <f ca="1">AVERAGE(OFFSET($FI$3,0,0,'Données projet'!$E$16+1,1))-AVERAGE(OFFSET($H$3,0,0,'Données projet'!$E$16+1,1))</f>
        <v>111.24788725253484</v>
      </c>
      <c r="FK173" s="60">
        <f t="shared" si="156"/>
        <v>82.434879813357327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projet'!$B$16,Paramètres!$A$1:$I$89,3,0)*0.475*44/12</f>
        <v>0</v>
      </c>
      <c r="FR173" s="23">
        <f>EXP(-LN(2)/25)*FR172+(1-EXP(-LN(2)/25))/(LN(2)/25)*Calculateur!FM173*Calculateur!FO173*VLOOKUP('Données projet'!$B$16,Paramètres!$A$1:$I$89,3,0)*0.475*44/12</f>
        <v>0</v>
      </c>
      <c r="FS173" s="23">
        <f>EXP(-LN(2)/2)*FS172+(1-EXP(-LN(2)/2))/(LN(2)/2)*FM173*FP173*VLOOKUP('Données projet'!$B$16,Paramètres!$A$1:$I$89,3,0)*0.475*44/12</f>
        <v>0</v>
      </c>
      <c r="FT173" s="24">
        <f t="shared" si="184"/>
        <v>0</v>
      </c>
      <c r="FU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1.0231815394945443E-12</v>
      </c>
      <c r="GA173" s="18">
        <f>FZ173*VLOOKUP('Données projet'!$B$17,Paramètres!$A$1:$I$89,3,0)*VLOOKUP('Données projet'!$B$17,Paramètres!$A$1:$I$89,5,0)</f>
        <v>4.5224624045658859E-13</v>
      </c>
      <c r="GB173" s="14">
        <f t="shared" si="185"/>
        <v>5.6995607121061449E-12</v>
      </c>
      <c r="GC173" s="22">
        <f t="shared" si="186"/>
        <v>1.0714397109046761E-11</v>
      </c>
      <c r="GD173" s="60">
        <f t="shared" si="134"/>
        <v>293.333333333344</v>
      </c>
      <c r="GE173" s="60">
        <f ca="1">AVERAGE(OFFSET($GD$3,0,0,'Données projet'!$E$17+1,1))-AVERAGE(OFFSET($H$3,0,0,'Données projet'!$E$17+1,1))</f>
        <v>323.56667371063662</v>
      </c>
      <c r="GF173" s="60">
        <f t="shared" si="158"/>
        <v>275.70373467723385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>
        <f>EXP(-LN(2)/35)*GL172+(1-EXP(-LN(2)/35))/(LN(2)/35)*GH173*GI173*VLOOKUP('Données projet'!$B$17,Paramètres!$A$1:$I$89,3,0)*0.475*44/12</f>
        <v>0</v>
      </c>
      <c r="GM173" s="23">
        <f>EXP(-LN(2)/25)*GM172+(1-EXP(-LN(2)/25))/(LN(2)/25)*Calculateur!GH173*Calculateur!GJ173*VLOOKUP('Données projet'!$B$17,Paramètres!$A$1:$I$89,3,0)*0.475*44/12</f>
        <v>0</v>
      </c>
      <c r="GN173" s="23">
        <f>EXP(-LN(2)/2)*GN172+(1-EXP(-LN(2)/2))/(LN(2)/2)*GH173*GK173*VLOOKUP('Données projet'!$B$17,Paramètres!$A$1:$I$89,3,0)*0.475*44/12</f>
        <v>0</v>
      </c>
      <c r="GO173" s="23">
        <f t="shared" si="187"/>
        <v>0</v>
      </c>
      <c r="GP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0" t="e">
        <f t="shared" si="137"/>
        <v>#N/A</v>
      </c>
      <c r="GZ173" s="60" t="e">
        <f ca="1">AVERAGE(OFFSET($GY$3,0,0,'Données projet'!$E$18+1,1))-AVERAGE(OFFSET($H$3,0,0,'Données projet'!$E$18+1,1))</f>
        <v>#N/A</v>
      </c>
      <c r="HA173" s="60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4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2">
        <f t="shared" si="140"/>
        <v>25.375280233490745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-1.1368683772161603E-13</v>
      </c>
      <c r="O174" s="14">
        <f>N174*VLOOKUP('Données projet'!$B$9,Paramètres!$A$1:$I$89,3,0)*VLOOKUP('Données projet'!$B$9,Paramètres!$A$1:$I$89,5,0)</f>
        <v>-6.7984728957526396E-14</v>
      </c>
      <c r="P174" s="14" t="e">
        <f t="shared" si="141"/>
        <v>#NUM!</v>
      </c>
      <c r="Q174" s="22" t="e">
        <f t="shared" si="162"/>
        <v>#NUM!</v>
      </c>
      <c r="R174" s="60" t="e">
        <f t="shared" si="109"/>
        <v>#NUM!</v>
      </c>
      <c r="S174" s="60">
        <f ca="1">AVERAGE(OFFSET($R$3,0,0,'Données projet'!$E$9+1,1))-AVERAGE(OFFSET($H$3,0,0,'Données projet'!$E$9+1,1))</f>
        <v>235.63766249714581</v>
      </c>
      <c r="T174" s="60">
        <f t="shared" si="142"/>
        <v>231.3297293785277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0.70304366390064144</v>
      </c>
      <c r="AA174" s="23">
        <f>EXP(-LN(2)/25)*AA173+(1-EXP(-LN(2)/25))/(LN(2)/25)*Calculateur!V174*Calculateur!X174*VLOOKUP('Données projet'!$B$9,Paramètres!$A$1:$I$89,3,0)*0.475*44/12</f>
        <v>0.34670451840095262</v>
      </c>
      <c r="AB174" s="23">
        <f>EXP(-LN(2)/2)*AB173+(1-EXP(-LN(2)/2))/(LN(2)/2)*V174*Y174*VLOOKUP('Données projet'!$B$9,Paramètres!$A$1:$I$89,3,0)*0.475*44/12</f>
        <v>4.2599395900968658E-21</v>
      </c>
      <c r="AC174" s="24">
        <f t="shared" si="163"/>
        <v>1.0497481823015939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-9.6633812063373625E-13</v>
      </c>
      <c r="AJ174" s="14">
        <f>AI174*VLOOKUP('Données projet'!$B$10,Paramètres!$A$1:$I$89,3,0)*VLOOKUP('Données projet'!$B$10,Paramètres!$A$1:$I$89,5,0)</f>
        <v>-9.7986685432260874E-13</v>
      </c>
      <c r="AK174" s="14" t="e">
        <f t="shared" si="164"/>
        <v>#NUM!</v>
      </c>
      <c r="AL174" s="22" t="e">
        <f t="shared" si="165"/>
        <v>#NUM!</v>
      </c>
      <c r="AM174" s="60" t="e">
        <f t="shared" si="113"/>
        <v>#NUM!</v>
      </c>
      <c r="AN174" s="60">
        <f ca="1">AVERAGE(OFFSET($AM$3,0,0,'Données projet'!$E$10+1,1))-AVERAGE(OFFSET($H$3,0,0,'Données projet'!$E$10+1,1))</f>
        <v>350.3652766444938</v>
      </c>
      <c r="AO174" s="60">
        <f t="shared" si="144"/>
        <v>197.04549436738586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6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-9.6633812063373625E-13</v>
      </c>
      <c r="BE174" s="14">
        <f>BD174*VLOOKUP('Données projet'!$B$11,Paramètres!$A$1:$I$89,3,0)*VLOOKUP('Données projet'!$B$11,Paramètres!$A$1:$I$89,5,0)</f>
        <v>-9.3464223027694966E-13</v>
      </c>
      <c r="BF174" s="14" t="e">
        <f t="shared" si="167"/>
        <v>#NUM!</v>
      </c>
      <c r="BG174" s="22" t="e">
        <f t="shared" si="168"/>
        <v>#NUM!</v>
      </c>
      <c r="BH174" s="60" t="e">
        <f t="shared" si="116"/>
        <v>#NUM!</v>
      </c>
      <c r="BI174" s="60">
        <f ca="1">AVERAGE(OFFSET($BH$3,0,0,'Données projet'!$E$11+1,1))-AVERAGE(OFFSET($H$3,0,0,'Données projet'!$E$11+1,1))</f>
        <v>330.39429528665841</v>
      </c>
      <c r="BJ174" s="60">
        <f t="shared" si="146"/>
        <v>186.45728006007261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1.7053025658242404E-13</v>
      </c>
      <c r="BZ174" s="14">
        <f>BY174*VLOOKUP('Données projet'!$B$12,Paramètres!$A$1:$I$89,3,0)*VLOOKUP('Données projet'!$B$12,Paramètres!$A$1:$I$89,5,0)</f>
        <v>1.1439169611549005E-13</v>
      </c>
      <c r="CA174" s="14">
        <f t="shared" si="170"/>
        <v>1.6918016515029816E-12</v>
      </c>
      <c r="CB174" s="22">
        <f t="shared" si="171"/>
        <v>3.1457867471021712E-12</v>
      </c>
      <c r="CC174" s="60">
        <f t="shared" si="119"/>
        <v>293.33333333333644</v>
      </c>
      <c r="CD174" s="60">
        <f ca="1">AVERAGE(OFFSET($CC$3,0,0,'Données projet'!$E$12+1,1))-AVERAGE(OFFSET($H$3,0,0,'Données projet'!$E$12+1,1))</f>
        <v>212.33913923444732</v>
      </c>
      <c r="CE174" s="60">
        <f t="shared" si="148"/>
        <v>183.51194426094372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-3.979039320256561E-13</v>
      </c>
      <c r="CU174" s="18">
        <f>CT174*VLOOKUP('Données projet'!$B$13,Paramètres!$A$1:$I$89,3,0)*VLOOKUP('Données projet'!$B$13,Paramètres!$A$1:$I$89,5,0)</f>
        <v>-3.4760887501761321E-13</v>
      </c>
      <c r="CV174" s="14" t="e">
        <f t="shared" si="173"/>
        <v>#NUM!</v>
      </c>
      <c r="CW174" s="22" t="e">
        <f t="shared" si="174"/>
        <v>#NUM!</v>
      </c>
      <c r="CX174" s="60" t="e">
        <f t="shared" si="122"/>
        <v>#NUM!</v>
      </c>
      <c r="CY174" s="60">
        <f ca="1">AVERAGE(OFFSET($CX$3,0,0,'Données projet'!$E$13+1,1))-AVERAGE(OFFSET($H$3,0,0,'Données projet'!$E$13+1,1))</f>
        <v>228.0393346366489</v>
      </c>
      <c r="CZ174" s="60">
        <f t="shared" si="150"/>
        <v>238.591781509447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-9.6633812063373625E-13</v>
      </c>
      <c r="DP174" s="18">
        <f>DO174*VLOOKUP('Données projet'!$B$14,Paramètres!$A$1:$I$89,3,0)*VLOOKUP('Données projet'!$B$14,Paramètres!$A$1:$I$89,5,0)</f>
        <v>-8.7434273154940449E-13</v>
      </c>
      <c r="DQ174" s="14" t="e">
        <f t="shared" si="176"/>
        <v>#NUM!</v>
      </c>
      <c r="DR174" s="22" t="e">
        <f t="shared" si="177"/>
        <v>#NUM!</v>
      </c>
      <c r="DS174" s="60" t="e">
        <f t="shared" si="125"/>
        <v>#NUM!</v>
      </c>
      <c r="DT174" s="60">
        <f ca="1">AVERAGE(OFFSET($DS$3,0,0,'Données projet'!$E$14+1,1))-AVERAGE(OFFSET($H$3,0,0,'Données projet'!$E$14+1,1))</f>
        <v>303.73499739059076</v>
      </c>
      <c r="DU174" s="60">
        <f t="shared" si="152"/>
        <v>172.32171001882188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1.1368683772161603E-13</v>
      </c>
      <c r="EK174" s="18">
        <f>EJ174*VLOOKUP('Données projet'!$B$15,Paramètres!$A$1:$I$89,3,0)*VLOOKUP('Données projet'!$B$15,Paramètres!$A$1:$I$89,5,0)</f>
        <v>6.7984728957526396E-14</v>
      </c>
      <c r="EL174" s="14">
        <f t="shared" si="179"/>
        <v>1.0682447123141398E-12</v>
      </c>
      <c r="EM174" s="22">
        <f t="shared" si="180"/>
        <v>1.978932943548152E-12</v>
      </c>
      <c r="EN174" s="60">
        <f t="shared" si="128"/>
        <v>293.3333333333353</v>
      </c>
      <c r="EO174" s="60">
        <f ca="1">AVERAGE(OFFSET($EN$3,0,0,'Données projet'!$E$15+1,1))-AVERAGE(OFFSET($H$3,0,0,'Données projet'!$E$15+1,1))</f>
        <v>269.94948820700841</v>
      </c>
      <c r="EP174" s="60">
        <f t="shared" si="154"/>
        <v>183.45158355135192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0.27382507231293579</v>
      </c>
      <c r="EX174" s="23">
        <f>EXP(-LN(2)/2)*EX173+(1-EXP(-LN(2)/2))/(LN(2)/2)*ER174*EU174*VLOOKUP('Données projet'!$B$15,Paramètres!$A$1:$I$89,3,0)*0.475*44/12</f>
        <v>3.3768581509373815E-21</v>
      </c>
      <c r="EY174" s="24">
        <f t="shared" si="181"/>
        <v>0.27382507231293579</v>
      </c>
      <c r="EZ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>
        <f>FE174*VLOOKUP('Données projet'!$B$16,Paramètres!$A$1:$I$89,3,0)*VLOOKUP('Données projet'!$B$16,Paramètres!$A$1:$I$89,5,0)</f>
        <v>0</v>
      </c>
      <c r="FG174" s="14" t="e">
        <f t="shared" si="182"/>
        <v>#NUM!</v>
      </c>
      <c r="FH174" s="22" t="e">
        <f t="shared" si="183"/>
        <v>#NUM!</v>
      </c>
      <c r="FI174" s="60" t="e">
        <f t="shared" si="131"/>
        <v>#NUM!</v>
      </c>
      <c r="FJ174" s="60">
        <f ca="1">AVERAGE(OFFSET($FI$3,0,0,'Données projet'!$E$16+1,1))-AVERAGE(OFFSET($H$3,0,0,'Données projet'!$E$16+1,1))</f>
        <v>111.24788725253484</v>
      </c>
      <c r="FK174" s="60">
        <f t="shared" si="156"/>
        <v>82.434879813357327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projet'!$B$16,Paramètres!$A$1:$I$89,3,0)*0.475*44/12</f>
        <v>0</v>
      </c>
      <c r="FR174" s="23">
        <f>EXP(-LN(2)/25)*FR173+(1-EXP(-LN(2)/25))/(LN(2)/25)*Calculateur!FM174*Calculateur!FO174*VLOOKUP('Données projet'!$B$16,Paramètres!$A$1:$I$89,3,0)*0.475*44/12</f>
        <v>0</v>
      </c>
      <c r="FS174" s="23">
        <f>EXP(-LN(2)/2)*FS173+(1-EXP(-LN(2)/2))/(LN(2)/2)*FM174*FP174*VLOOKUP('Données projet'!$B$16,Paramètres!$A$1:$I$89,3,0)*0.475*44/12</f>
        <v>0</v>
      </c>
      <c r="FT174" s="24">
        <f t="shared" si="184"/>
        <v>0</v>
      </c>
      <c r="FU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1.0231815394945443E-12</v>
      </c>
      <c r="GA174" s="18">
        <f>FZ174*VLOOKUP('Données projet'!$B$17,Paramètres!$A$1:$I$89,3,0)*VLOOKUP('Données projet'!$B$17,Paramètres!$A$1:$I$89,5,0)</f>
        <v>4.5224624045658859E-13</v>
      </c>
      <c r="GB174" s="14">
        <f t="shared" si="185"/>
        <v>5.6995607121061449E-12</v>
      </c>
      <c r="GC174" s="22">
        <f t="shared" si="186"/>
        <v>1.0714397109046761E-11</v>
      </c>
      <c r="GD174" s="60">
        <f t="shared" si="134"/>
        <v>293.333333333344</v>
      </c>
      <c r="GE174" s="60">
        <f ca="1">AVERAGE(OFFSET($GD$3,0,0,'Données projet'!$E$17+1,1))-AVERAGE(OFFSET($H$3,0,0,'Données projet'!$E$17+1,1))</f>
        <v>323.56667371063662</v>
      </c>
      <c r="GF174" s="60">
        <f t="shared" si="158"/>
        <v>275.70373467723385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>
        <f>EXP(-LN(2)/35)*GL173+(1-EXP(-LN(2)/35))/(LN(2)/35)*GH174*GI174*VLOOKUP('Données projet'!$B$17,Paramètres!$A$1:$I$89,3,0)*0.475*44/12</f>
        <v>0</v>
      </c>
      <c r="GM174" s="23">
        <f>EXP(-LN(2)/25)*GM173+(1-EXP(-LN(2)/25))/(LN(2)/25)*Calculateur!GH174*Calculateur!GJ174*VLOOKUP('Données projet'!$B$17,Paramètres!$A$1:$I$89,3,0)*0.475*44/12</f>
        <v>0</v>
      </c>
      <c r="GN174" s="23">
        <f>EXP(-LN(2)/2)*GN173+(1-EXP(-LN(2)/2))/(LN(2)/2)*GH174*GK174*VLOOKUP('Données projet'!$B$17,Paramètres!$A$1:$I$89,3,0)*0.475*44/12</f>
        <v>0</v>
      </c>
      <c r="GO174" s="23">
        <f t="shared" si="187"/>
        <v>0</v>
      </c>
      <c r="GP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0" t="e">
        <f t="shared" si="137"/>
        <v>#N/A</v>
      </c>
      <c r="GZ174" s="60" t="e">
        <f ca="1">AVERAGE(OFFSET($GY$3,0,0,'Données projet'!$E$18+1,1))-AVERAGE(OFFSET($H$3,0,0,'Données projet'!$E$18+1,1))</f>
        <v>#N/A</v>
      </c>
      <c r="HA174" s="60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4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2">
        <f t="shared" si="140"/>
        <v>25.506356157232712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-1.1368683772161603E-13</v>
      </c>
      <c r="O175" s="14">
        <f>N175*VLOOKUP('Données projet'!$B$9,Paramètres!$A$1:$I$89,3,0)*VLOOKUP('Données projet'!$B$9,Paramètres!$A$1:$I$89,5,0)</f>
        <v>-6.7984728957526396E-14</v>
      </c>
      <c r="P175" s="14" t="e">
        <f t="shared" si="141"/>
        <v>#NUM!</v>
      </c>
      <c r="Q175" s="22" t="e">
        <f t="shared" si="162"/>
        <v>#NUM!</v>
      </c>
      <c r="R175" s="60" t="e">
        <f t="shared" si="109"/>
        <v>#NUM!</v>
      </c>
      <c r="S175" s="60">
        <f ca="1">AVERAGE(OFFSET($R$3,0,0,'Données projet'!$E$9+1,1))-AVERAGE(OFFSET($H$3,0,0,'Données projet'!$E$9+1,1))</f>
        <v>235.63766249714581</v>
      </c>
      <c r="T175" s="60">
        <f t="shared" si="142"/>
        <v>231.3297293785277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0.68925740646584299</v>
      </c>
      <c r="AA175" s="23">
        <f>EXP(-LN(2)/25)*AA174+(1-EXP(-LN(2)/25))/(LN(2)/25)*Calculateur!V175*Calculateur!X175*VLOOKUP('Données projet'!$B$9,Paramètres!$A$1:$I$89,3,0)*0.475*44/12</f>
        <v>0.33722386511288033</v>
      </c>
      <c r="AB175" s="23">
        <f>EXP(-LN(2)/2)*AB174+(1-EXP(-LN(2)/2))/(LN(2)/2)*V175*Y175*VLOOKUP('Données projet'!$B$9,Paramètres!$A$1:$I$89,3,0)*0.475*44/12</f>
        <v>3.0122321716025355E-21</v>
      </c>
      <c r="AC175" s="24">
        <f t="shared" si="163"/>
        <v>1.0264812715787233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-9.6633812063373625E-13</v>
      </c>
      <c r="AJ175" s="14">
        <f>AI175*VLOOKUP('Données projet'!$B$10,Paramètres!$A$1:$I$89,3,0)*VLOOKUP('Données projet'!$B$10,Paramètres!$A$1:$I$89,5,0)</f>
        <v>-9.7986685432260874E-13</v>
      </c>
      <c r="AK175" s="14" t="e">
        <f t="shared" si="164"/>
        <v>#NUM!</v>
      </c>
      <c r="AL175" s="22" t="e">
        <f t="shared" si="165"/>
        <v>#NUM!</v>
      </c>
      <c r="AM175" s="60" t="e">
        <f t="shared" si="113"/>
        <v>#NUM!</v>
      </c>
      <c r="AN175" s="60">
        <f ca="1">AVERAGE(OFFSET($AM$3,0,0,'Données projet'!$E$10+1,1))-AVERAGE(OFFSET($H$3,0,0,'Données projet'!$E$10+1,1))</f>
        <v>350.3652766444938</v>
      </c>
      <c r="AO175" s="60">
        <f t="shared" si="144"/>
        <v>197.04549436738586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6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-9.6633812063373625E-13</v>
      </c>
      <c r="BE175" s="14">
        <f>BD175*VLOOKUP('Données projet'!$B$11,Paramètres!$A$1:$I$89,3,0)*VLOOKUP('Données projet'!$B$11,Paramètres!$A$1:$I$89,5,0)</f>
        <v>-9.3464223027694966E-13</v>
      </c>
      <c r="BF175" s="14" t="e">
        <f t="shared" si="167"/>
        <v>#NUM!</v>
      </c>
      <c r="BG175" s="22" t="e">
        <f t="shared" si="168"/>
        <v>#NUM!</v>
      </c>
      <c r="BH175" s="60" t="e">
        <f t="shared" si="116"/>
        <v>#NUM!</v>
      </c>
      <c r="BI175" s="60">
        <f ca="1">AVERAGE(OFFSET($BH$3,0,0,'Données projet'!$E$11+1,1))-AVERAGE(OFFSET($H$3,0,0,'Données projet'!$E$11+1,1))</f>
        <v>330.39429528665841</v>
      </c>
      <c r="BJ175" s="60">
        <f t="shared" si="146"/>
        <v>186.45728006007261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1.7053025658242404E-13</v>
      </c>
      <c r="BZ175" s="14">
        <f>BY175*VLOOKUP('Données projet'!$B$12,Paramètres!$A$1:$I$89,3,0)*VLOOKUP('Données projet'!$B$12,Paramètres!$A$1:$I$89,5,0)</f>
        <v>1.1439169611549005E-13</v>
      </c>
      <c r="CA175" s="14">
        <f t="shared" si="170"/>
        <v>1.6918016515029816E-12</v>
      </c>
      <c r="CB175" s="22">
        <f t="shared" si="171"/>
        <v>3.1457867471021712E-12</v>
      </c>
      <c r="CC175" s="60">
        <f t="shared" si="119"/>
        <v>293.33333333333644</v>
      </c>
      <c r="CD175" s="60">
        <f ca="1">AVERAGE(OFFSET($CC$3,0,0,'Données projet'!$E$12+1,1))-AVERAGE(OFFSET($H$3,0,0,'Données projet'!$E$12+1,1))</f>
        <v>212.33913923444732</v>
      </c>
      <c r="CE175" s="60">
        <f t="shared" si="148"/>
        <v>183.51194426094372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-3.979039320256561E-13</v>
      </c>
      <c r="CU175" s="18">
        <f>CT175*VLOOKUP('Données projet'!$B$13,Paramètres!$A$1:$I$89,3,0)*VLOOKUP('Données projet'!$B$13,Paramètres!$A$1:$I$89,5,0)</f>
        <v>-3.4760887501761321E-13</v>
      </c>
      <c r="CV175" s="14" t="e">
        <f t="shared" si="173"/>
        <v>#NUM!</v>
      </c>
      <c r="CW175" s="22" t="e">
        <f t="shared" si="174"/>
        <v>#NUM!</v>
      </c>
      <c r="CX175" s="60" t="e">
        <f t="shared" si="122"/>
        <v>#NUM!</v>
      </c>
      <c r="CY175" s="60">
        <f ca="1">AVERAGE(OFFSET($CX$3,0,0,'Données projet'!$E$13+1,1))-AVERAGE(OFFSET($H$3,0,0,'Données projet'!$E$13+1,1))</f>
        <v>228.0393346366489</v>
      </c>
      <c r="CZ175" s="60">
        <f t="shared" si="150"/>
        <v>238.591781509447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-9.6633812063373625E-13</v>
      </c>
      <c r="DP175" s="18">
        <f>DO175*VLOOKUP('Données projet'!$B$14,Paramètres!$A$1:$I$89,3,0)*VLOOKUP('Données projet'!$B$14,Paramètres!$A$1:$I$89,5,0)</f>
        <v>-8.7434273154940449E-13</v>
      </c>
      <c r="DQ175" s="14" t="e">
        <f t="shared" si="176"/>
        <v>#NUM!</v>
      </c>
      <c r="DR175" s="22" t="e">
        <f t="shared" si="177"/>
        <v>#NUM!</v>
      </c>
      <c r="DS175" s="60" t="e">
        <f t="shared" si="125"/>
        <v>#NUM!</v>
      </c>
      <c r="DT175" s="60">
        <f ca="1">AVERAGE(OFFSET($DS$3,0,0,'Données projet'!$E$14+1,1))-AVERAGE(OFFSET($H$3,0,0,'Données projet'!$E$14+1,1))</f>
        <v>303.73499739059076</v>
      </c>
      <c r="DU175" s="60">
        <f t="shared" si="152"/>
        <v>172.32171001882188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1.1368683772161603E-13</v>
      </c>
      <c r="EK175" s="18">
        <f>EJ175*VLOOKUP('Données projet'!$B$15,Paramètres!$A$1:$I$89,3,0)*VLOOKUP('Données projet'!$B$15,Paramètres!$A$1:$I$89,5,0)</f>
        <v>6.7984728957526396E-14</v>
      </c>
      <c r="EL175" s="14">
        <f t="shared" si="179"/>
        <v>1.0682447123141398E-12</v>
      </c>
      <c r="EM175" s="22">
        <f t="shared" si="180"/>
        <v>1.978932943548152E-12</v>
      </c>
      <c r="EN175" s="60">
        <f t="shared" si="128"/>
        <v>293.3333333333353</v>
      </c>
      <c r="EO175" s="60">
        <f ca="1">AVERAGE(OFFSET($EN$3,0,0,'Données projet'!$E$15+1,1))-AVERAGE(OFFSET($H$3,0,0,'Données projet'!$E$15+1,1))</f>
        <v>269.94948820700841</v>
      </c>
      <c r="EP175" s="60">
        <f t="shared" si="154"/>
        <v>183.45158355135192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0.26633731131070382</v>
      </c>
      <c r="EX175" s="23">
        <f>EXP(-LN(2)/2)*EX174+(1-EXP(-LN(2)/2))/(LN(2)/2)*ER175*EU175*VLOOKUP('Données projet'!$B$15,Paramètres!$A$1:$I$89,3,0)*0.475*44/12</f>
        <v>2.3877992976328887E-21</v>
      </c>
      <c r="EY175" s="24">
        <f t="shared" si="181"/>
        <v>0.26633731131070382</v>
      </c>
      <c r="EZ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>
        <f>FE175*VLOOKUP('Données projet'!$B$16,Paramètres!$A$1:$I$89,3,0)*VLOOKUP('Données projet'!$B$16,Paramètres!$A$1:$I$89,5,0)</f>
        <v>0</v>
      </c>
      <c r="FG175" s="14" t="e">
        <f t="shared" si="182"/>
        <v>#NUM!</v>
      </c>
      <c r="FH175" s="22" t="e">
        <f t="shared" si="183"/>
        <v>#NUM!</v>
      </c>
      <c r="FI175" s="60" t="e">
        <f t="shared" si="131"/>
        <v>#NUM!</v>
      </c>
      <c r="FJ175" s="60">
        <f ca="1">AVERAGE(OFFSET($FI$3,0,0,'Données projet'!$E$16+1,1))-AVERAGE(OFFSET($H$3,0,0,'Données projet'!$E$16+1,1))</f>
        <v>111.24788725253484</v>
      </c>
      <c r="FK175" s="60">
        <f t="shared" si="156"/>
        <v>82.434879813357327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projet'!$B$16,Paramètres!$A$1:$I$89,3,0)*0.475*44/12</f>
        <v>0</v>
      </c>
      <c r="FR175" s="23">
        <f>EXP(-LN(2)/25)*FR174+(1-EXP(-LN(2)/25))/(LN(2)/25)*Calculateur!FM175*Calculateur!FO175*VLOOKUP('Données projet'!$B$16,Paramètres!$A$1:$I$89,3,0)*0.475*44/12</f>
        <v>0</v>
      </c>
      <c r="FS175" s="23">
        <f>EXP(-LN(2)/2)*FS174+(1-EXP(-LN(2)/2))/(LN(2)/2)*FM175*FP175*VLOOKUP('Données projet'!$B$16,Paramètres!$A$1:$I$89,3,0)*0.475*44/12</f>
        <v>0</v>
      </c>
      <c r="FT175" s="24">
        <f t="shared" si="184"/>
        <v>0</v>
      </c>
      <c r="FU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1.0231815394945443E-12</v>
      </c>
      <c r="GA175" s="18">
        <f>FZ175*VLOOKUP('Données projet'!$B$17,Paramètres!$A$1:$I$89,3,0)*VLOOKUP('Données projet'!$B$17,Paramètres!$A$1:$I$89,5,0)</f>
        <v>4.5224624045658859E-13</v>
      </c>
      <c r="GB175" s="14">
        <f t="shared" si="185"/>
        <v>5.6995607121061449E-12</v>
      </c>
      <c r="GC175" s="22">
        <f t="shared" si="186"/>
        <v>1.0714397109046761E-11</v>
      </c>
      <c r="GD175" s="60">
        <f t="shared" si="134"/>
        <v>293.333333333344</v>
      </c>
      <c r="GE175" s="60">
        <f ca="1">AVERAGE(OFFSET($GD$3,0,0,'Données projet'!$E$17+1,1))-AVERAGE(OFFSET($H$3,0,0,'Données projet'!$E$17+1,1))</f>
        <v>323.56667371063662</v>
      </c>
      <c r="GF175" s="60">
        <f t="shared" si="158"/>
        <v>275.70373467723385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>
        <f>EXP(-LN(2)/35)*GL174+(1-EXP(-LN(2)/35))/(LN(2)/35)*GH175*GI175*VLOOKUP('Données projet'!$B$17,Paramètres!$A$1:$I$89,3,0)*0.475*44/12</f>
        <v>0</v>
      </c>
      <c r="GM175" s="23">
        <f>EXP(-LN(2)/25)*GM174+(1-EXP(-LN(2)/25))/(LN(2)/25)*Calculateur!GH175*Calculateur!GJ175*VLOOKUP('Données projet'!$B$17,Paramètres!$A$1:$I$89,3,0)*0.475*44/12</f>
        <v>0</v>
      </c>
      <c r="GN175" s="23">
        <f>EXP(-LN(2)/2)*GN174+(1-EXP(-LN(2)/2))/(LN(2)/2)*GH175*GK175*VLOOKUP('Données projet'!$B$17,Paramètres!$A$1:$I$89,3,0)*0.475*44/12</f>
        <v>0</v>
      </c>
      <c r="GO175" s="23">
        <f t="shared" si="187"/>
        <v>0</v>
      </c>
      <c r="GP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0" t="e">
        <f t="shared" si="137"/>
        <v>#N/A</v>
      </c>
      <c r="GZ175" s="60" t="e">
        <f ca="1">AVERAGE(OFFSET($GY$3,0,0,'Données projet'!$E$18+1,1))-AVERAGE(OFFSET($H$3,0,0,'Données projet'!$E$18+1,1))</f>
        <v>#N/A</v>
      </c>
      <c r="HA175" s="60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4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2">
        <f t="shared" si="140"/>
        <v>25.637343405585391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-1.1368683772161603E-13</v>
      </c>
      <c r="O176" s="14">
        <f>N176*VLOOKUP('Données projet'!$B$9,Paramètres!$A$1:$I$89,3,0)*VLOOKUP('Données projet'!$B$9,Paramètres!$A$1:$I$89,5,0)</f>
        <v>-6.7984728957526396E-14</v>
      </c>
      <c r="P176" s="14" t="e">
        <f t="shared" si="141"/>
        <v>#NUM!</v>
      </c>
      <c r="Q176" s="22" t="e">
        <f t="shared" si="162"/>
        <v>#NUM!</v>
      </c>
      <c r="R176" s="60" t="e">
        <f t="shared" si="109"/>
        <v>#NUM!</v>
      </c>
      <c r="S176" s="60">
        <f ca="1">AVERAGE(OFFSET($R$3,0,0,'Données projet'!$E$9+1,1))-AVERAGE(OFFSET($H$3,0,0,'Données projet'!$E$9+1,1))</f>
        <v>235.63766249714581</v>
      </c>
      <c r="T176" s="60">
        <f t="shared" si="142"/>
        <v>231.3297293785277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0.67574148913055421</v>
      </c>
      <c r="AA176" s="23">
        <f>EXP(-LN(2)/25)*AA175+(1-EXP(-LN(2)/25))/(LN(2)/25)*Calculateur!V176*Calculateur!X176*VLOOKUP('Données projet'!$B$9,Paramètres!$A$1:$I$89,3,0)*0.475*44/12</f>
        <v>0.32800246078753631</v>
      </c>
      <c r="AB176" s="23">
        <f>EXP(-LN(2)/2)*AB175+(1-EXP(-LN(2)/2))/(LN(2)/2)*V176*Y176*VLOOKUP('Données projet'!$B$9,Paramètres!$A$1:$I$89,3,0)*0.475*44/12</f>
        <v>2.1299697950484329E-21</v>
      </c>
      <c r="AC176" s="24">
        <f t="shared" si="163"/>
        <v>1.0037439499180905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-9.6633812063373625E-13</v>
      </c>
      <c r="AJ176" s="14">
        <f>AI176*VLOOKUP('Données projet'!$B$10,Paramètres!$A$1:$I$89,3,0)*VLOOKUP('Données projet'!$B$10,Paramètres!$A$1:$I$89,5,0)</f>
        <v>-9.7986685432260874E-13</v>
      </c>
      <c r="AK176" s="14" t="e">
        <f t="shared" si="164"/>
        <v>#NUM!</v>
      </c>
      <c r="AL176" s="22" t="e">
        <f t="shared" si="165"/>
        <v>#NUM!</v>
      </c>
      <c r="AM176" s="60" t="e">
        <f t="shared" si="113"/>
        <v>#NUM!</v>
      </c>
      <c r="AN176" s="60">
        <f ca="1">AVERAGE(OFFSET($AM$3,0,0,'Données projet'!$E$10+1,1))-AVERAGE(OFFSET($H$3,0,0,'Données projet'!$E$10+1,1))</f>
        <v>350.3652766444938</v>
      </c>
      <c r="AO176" s="60">
        <f t="shared" si="144"/>
        <v>197.04549436738586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6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-9.6633812063373625E-13</v>
      </c>
      <c r="BE176" s="14">
        <f>BD176*VLOOKUP('Données projet'!$B$11,Paramètres!$A$1:$I$89,3,0)*VLOOKUP('Données projet'!$B$11,Paramètres!$A$1:$I$89,5,0)</f>
        <v>-9.3464223027694966E-13</v>
      </c>
      <c r="BF176" s="14" t="e">
        <f t="shared" si="167"/>
        <v>#NUM!</v>
      </c>
      <c r="BG176" s="22" t="e">
        <f t="shared" si="168"/>
        <v>#NUM!</v>
      </c>
      <c r="BH176" s="60" t="e">
        <f t="shared" si="116"/>
        <v>#NUM!</v>
      </c>
      <c r="BI176" s="60">
        <f ca="1">AVERAGE(OFFSET($BH$3,0,0,'Données projet'!$E$11+1,1))-AVERAGE(OFFSET($H$3,0,0,'Données projet'!$E$11+1,1))</f>
        <v>330.39429528665841</v>
      </c>
      <c r="BJ176" s="60">
        <f t="shared" si="146"/>
        <v>186.45728006007261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1.7053025658242404E-13</v>
      </c>
      <c r="BZ176" s="14">
        <f>BY176*VLOOKUP('Données projet'!$B$12,Paramètres!$A$1:$I$89,3,0)*VLOOKUP('Données projet'!$B$12,Paramètres!$A$1:$I$89,5,0)</f>
        <v>1.1439169611549005E-13</v>
      </c>
      <c r="CA176" s="14">
        <f t="shared" si="170"/>
        <v>1.6918016515029816E-12</v>
      </c>
      <c r="CB176" s="22">
        <f t="shared" si="171"/>
        <v>3.1457867471021712E-12</v>
      </c>
      <c r="CC176" s="60">
        <f t="shared" si="119"/>
        <v>293.33333333333644</v>
      </c>
      <c r="CD176" s="60">
        <f ca="1">AVERAGE(OFFSET($CC$3,0,0,'Données projet'!$E$12+1,1))-AVERAGE(OFFSET($H$3,0,0,'Données projet'!$E$12+1,1))</f>
        <v>212.33913923444732</v>
      </c>
      <c r="CE176" s="60">
        <f t="shared" si="148"/>
        <v>183.51194426094372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-3.979039320256561E-13</v>
      </c>
      <c r="CU176" s="18">
        <f>CT176*VLOOKUP('Données projet'!$B$13,Paramètres!$A$1:$I$89,3,0)*VLOOKUP('Données projet'!$B$13,Paramètres!$A$1:$I$89,5,0)</f>
        <v>-3.4760887501761321E-13</v>
      </c>
      <c r="CV176" s="14" t="e">
        <f t="shared" si="173"/>
        <v>#NUM!</v>
      </c>
      <c r="CW176" s="22" t="e">
        <f t="shared" si="174"/>
        <v>#NUM!</v>
      </c>
      <c r="CX176" s="60" t="e">
        <f t="shared" si="122"/>
        <v>#NUM!</v>
      </c>
      <c r="CY176" s="60">
        <f ca="1">AVERAGE(OFFSET($CX$3,0,0,'Données projet'!$E$13+1,1))-AVERAGE(OFFSET($H$3,0,0,'Données projet'!$E$13+1,1))</f>
        <v>228.0393346366489</v>
      </c>
      <c r="CZ176" s="60">
        <f t="shared" si="150"/>
        <v>238.591781509447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-9.6633812063373625E-13</v>
      </c>
      <c r="DP176" s="18">
        <f>DO176*VLOOKUP('Données projet'!$B$14,Paramètres!$A$1:$I$89,3,0)*VLOOKUP('Données projet'!$B$14,Paramètres!$A$1:$I$89,5,0)</f>
        <v>-8.7434273154940449E-13</v>
      </c>
      <c r="DQ176" s="14" t="e">
        <f t="shared" si="176"/>
        <v>#NUM!</v>
      </c>
      <c r="DR176" s="22" t="e">
        <f t="shared" si="177"/>
        <v>#NUM!</v>
      </c>
      <c r="DS176" s="60" t="e">
        <f t="shared" si="125"/>
        <v>#NUM!</v>
      </c>
      <c r="DT176" s="60">
        <f ca="1">AVERAGE(OFFSET($DS$3,0,0,'Données projet'!$E$14+1,1))-AVERAGE(OFFSET($H$3,0,0,'Données projet'!$E$14+1,1))</f>
        <v>303.73499739059076</v>
      </c>
      <c r="DU176" s="60">
        <f t="shared" si="152"/>
        <v>172.32171001882188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1.1368683772161603E-13</v>
      </c>
      <c r="EK176" s="18">
        <f>EJ176*VLOOKUP('Données projet'!$B$15,Paramètres!$A$1:$I$89,3,0)*VLOOKUP('Données projet'!$B$15,Paramètres!$A$1:$I$89,5,0)</f>
        <v>6.7984728957526396E-14</v>
      </c>
      <c r="EL176" s="14">
        <f t="shared" si="179"/>
        <v>1.0682447123141398E-12</v>
      </c>
      <c r="EM176" s="22">
        <f t="shared" si="180"/>
        <v>1.978932943548152E-12</v>
      </c>
      <c r="EN176" s="60">
        <f t="shared" si="128"/>
        <v>293.3333333333353</v>
      </c>
      <c r="EO176" s="60">
        <f ca="1">AVERAGE(OFFSET($EN$3,0,0,'Données projet'!$E$15+1,1))-AVERAGE(OFFSET($H$3,0,0,'Données projet'!$E$15+1,1))</f>
        <v>269.94948820700841</v>
      </c>
      <c r="EP176" s="60">
        <f t="shared" si="154"/>
        <v>183.45158355135192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0.25905430352684217</v>
      </c>
      <c r="EX176" s="23">
        <f>EXP(-LN(2)/2)*EX175+(1-EXP(-LN(2)/2))/(LN(2)/2)*ER176*EU176*VLOOKUP('Données projet'!$B$15,Paramètres!$A$1:$I$89,3,0)*0.475*44/12</f>
        <v>1.6884290754686911E-21</v>
      </c>
      <c r="EY176" s="24">
        <f t="shared" si="181"/>
        <v>0.25905430352684217</v>
      </c>
      <c r="EZ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>
        <f>FE176*VLOOKUP('Données projet'!$B$16,Paramètres!$A$1:$I$89,3,0)*VLOOKUP('Données projet'!$B$16,Paramètres!$A$1:$I$89,5,0)</f>
        <v>0</v>
      </c>
      <c r="FG176" s="14" t="e">
        <f t="shared" si="182"/>
        <v>#NUM!</v>
      </c>
      <c r="FH176" s="22" t="e">
        <f t="shared" si="183"/>
        <v>#NUM!</v>
      </c>
      <c r="FI176" s="60" t="e">
        <f t="shared" si="131"/>
        <v>#NUM!</v>
      </c>
      <c r="FJ176" s="60">
        <f ca="1">AVERAGE(OFFSET($FI$3,0,0,'Données projet'!$E$16+1,1))-AVERAGE(OFFSET($H$3,0,0,'Données projet'!$E$16+1,1))</f>
        <v>111.24788725253484</v>
      </c>
      <c r="FK176" s="60">
        <f t="shared" si="156"/>
        <v>82.434879813357327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projet'!$B$16,Paramètres!$A$1:$I$89,3,0)*0.475*44/12</f>
        <v>0</v>
      </c>
      <c r="FR176" s="23">
        <f>EXP(-LN(2)/25)*FR175+(1-EXP(-LN(2)/25))/(LN(2)/25)*Calculateur!FM176*Calculateur!FO176*VLOOKUP('Données projet'!$B$16,Paramètres!$A$1:$I$89,3,0)*0.475*44/12</f>
        <v>0</v>
      </c>
      <c r="FS176" s="23">
        <f>EXP(-LN(2)/2)*FS175+(1-EXP(-LN(2)/2))/(LN(2)/2)*FM176*FP176*VLOOKUP('Données projet'!$B$16,Paramètres!$A$1:$I$89,3,0)*0.475*44/12</f>
        <v>0</v>
      </c>
      <c r="FT176" s="24">
        <f t="shared" si="184"/>
        <v>0</v>
      </c>
      <c r="FU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1.0231815394945443E-12</v>
      </c>
      <c r="GA176" s="18">
        <f>FZ176*VLOOKUP('Données projet'!$B$17,Paramètres!$A$1:$I$89,3,0)*VLOOKUP('Données projet'!$B$17,Paramètres!$A$1:$I$89,5,0)</f>
        <v>4.5224624045658859E-13</v>
      </c>
      <c r="GB176" s="14">
        <f t="shared" si="185"/>
        <v>5.6995607121061449E-12</v>
      </c>
      <c r="GC176" s="22">
        <f t="shared" si="186"/>
        <v>1.0714397109046761E-11</v>
      </c>
      <c r="GD176" s="60">
        <f t="shared" si="134"/>
        <v>293.333333333344</v>
      </c>
      <c r="GE176" s="60">
        <f ca="1">AVERAGE(OFFSET($GD$3,0,0,'Données projet'!$E$17+1,1))-AVERAGE(OFFSET($H$3,0,0,'Données projet'!$E$17+1,1))</f>
        <v>323.56667371063662</v>
      </c>
      <c r="GF176" s="60">
        <f t="shared" si="158"/>
        <v>275.70373467723385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>
        <f>EXP(-LN(2)/35)*GL175+(1-EXP(-LN(2)/35))/(LN(2)/35)*GH176*GI176*VLOOKUP('Données projet'!$B$17,Paramètres!$A$1:$I$89,3,0)*0.475*44/12</f>
        <v>0</v>
      </c>
      <c r="GM176" s="23">
        <f>EXP(-LN(2)/25)*GM175+(1-EXP(-LN(2)/25))/(LN(2)/25)*Calculateur!GH176*Calculateur!GJ176*VLOOKUP('Données projet'!$B$17,Paramètres!$A$1:$I$89,3,0)*0.475*44/12</f>
        <v>0</v>
      </c>
      <c r="GN176" s="23">
        <f>EXP(-LN(2)/2)*GN175+(1-EXP(-LN(2)/2))/(LN(2)/2)*GH176*GK176*VLOOKUP('Données projet'!$B$17,Paramètres!$A$1:$I$89,3,0)*0.475*44/12</f>
        <v>0</v>
      </c>
      <c r="GO176" s="23">
        <f t="shared" si="187"/>
        <v>0</v>
      </c>
      <c r="GP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0" t="e">
        <f t="shared" si="137"/>
        <v>#N/A</v>
      </c>
      <c r="GZ176" s="60" t="e">
        <f ca="1">AVERAGE(OFFSET($GY$3,0,0,'Données projet'!$E$18+1,1))-AVERAGE(OFFSET($H$3,0,0,'Données projet'!$E$18+1,1))</f>
        <v>#N/A</v>
      </c>
      <c r="HA176" s="60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4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2">
        <f t="shared" si="140"/>
        <v>25.768242550600831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-1.1368683772161603E-13</v>
      </c>
      <c r="O177" s="14">
        <f>N177*VLOOKUP('Données projet'!$B$9,Paramètres!$A$1:$I$89,3,0)*VLOOKUP('Données projet'!$B$9,Paramètres!$A$1:$I$89,5,0)</f>
        <v>-6.7984728957526396E-14</v>
      </c>
      <c r="P177" s="14" t="e">
        <f t="shared" si="141"/>
        <v>#NUM!</v>
      </c>
      <c r="Q177" s="22" t="e">
        <f t="shared" si="162"/>
        <v>#NUM!</v>
      </c>
      <c r="R177" s="60" t="e">
        <f t="shared" si="109"/>
        <v>#NUM!</v>
      </c>
      <c r="S177" s="60">
        <f ca="1">AVERAGE(OFFSET($R$3,0,0,'Données projet'!$E$9+1,1))-AVERAGE(OFFSET($H$3,0,0,'Données projet'!$E$9+1,1))</f>
        <v>235.63766249714581</v>
      </c>
      <c r="T177" s="60">
        <f t="shared" si="142"/>
        <v>231.3297293785277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0.66249061069031479</v>
      </c>
      <c r="AA177" s="23">
        <f>EXP(-LN(2)/25)*AA176+(1-EXP(-LN(2)/25))/(LN(2)/25)*Calculateur!V177*Calculateur!X177*VLOOKUP('Données projet'!$B$9,Paramètres!$A$1:$I$89,3,0)*0.475*44/12</f>
        <v>0.31903321624840136</v>
      </c>
      <c r="AB177" s="23">
        <f>EXP(-LN(2)/2)*AB176+(1-EXP(-LN(2)/2))/(LN(2)/2)*V177*Y177*VLOOKUP('Données projet'!$B$9,Paramètres!$A$1:$I$89,3,0)*0.475*44/12</f>
        <v>1.5061160858012677E-21</v>
      </c>
      <c r="AC177" s="24">
        <f t="shared" si="163"/>
        <v>0.98152382693871609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-9.6633812063373625E-13</v>
      </c>
      <c r="AJ177" s="14">
        <f>AI177*VLOOKUP('Données projet'!$B$10,Paramètres!$A$1:$I$89,3,0)*VLOOKUP('Données projet'!$B$10,Paramètres!$A$1:$I$89,5,0)</f>
        <v>-9.7986685432260874E-13</v>
      </c>
      <c r="AK177" s="14" t="e">
        <f t="shared" si="164"/>
        <v>#NUM!</v>
      </c>
      <c r="AL177" s="22" t="e">
        <f t="shared" si="165"/>
        <v>#NUM!</v>
      </c>
      <c r="AM177" s="60" t="e">
        <f t="shared" si="113"/>
        <v>#NUM!</v>
      </c>
      <c r="AN177" s="60">
        <f ca="1">AVERAGE(OFFSET($AM$3,0,0,'Données projet'!$E$10+1,1))-AVERAGE(OFFSET($H$3,0,0,'Données projet'!$E$10+1,1))</f>
        <v>350.3652766444938</v>
      </c>
      <c r="AO177" s="60">
        <f t="shared" si="144"/>
        <v>197.04549436738586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6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-9.6633812063373625E-13</v>
      </c>
      <c r="BE177" s="14">
        <f>BD177*VLOOKUP('Données projet'!$B$11,Paramètres!$A$1:$I$89,3,0)*VLOOKUP('Données projet'!$B$11,Paramètres!$A$1:$I$89,5,0)</f>
        <v>-9.3464223027694966E-13</v>
      </c>
      <c r="BF177" s="14" t="e">
        <f t="shared" si="167"/>
        <v>#NUM!</v>
      </c>
      <c r="BG177" s="22" t="e">
        <f t="shared" si="168"/>
        <v>#NUM!</v>
      </c>
      <c r="BH177" s="60" t="e">
        <f t="shared" si="116"/>
        <v>#NUM!</v>
      </c>
      <c r="BI177" s="60">
        <f ca="1">AVERAGE(OFFSET($BH$3,0,0,'Données projet'!$E$11+1,1))-AVERAGE(OFFSET($H$3,0,0,'Données projet'!$E$11+1,1))</f>
        <v>330.39429528665841</v>
      </c>
      <c r="BJ177" s="60">
        <f t="shared" si="146"/>
        <v>186.45728006007261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1.7053025658242404E-13</v>
      </c>
      <c r="BZ177" s="14">
        <f>BY177*VLOOKUP('Données projet'!$B$12,Paramètres!$A$1:$I$89,3,0)*VLOOKUP('Données projet'!$B$12,Paramètres!$A$1:$I$89,5,0)</f>
        <v>1.1439169611549005E-13</v>
      </c>
      <c r="CA177" s="14">
        <f t="shared" si="170"/>
        <v>1.6918016515029816E-12</v>
      </c>
      <c r="CB177" s="22">
        <f t="shared" si="171"/>
        <v>3.1457867471021712E-12</v>
      </c>
      <c r="CC177" s="60">
        <f t="shared" si="119"/>
        <v>293.33333333333644</v>
      </c>
      <c r="CD177" s="60">
        <f ca="1">AVERAGE(OFFSET($CC$3,0,0,'Données projet'!$E$12+1,1))-AVERAGE(OFFSET($H$3,0,0,'Données projet'!$E$12+1,1))</f>
        <v>212.33913923444732</v>
      </c>
      <c r="CE177" s="60">
        <f t="shared" si="148"/>
        <v>183.51194426094372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-3.979039320256561E-13</v>
      </c>
      <c r="CU177" s="18">
        <f>CT177*VLOOKUP('Données projet'!$B$13,Paramètres!$A$1:$I$89,3,0)*VLOOKUP('Données projet'!$B$13,Paramètres!$A$1:$I$89,5,0)</f>
        <v>-3.4760887501761321E-13</v>
      </c>
      <c r="CV177" s="14" t="e">
        <f t="shared" si="173"/>
        <v>#NUM!</v>
      </c>
      <c r="CW177" s="22" t="e">
        <f t="shared" si="174"/>
        <v>#NUM!</v>
      </c>
      <c r="CX177" s="60" t="e">
        <f t="shared" si="122"/>
        <v>#NUM!</v>
      </c>
      <c r="CY177" s="60">
        <f ca="1">AVERAGE(OFFSET($CX$3,0,0,'Données projet'!$E$13+1,1))-AVERAGE(OFFSET($H$3,0,0,'Données projet'!$E$13+1,1))</f>
        <v>228.0393346366489</v>
      </c>
      <c r="CZ177" s="60">
        <f t="shared" si="150"/>
        <v>238.591781509447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-9.6633812063373625E-13</v>
      </c>
      <c r="DP177" s="18">
        <f>DO177*VLOOKUP('Données projet'!$B$14,Paramètres!$A$1:$I$89,3,0)*VLOOKUP('Données projet'!$B$14,Paramètres!$A$1:$I$89,5,0)</f>
        <v>-8.7434273154940449E-13</v>
      </c>
      <c r="DQ177" s="14" t="e">
        <f t="shared" si="176"/>
        <v>#NUM!</v>
      </c>
      <c r="DR177" s="22" t="e">
        <f t="shared" si="177"/>
        <v>#NUM!</v>
      </c>
      <c r="DS177" s="60" t="e">
        <f t="shared" si="125"/>
        <v>#NUM!</v>
      </c>
      <c r="DT177" s="60">
        <f ca="1">AVERAGE(OFFSET($DS$3,0,0,'Données projet'!$E$14+1,1))-AVERAGE(OFFSET($H$3,0,0,'Données projet'!$E$14+1,1))</f>
        <v>303.73499739059076</v>
      </c>
      <c r="DU177" s="60">
        <f t="shared" si="152"/>
        <v>172.32171001882188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1.1368683772161603E-13</v>
      </c>
      <c r="EK177" s="18">
        <f>EJ177*VLOOKUP('Données projet'!$B$15,Paramètres!$A$1:$I$89,3,0)*VLOOKUP('Données projet'!$B$15,Paramètres!$A$1:$I$89,5,0)</f>
        <v>6.7984728957526396E-14</v>
      </c>
      <c r="EL177" s="14">
        <f t="shared" si="179"/>
        <v>1.0682447123141398E-12</v>
      </c>
      <c r="EM177" s="22">
        <f t="shared" si="180"/>
        <v>1.978932943548152E-12</v>
      </c>
      <c r="EN177" s="60">
        <f t="shared" si="128"/>
        <v>293.3333333333353</v>
      </c>
      <c r="EO177" s="60">
        <f ca="1">AVERAGE(OFFSET($EN$3,0,0,'Données projet'!$E$15+1,1))-AVERAGE(OFFSET($H$3,0,0,'Données projet'!$E$15+1,1))</f>
        <v>269.94948820700841</v>
      </c>
      <c r="EP177" s="60">
        <f t="shared" si="154"/>
        <v>183.45158355135192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0.25197044997382695</v>
      </c>
      <c r="EX177" s="23">
        <f>EXP(-LN(2)/2)*EX176+(1-EXP(-LN(2)/2))/(LN(2)/2)*ER177*EU177*VLOOKUP('Données projet'!$B$15,Paramètres!$A$1:$I$89,3,0)*0.475*44/12</f>
        <v>1.1938996488164446E-21</v>
      </c>
      <c r="EY177" s="24">
        <f t="shared" si="181"/>
        <v>0.25197044997382695</v>
      </c>
      <c r="EZ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>
        <f>FE177*VLOOKUP('Données projet'!$B$16,Paramètres!$A$1:$I$89,3,0)*VLOOKUP('Données projet'!$B$16,Paramètres!$A$1:$I$89,5,0)</f>
        <v>0</v>
      </c>
      <c r="FG177" s="14" t="e">
        <f t="shared" si="182"/>
        <v>#NUM!</v>
      </c>
      <c r="FH177" s="22" t="e">
        <f t="shared" si="183"/>
        <v>#NUM!</v>
      </c>
      <c r="FI177" s="60" t="e">
        <f t="shared" si="131"/>
        <v>#NUM!</v>
      </c>
      <c r="FJ177" s="60">
        <f ca="1">AVERAGE(OFFSET($FI$3,0,0,'Données projet'!$E$16+1,1))-AVERAGE(OFFSET($H$3,0,0,'Données projet'!$E$16+1,1))</f>
        <v>111.24788725253484</v>
      </c>
      <c r="FK177" s="60">
        <f t="shared" si="156"/>
        <v>82.434879813357327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projet'!$B$16,Paramètres!$A$1:$I$89,3,0)*0.475*44/12</f>
        <v>0</v>
      </c>
      <c r="FR177" s="23">
        <f>EXP(-LN(2)/25)*FR176+(1-EXP(-LN(2)/25))/(LN(2)/25)*Calculateur!FM177*Calculateur!FO177*VLOOKUP('Données projet'!$B$16,Paramètres!$A$1:$I$89,3,0)*0.475*44/12</f>
        <v>0</v>
      </c>
      <c r="FS177" s="23">
        <f>EXP(-LN(2)/2)*FS176+(1-EXP(-LN(2)/2))/(LN(2)/2)*FM177*FP177*VLOOKUP('Données projet'!$B$16,Paramètres!$A$1:$I$89,3,0)*0.475*44/12</f>
        <v>0</v>
      </c>
      <c r="FT177" s="24">
        <f t="shared" si="184"/>
        <v>0</v>
      </c>
      <c r="FU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1.0231815394945443E-12</v>
      </c>
      <c r="GA177" s="18">
        <f>FZ177*VLOOKUP('Données projet'!$B$17,Paramètres!$A$1:$I$89,3,0)*VLOOKUP('Données projet'!$B$17,Paramètres!$A$1:$I$89,5,0)</f>
        <v>4.5224624045658859E-13</v>
      </c>
      <c r="GB177" s="14">
        <f t="shared" si="185"/>
        <v>5.6995607121061449E-12</v>
      </c>
      <c r="GC177" s="22">
        <f t="shared" si="186"/>
        <v>1.0714397109046761E-11</v>
      </c>
      <c r="GD177" s="60">
        <f t="shared" si="134"/>
        <v>293.333333333344</v>
      </c>
      <c r="GE177" s="60">
        <f ca="1">AVERAGE(OFFSET($GD$3,0,0,'Données projet'!$E$17+1,1))-AVERAGE(OFFSET($H$3,0,0,'Données projet'!$E$17+1,1))</f>
        <v>323.56667371063662</v>
      </c>
      <c r="GF177" s="60">
        <f t="shared" si="158"/>
        <v>275.70373467723385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>
        <f>EXP(-LN(2)/35)*GL176+(1-EXP(-LN(2)/35))/(LN(2)/35)*GH177*GI177*VLOOKUP('Données projet'!$B$17,Paramètres!$A$1:$I$89,3,0)*0.475*44/12</f>
        <v>0</v>
      </c>
      <c r="GM177" s="23">
        <f>EXP(-LN(2)/25)*GM176+(1-EXP(-LN(2)/25))/(LN(2)/25)*Calculateur!GH177*Calculateur!GJ177*VLOOKUP('Données projet'!$B$17,Paramètres!$A$1:$I$89,3,0)*0.475*44/12</f>
        <v>0</v>
      </c>
      <c r="GN177" s="23">
        <f>EXP(-LN(2)/2)*GN176+(1-EXP(-LN(2)/2))/(LN(2)/2)*GH177*GK177*VLOOKUP('Données projet'!$B$17,Paramètres!$A$1:$I$89,3,0)*0.475*44/12</f>
        <v>0</v>
      </c>
      <c r="GO177" s="23">
        <f t="shared" si="187"/>
        <v>0</v>
      </c>
      <c r="GP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0" t="e">
        <f t="shared" si="137"/>
        <v>#N/A</v>
      </c>
      <c r="GZ177" s="60" t="e">
        <f ca="1">AVERAGE(OFFSET($GY$3,0,0,'Données projet'!$E$18+1,1))-AVERAGE(OFFSET($H$3,0,0,'Données projet'!$E$18+1,1))</f>
        <v>#N/A</v>
      </c>
      <c r="HA177" s="60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4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2">
        <f t="shared" si="140"/>
        <v>25.89905415737541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-1.1368683772161603E-13</v>
      </c>
      <c r="O178" s="14">
        <f>N178*VLOOKUP('Données projet'!$B$9,Paramètres!$A$1:$I$89,3,0)*VLOOKUP('Données projet'!$B$9,Paramètres!$A$1:$I$89,5,0)</f>
        <v>-6.7984728957526396E-14</v>
      </c>
      <c r="P178" s="14" t="e">
        <f t="shared" si="141"/>
        <v>#NUM!</v>
      </c>
      <c r="Q178" s="22" t="e">
        <f t="shared" si="162"/>
        <v>#NUM!</v>
      </c>
      <c r="R178" s="60" t="e">
        <f t="shared" si="109"/>
        <v>#NUM!</v>
      </c>
      <c r="S178" s="60">
        <f ca="1">AVERAGE(OFFSET($R$3,0,0,'Données projet'!$E$9+1,1))-AVERAGE(OFFSET($H$3,0,0,'Données projet'!$E$9+1,1))</f>
        <v>235.63766249714581</v>
      </c>
      <c r="T178" s="60">
        <f t="shared" si="142"/>
        <v>231.3297293785277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0.64949957389405066</v>
      </c>
      <c r="AA178" s="23">
        <f>EXP(-LN(2)/25)*AA177+(1-EXP(-LN(2)/25))/(LN(2)/25)*Calculateur!V178*Calculateur!X178*VLOOKUP('Données projet'!$B$9,Paramètres!$A$1:$I$89,3,0)*0.475*44/12</f>
        <v>0.31030923617286116</v>
      </c>
      <c r="AB178" s="23">
        <f>EXP(-LN(2)/2)*AB177+(1-EXP(-LN(2)/2))/(LN(2)/2)*V178*Y178*VLOOKUP('Données projet'!$B$9,Paramètres!$A$1:$I$89,3,0)*0.475*44/12</f>
        <v>1.0649848975242165E-21</v>
      </c>
      <c r="AC178" s="24">
        <f t="shared" si="163"/>
        <v>0.95980881006691177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-9.6633812063373625E-13</v>
      </c>
      <c r="AJ178" s="14">
        <f>AI178*VLOOKUP('Données projet'!$B$10,Paramètres!$A$1:$I$89,3,0)*VLOOKUP('Données projet'!$B$10,Paramètres!$A$1:$I$89,5,0)</f>
        <v>-9.7986685432260874E-13</v>
      </c>
      <c r="AK178" s="14" t="e">
        <f t="shared" si="164"/>
        <v>#NUM!</v>
      </c>
      <c r="AL178" s="22" t="e">
        <f t="shared" si="165"/>
        <v>#NUM!</v>
      </c>
      <c r="AM178" s="60" t="e">
        <f t="shared" si="113"/>
        <v>#NUM!</v>
      </c>
      <c r="AN178" s="60">
        <f ca="1">AVERAGE(OFFSET($AM$3,0,0,'Données projet'!$E$10+1,1))-AVERAGE(OFFSET($H$3,0,0,'Données projet'!$E$10+1,1))</f>
        <v>350.3652766444938</v>
      </c>
      <c r="AO178" s="60">
        <f t="shared" si="144"/>
        <v>197.04549436738586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6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-9.6633812063373625E-13</v>
      </c>
      <c r="BE178" s="14">
        <f>BD178*VLOOKUP('Données projet'!$B$11,Paramètres!$A$1:$I$89,3,0)*VLOOKUP('Données projet'!$B$11,Paramètres!$A$1:$I$89,5,0)</f>
        <v>-9.3464223027694966E-13</v>
      </c>
      <c r="BF178" s="14" t="e">
        <f t="shared" si="167"/>
        <v>#NUM!</v>
      </c>
      <c r="BG178" s="22" t="e">
        <f t="shared" si="168"/>
        <v>#NUM!</v>
      </c>
      <c r="BH178" s="60" t="e">
        <f t="shared" si="116"/>
        <v>#NUM!</v>
      </c>
      <c r="BI178" s="60">
        <f ca="1">AVERAGE(OFFSET($BH$3,0,0,'Données projet'!$E$11+1,1))-AVERAGE(OFFSET($H$3,0,0,'Données projet'!$E$11+1,1))</f>
        <v>330.39429528665841</v>
      </c>
      <c r="BJ178" s="60">
        <f t="shared" si="146"/>
        <v>186.45728006007261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1.7053025658242404E-13</v>
      </c>
      <c r="BZ178" s="14">
        <f>BY178*VLOOKUP('Données projet'!$B$12,Paramètres!$A$1:$I$89,3,0)*VLOOKUP('Données projet'!$B$12,Paramètres!$A$1:$I$89,5,0)</f>
        <v>1.1439169611549005E-13</v>
      </c>
      <c r="CA178" s="14">
        <f t="shared" si="170"/>
        <v>1.6918016515029816E-12</v>
      </c>
      <c r="CB178" s="22">
        <f t="shared" si="171"/>
        <v>3.1457867471021712E-12</v>
      </c>
      <c r="CC178" s="60">
        <f t="shared" si="119"/>
        <v>293.33333333333644</v>
      </c>
      <c r="CD178" s="60">
        <f ca="1">AVERAGE(OFFSET($CC$3,0,0,'Données projet'!$E$12+1,1))-AVERAGE(OFFSET($H$3,0,0,'Données projet'!$E$12+1,1))</f>
        <v>212.33913923444732</v>
      </c>
      <c r="CE178" s="60">
        <f t="shared" si="148"/>
        <v>183.51194426094372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-3.979039320256561E-13</v>
      </c>
      <c r="CU178" s="18">
        <f>CT178*VLOOKUP('Données projet'!$B$13,Paramètres!$A$1:$I$89,3,0)*VLOOKUP('Données projet'!$B$13,Paramètres!$A$1:$I$89,5,0)</f>
        <v>-3.4760887501761321E-13</v>
      </c>
      <c r="CV178" s="14" t="e">
        <f t="shared" si="173"/>
        <v>#NUM!</v>
      </c>
      <c r="CW178" s="22" t="e">
        <f t="shared" si="174"/>
        <v>#NUM!</v>
      </c>
      <c r="CX178" s="60" t="e">
        <f t="shared" si="122"/>
        <v>#NUM!</v>
      </c>
      <c r="CY178" s="60">
        <f ca="1">AVERAGE(OFFSET($CX$3,0,0,'Données projet'!$E$13+1,1))-AVERAGE(OFFSET($H$3,0,0,'Données projet'!$E$13+1,1))</f>
        <v>228.0393346366489</v>
      </c>
      <c r="CZ178" s="60">
        <f t="shared" si="150"/>
        <v>238.591781509447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-9.6633812063373625E-13</v>
      </c>
      <c r="DP178" s="18">
        <f>DO178*VLOOKUP('Données projet'!$B$14,Paramètres!$A$1:$I$89,3,0)*VLOOKUP('Données projet'!$B$14,Paramètres!$A$1:$I$89,5,0)</f>
        <v>-8.7434273154940449E-13</v>
      </c>
      <c r="DQ178" s="14" t="e">
        <f t="shared" si="176"/>
        <v>#NUM!</v>
      </c>
      <c r="DR178" s="22" t="e">
        <f t="shared" si="177"/>
        <v>#NUM!</v>
      </c>
      <c r="DS178" s="60" t="e">
        <f t="shared" si="125"/>
        <v>#NUM!</v>
      </c>
      <c r="DT178" s="60">
        <f ca="1">AVERAGE(OFFSET($DS$3,0,0,'Données projet'!$E$14+1,1))-AVERAGE(OFFSET($H$3,0,0,'Données projet'!$E$14+1,1))</f>
        <v>303.73499739059076</v>
      </c>
      <c r="DU178" s="60">
        <f t="shared" si="152"/>
        <v>172.32171001882188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1.1368683772161603E-13</v>
      </c>
      <c r="EK178" s="18">
        <f>EJ178*VLOOKUP('Données projet'!$B$15,Paramètres!$A$1:$I$89,3,0)*VLOOKUP('Données projet'!$B$15,Paramètres!$A$1:$I$89,5,0)</f>
        <v>6.7984728957526396E-14</v>
      </c>
      <c r="EL178" s="14">
        <f t="shared" si="179"/>
        <v>1.0682447123141398E-12</v>
      </c>
      <c r="EM178" s="22">
        <f t="shared" si="180"/>
        <v>1.978932943548152E-12</v>
      </c>
      <c r="EN178" s="60">
        <f t="shared" si="128"/>
        <v>293.3333333333353</v>
      </c>
      <c r="EO178" s="60">
        <f ca="1">AVERAGE(OFFSET($EN$3,0,0,'Données projet'!$E$15+1,1))-AVERAGE(OFFSET($H$3,0,0,'Données projet'!$E$15+1,1))</f>
        <v>269.94948820700841</v>
      </c>
      <c r="EP178" s="60">
        <f t="shared" si="154"/>
        <v>183.45158355135192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0.24508030476874257</v>
      </c>
      <c r="EX178" s="23">
        <f>EXP(-LN(2)/2)*EX177+(1-EXP(-LN(2)/2))/(LN(2)/2)*ER178*EU178*VLOOKUP('Données projet'!$B$15,Paramètres!$A$1:$I$89,3,0)*0.475*44/12</f>
        <v>8.4421453773434565E-22</v>
      </c>
      <c r="EY178" s="24">
        <f t="shared" si="181"/>
        <v>0.24508030476874257</v>
      </c>
      <c r="EZ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>
        <f>FE178*VLOOKUP('Données projet'!$B$16,Paramètres!$A$1:$I$89,3,0)*VLOOKUP('Données projet'!$B$16,Paramètres!$A$1:$I$89,5,0)</f>
        <v>0</v>
      </c>
      <c r="FG178" s="14" t="e">
        <f t="shared" si="182"/>
        <v>#NUM!</v>
      </c>
      <c r="FH178" s="22" t="e">
        <f t="shared" si="183"/>
        <v>#NUM!</v>
      </c>
      <c r="FI178" s="60" t="e">
        <f t="shared" si="131"/>
        <v>#NUM!</v>
      </c>
      <c r="FJ178" s="60">
        <f ca="1">AVERAGE(OFFSET($FI$3,0,0,'Données projet'!$E$16+1,1))-AVERAGE(OFFSET($H$3,0,0,'Données projet'!$E$16+1,1))</f>
        <v>111.24788725253484</v>
      </c>
      <c r="FK178" s="60">
        <f t="shared" si="156"/>
        <v>82.434879813357327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projet'!$B$16,Paramètres!$A$1:$I$89,3,0)*0.475*44/12</f>
        <v>0</v>
      </c>
      <c r="FR178" s="23">
        <f>EXP(-LN(2)/25)*FR177+(1-EXP(-LN(2)/25))/(LN(2)/25)*Calculateur!FM178*Calculateur!FO178*VLOOKUP('Données projet'!$B$16,Paramètres!$A$1:$I$89,3,0)*0.475*44/12</f>
        <v>0</v>
      </c>
      <c r="FS178" s="23">
        <f>EXP(-LN(2)/2)*FS177+(1-EXP(-LN(2)/2))/(LN(2)/2)*FM178*FP178*VLOOKUP('Données projet'!$B$16,Paramètres!$A$1:$I$89,3,0)*0.475*44/12</f>
        <v>0</v>
      </c>
      <c r="FT178" s="24">
        <f t="shared" si="184"/>
        <v>0</v>
      </c>
      <c r="FU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1.0231815394945443E-12</v>
      </c>
      <c r="GA178" s="18">
        <f>FZ178*VLOOKUP('Données projet'!$B$17,Paramètres!$A$1:$I$89,3,0)*VLOOKUP('Données projet'!$B$17,Paramètres!$A$1:$I$89,5,0)</f>
        <v>4.5224624045658859E-13</v>
      </c>
      <c r="GB178" s="14">
        <f t="shared" si="185"/>
        <v>5.6995607121061449E-12</v>
      </c>
      <c r="GC178" s="22">
        <f t="shared" si="186"/>
        <v>1.0714397109046761E-11</v>
      </c>
      <c r="GD178" s="60">
        <f t="shared" si="134"/>
        <v>293.333333333344</v>
      </c>
      <c r="GE178" s="60">
        <f ca="1">AVERAGE(OFFSET($GD$3,0,0,'Données projet'!$E$17+1,1))-AVERAGE(OFFSET($H$3,0,0,'Données projet'!$E$17+1,1))</f>
        <v>323.56667371063662</v>
      </c>
      <c r="GF178" s="60">
        <f t="shared" si="158"/>
        <v>275.70373467723385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>
        <f>EXP(-LN(2)/35)*GL177+(1-EXP(-LN(2)/35))/(LN(2)/35)*GH178*GI178*VLOOKUP('Données projet'!$B$17,Paramètres!$A$1:$I$89,3,0)*0.475*44/12</f>
        <v>0</v>
      </c>
      <c r="GM178" s="23">
        <f>EXP(-LN(2)/25)*GM177+(1-EXP(-LN(2)/25))/(LN(2)/25)*Calculateur!GH178*Calculateur!GJ178*VLOOKUP('Données projet'!$B$17,Paramètres!$A$1:$I$89,3,0)*0.475*44/12</f>
        <v>0</v>
      </c>
      <c r="GN178" s="23">
        <f>EXP(-LN(2)/2)*GN177+(1-EXP(-LN(2)/2))/(LN(2)/2)*GH178*GK178*VLOOKUP('Données projet'!$B$17,Paramètres!$A$1:$I$89,3,0)*0.475*44/12</f>
        <v>0</v>
      </c>
      <c r="GO178" s="23">
        <f t="shared" si="187"/>
        <v>0</v>
      </c>
      <c r="GP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0" t="e">
        <f t="shared" si="137"/>
        <v>#N/A</v>
      </c>
      <c r="GZ178" s="60" t="e">
        <f ca="1">AVERAGE(OFFSET($GY$3,0,0,'Données projet'!$E$18+1,1))-AVERAGE(OFFSET($H$3,0,0,'Données projet'!$E$18+1,1))</f>
        <v>#N/A</v>
      </c>
      <c r="HA178" s="60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4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2">
        <f t="shared" si="140"/>
        <v>26.029778784173445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-1.1368683772161603E-13</v>
      </c>
      <c r="O179" s="14">
        <f>N179*VLOOKUP('Données projet'!$B$9,Paramètres!$A$1:$I$89,3,0)*VLOOKUP('Données projet'!$B$9,Paramètres!$A$1:$I$89,5,0)</f>
        <v>-6.7984728957526396E-14</v>
      </c>
      <c r="P179" s="14" t="e">
        <f t="shared" si="141"/>
        <v>#NUM!</v>
      </c>
      <c r="Q179" s="22" t="e">
        <f t="shared" si="162"/>
        <v>#NUM!</v>
      </c>
      <c r="R179" s="60" t="e">
        <f t="shared" si="109"/>
        <v>#NUM!</v>
      </c>
      <c r="S179" s="60">
        <f ca="1">AVERAGE(OFFSET($R$3,0,0,'Données projet'!$E$9+1,1))-AVERAGE(OFFSET($H$3,0,0,'Données projet'!$E$9+1,1))</f>
        <v>235.63766249714581</v>
      </c>
      <c r="T179" s="60">
        <f t="shared" si="142"/>
        <v>231.3297293785277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0.63676328340561128</v>
      </c>
      <c r="AA179" s="23">
        <f>EXP(-LN(2)/25)*AA178+(1-EXP(-LN(2)/25))/(LN(2)/25)*Calculateur!V179*Calculateur!X179*VLOOKUP('Données projet'!$B$9,Paramètres!$A$1:$I$89,3,0)*0.475*44/12</f>
        <v>0.30182381379126078</v>
      </c>
      <c r="AB179" s="23">
        <f>EXP(-LN(2)/2)*AB178+(1-EXP(-LN(2)/2))/(LN(2)/2)*V179*Y179*VLOOKUP('Données projet'!$B$9,Paramètres!$A$1:$I$89,3,0)*0.475*44/12</f>
        <v>7.5305804290063387E-22</v>
      </c>
      <c r="AC179" s="24">
        <f t="shared" si="163"/>
        <v>0.93858709719687206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-9.6633812063373625E-13</v>
      </c>
      <c r="AJ179" s="14">
        <f>AI179*VLOOKUP('Données projet'!$B$10,Paramètres!$A$1:$I$89,3,0)*VLOOKUP('Données projet'!$B$10,Paramètres!$A$1:$I$89,5,0)</f>
        <v>-9.7986685432260874E-13</v>
      </c>
      <c r="AK179" s="14" t="e">
        <f t="shared" si="164"/>
        <v>#NUM!</v>
      </c>
      <c r="AL179" s="22" t="e">
        <f t="shared" si="165"/>
        <v>#NUM!</v>
      </c>
      <c r="AM179" s="60" t="e">
        <f t="shared" si="113"/>
        <v>#NUM!</v>
      </c>
      <c r="AN179" s="60">
        <f ca="1">AVERAGE(OFFSET($AM$3,0,0,'Données projet'!$E$10+1,1))-AVERAGE(OFFSET($H$3,0,0,'Données projet'!$E$10+1,1))</f>
        <v>350.3652766444938</v>
      </c>
      <c r="AO179" s="60">
        <f t="shared" si="144"/>
        <v>197.04549436738586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6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-9.6633812063373625E-13</v>
      </c>
      <c r="BE179" s="14">
        <f>BD179*VLOOKUP('Données projet'!$B$11,Paramètres!$A$1:$I$89,3,0)*VLOOKUP('Données projet'!$B$11,Paramètres!$A$1:$I$89,5,0)</f>
        <v>-9.3464223027694966E-13</v>
      </c>
      <c r="BF179" s="14" t="e">
        <f t="shared" si="167"/>
        <v>#NUM!</v>
      </c>
      <c r="BG179" s="22" t="e">
        <f t="shared" si="168"/>
        <v>#NUM!</v>
      </c>
      <c r="BH179" s="60" t="e">
        <f t="shared" si="116"/>
        <v>#NUM!</v>
      </c>
      <c r="BI179" s="60">
        <f ca="1">AVERAGE(OFFSET($BH$3,0,0,'Données projet'!$E$11+1,1))-AVERAGE(OFFSET($H$3,0,0,'Données projet'!$E$11+1,1))</f>
        <v>330.39429528665841</v>
      </c>
      <c r="BJ179" s="60">
        <f t="shared" si="146"/>
        <v>186.45728006007261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1.7053025658242404E-13</v>
      </c>
      <c r="BZ179" s="14">
        <f>BY179*VLOOKUP('Données projet'!$B$12,Paramètres!$A$1:$I$89,3,0)*VLOOKUP('Données projet'!$B$12,Paramètres!$A$1:$I$89,5,0)</f>
        <v>1.1439169611549005E-13</v>
      </c>
      <c r="CA179" s="14">
        <f t="shared" si="170"/>
        <v>1.6918016515029816E-12</v>
      </c>
      <c r="CB179" s="22">
        <f t="shared" si="171"/>
        <v>3.1457867471021712E-12</v>
      </c>
      <c r="CC179" s="60">
        <f t="shared" si="119"/>
        <v>293.33333333333644</v>
      </c>
      <c r="CD179" s="60">
        <f ca="1">AVERAGE(OFFSET($CC$3,0,0,'Données projet'!$E$12+1,1))-AVERAGE(OFFSET($H$3,0,0,'Données projet'!$E$12+1,1))</f>
        <v>212.33913923444732</v>
      </c>
      <c r="CE179" s="60">
        <f t="shared" si="148"/>
        <v>183.51194426094372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-3.979039320256561E-13</v>
      </c>
      <c r="CU179" s="18">
        <f>CT179*VLOOKUP('Données projet'!$B$13,Paramètres!$A$1:$I$89,3,0)*VLOOKUP('Données projet'!$B$13,Paramètres!$A$1:$I$89,5,0)</f>
        <v>-3.4760887501761321E-13</v>
      </c>
      <c r="CV179" s="14" t="e">
        <f t="shared" si="173"/>
        <v>#NUM!</v>
      </c>
      <c r="CW179" s="22" t="e">
        <f t="shared" si="174"/>
        <v>#NUM!</v>
      </c>
      <c r="CX179" s="60" t="e">
        <f t="shared" si="122"/>
        <v>#NUM!</v>
      </c>
      <c r="CY179" s="60">
        <f ca="1">AVERAGE(OFFSET($CX$3,0,0,'Données projet'!$E$13+1,1))-AVERAGE(OFFSET($H$3,0,0,'Données projet'!$E$13+1,1))</f>
        <v>228.0393346366489</v>
      </c>
      <c r="CZ179" s="60">
        <f t="shared" si="150"/>
        <v>238.591781509447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-9.6633812063373625E-13</v>
      </c>
      <c r="DP179" s="18">
        <f>DO179*VLOOKUP('Données projet'!$B$14,Paramètres!$A$1:$I$89,3,0)*VLOOKUP('Données projet'!$B$14,Paramètres!$A$1:$I$89,5,0)</f>
        <v>-8.7434273154940449E-13</v>
      </c>
      <c r="DQ179" s="14" t="e">
        <f t="shared" si="176"/>
        <v>#NUM!</v>
      </c>
      <c r="DR179" s="22" t="e">
        <f t="shared" si="177"/>
        <v>#NUM!</v>
      </c>
      <c r="DS179" s="60" t="e">
        <f t="shared" si="125"/>
        <v>#NUM!</v>
      </c>
      <c r="DT179" s="60">
        <f ca="1">AVERAGE(OFFSET($DS$3,0,0,'Données projet'!$E$14+1,1))-AVERAGE(OFFSET($H$3,0,0,'Données projet'!$E$14+1,1))</f>
        <v>303.73499739059076</v>
      </c>
      <c r="DU179" s="60">
        <f t="shared" si="152"/>
        <v>172.32171001882188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1.1368683772161603E-13</v>
      </c>
      <c r="EK179" s="18">
        <f>EJ179*VLOOKUP('Données projet'!$B$15,Paramètres!$A$1:$I$89,3,0)*VLOOKUP('Données projet'!$B$15,Paramètres!$A$1:$I$89,5,0)</f>
        <v>6.7984728957526396E-14</v>
      </c>
      <c r="EL179" s="14">
        <f t="shared" si="179"/>
        <v>1.0682447123141398E-12</v>
      </c>
      <c r="EM179" s="22">
        <f t="shared" si="180"/>
        <v>1.978932943548152E-12</v>
      </c>
      <c r="EN179" s="60">
        <f t="shared" si="128"/>
        <v>293.3333333333353</v>
      </c>
      <c r="EO179" s="60">
        <f ca="1">AVERAGE(OFFSET($EN$3,0,0,'Données projet'!$E$15+1,1))-AVERAGE(OFFSET($H$3,0,0,'Données projet'!$E$15+1,1))</f>
        <v>269.94948820700841</v>
      </c>
      <c r="EP179" s="60">
        <f t="shared" si="154"/>
        <v>183.45158355135192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0.2383785709466282</v>
      </c>
      <c r="EX179" s="23">
        <f>EXP(-LN(2)/2)*EX178+(1-EXP(-LN(2)/2))/(LN(2)/2)*ER179*EU179*VLOOKUP('Données projet'!$B$15,Paramètres!$A$1:$I$89,3,0)*0.475*44/12</f>
        <v>5.9694982440822237E-22</v>
      </c>
      <c r="EY179" s="24">
        <f t="shared" si="181"/>
        <v>0.2383785709466282</v>
      </c>
      <c r="EZ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>
        <f>FE179*VLOOKUP('Données projet'!$B$16,Paramètres!$A$1:$I$89,3,0)*VLOOKUP('Données projet'!$B$16,Paramètres!$A$1:$I$89,5,0)</f>
        <v>0</v>
      </c>
      <c r="FG179" s="14" t="e">
        <f t="shared" si="182"/>
        <v>#NUM!</v>
      </c>
      <c r="FH179" s="22" t="e">
        <f t="shared" si="183"/>
        <v>#NUM!</v>
      </c>
      <c r="FI179" s="60" t="e">
        <f t="shared" si="131"/>
        <v>#NUM!</v>
      </c>
      <c r="FJ179" s="60">
        <f ca="1">AVERAGE(OFFSET($FI$3,0,0,'Données projet'!$E$16+1,1))-AVERAGE(OFFSET($H$3,0,0,'Données projet'!$E$16+1,1))</f>
        <v>111.24788725253484</v>
      </c>
      <c r="FK179" s="60">
        <f t="shared" si="156"/>
        <v>82.434879813357327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projet'!$B$16,Paramètres!$A$1:$I$89,3,0)*0.475*44/12</f>
        <v>0</v>
      </c>
      <c r="FR179" s="23">
        <f>EXP(-LN(2)/25)*FR178+(1-EXP(-LN(2)/25))/(LN(2)/25)*Calculateur!FM179*Calculateur!FO179*VLOOKUP('Données projet'!$B$16,Paramètres!$A$1:$I$89,3,0)*0.475*44/12</f>
        <v>0</v>
      </c>
      <c r="FS179" s="23">
        <f>EXP(-LN(2)/2)*FS178+(1-EXP(-LN(2)/2))/(LN(2)/2)*FM179*FP179*VLOOKUP('Données projet'!$B$16,Paramètres!$A$1:$I$89,3,0)*0.475*44/12</f>
        <v>0</v>
      </c>
      <c r="FT179" s="24">
        <f t="shared" si="184"/>
        <v>0</v>
      </c>
      <c r="FU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1.0231815394945443E-12</v>
      </c>
      <c r="GA179" s="18">
        <f>FZ179*VLOOKUP('Données projet'!$B$17,Paramètres!$A$1:$I$89,3,0)*VLOOKUP('Données projet'!$B$17,Paramètres!$A$1:$I$89,5,0)</f>
        <v>4.5224624045658859E-13</v>
      </c>
      <c r="GB179" s="14">
        <f t="shared" si="185"/>
        <v>5.6995607121061449E-12</v>
      </c>
      <c r="GC179" s="22">
        <f t="shared" si="186"/>
        <v>1.0714397109046761E-11</v>
      </c>
      <c r="GD179" s="60">
        <f t="shared" si="134"/>
        <v>293.333333333344</v>
      </c>
      <c r="GE179" s="60">
        <f ca="1">AVERAGE(OFFSET($GD$3,0,0,'Données projet'!$E$17+1,1))-AVERAGE(OFFSET($H$3,0,0,'Données projet'!$E$17+1,1))</f>
        <v>323.56667371063662</v>
      </c>
      <c r="GF179" s="60">
        <f t="shared" si="158"/>
        <v>275.70373467723385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>
        <f>EXP(-LN(2)/35)*GL178+(1-EXP(-LN(2)/35))/(LN(2)/35)*GH179*GI179*VLOOKUP('Données projet'!$B$17,Paramètres!$A$1:$I$89,3,0)*0.475*44/12</f>
        <v>0</v>
      </c>
      <c r="GM179" s="23">
        <f>EXP(-LN(2)/25)*GM178+(1-EXP(-LN(2)/25))/(LN(2)/25)*Calculateur!GH179*Calculateur!GJ179*VLOOKUP('Données projet'!$B$17,Paramètres!$A$1:$I$89,3,0)*0.475*44/12</f>
        <v>0</v>
      </c>
      <c r="GN179" s="23">
        <f>EXP(-LN(2)/2)*GN178+(1-EXP(-LN(2)/2))/(LN(2)/2)*GH179*GK179*VLOOKUP('Données projet'!$B$17,Paramètres!$A$1:$I$89,3,0)*0.475*44/12</f>
        <v>0</v>
      </c>
      <c r="GO179" s="23">
        <f t="shared" si="187"/>
        <v>0</v>
      </c>
      <c r="GP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0" t="e">
        <f t="shared" si="137"/>
        <v>#N/A</v>
      </c>
      <c r="GZ179" s="60" t="e">
        <f ca="1">AVERAGE(OFFSET($GY$3,0,0,'Données projet'!$E$18+1,1))-AVERAGE(OFFSET($H$3,0,0,'Données projet'!$E$18+1,1))</f>
        <v>#N/A</v>
      </c>
      <c r="HA179" s="60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4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2">
        <f t="shared" si="140"/>
        <v>26.160416982548288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-1.1368683772161603E-13</v>
      </c>
      <c r="O180" s="14">
        <f>N180*VLOOKUP('Données projet'!$B$9,Paramètres!$A$1:$I$89,3,0)*VLOOKUP('Données projet'!$B$9,Paramètres!$A$1:$I$89,5,0)</f>
        <v>-6.7984728957526396E-14</v>
      </c>
      <c r="P180" s="14" t="e">
        <f t="shared" si="141"/>
        <v>#NUM!</v>
      </c>
      <c r="Q180" s="22" t="e">
        <f t="shared" si="162"/>
        <v>#NUM!</v>
      </c>
      <c r="R180" s="60" t="e">
        <f t="shared" si="109"/>
        <v>#NUM!</v>
      </c>
      <c r="S180" s="60">
        <f ca="1">AVERAGE(OFFSET($R$3,0,0,'Données projet'!$E$9+1,1))-AVERAGE(OFFSET($H$3,0,0,'Données projet'!$E$9+1,1))</f>
        <v>235.63766249714581</v>
      </c>
      <c r="T180" s="60">
        <f t="shared" si="142"/>
        <v>231.3297293785277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0.62427674380528009</v>
      </c>
      <c r="AA180" s="23">
        <f>EXP(-LN(2)/25)*AA179+(1-EXP(-LN(2)/25))/(LN(2)/25)*Calculateur!V180*Calculateur!X180*VLOOKUP('Données projet'!$B$9,Paramètres!$A$1:$I$89,3,0)*0.475*44/12</f>
        <v>0.29357042573091419</v>
      </c>
      <c r="AB180" s="23">
        <f>EXP(-LN(2)/2)*AB179+(1-EXP(-LN(2)/2))/(LN(2)/2)*V180*Y180*VLOOKUP('Données projet'!$B$9,Paramètres!$A$1:$I$89,3,0)*0.475*44/12</f>
        <v>5.3249244876210823E-22</v>
      </c>
      <c r="AC180" s="24">
        <f t="shared" si="163"/>
        <v>0.91784716953619427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-9.6633812063373625E-13</v>
      </c>
      <c r="AJ180" s="14">
        <f>AI180*VLOOKUP('Données projet'!$B$10,Paramètres!$A$1:$I$89,3,0)*VLOOKUP('Données projet'!$B$10,Paramètres!$A$1:$I$89,5,0)</f>
        <v>-9.7986685432260874E-13</v>
      </c>
      <c r="AK180" s="14" t="e">
        <f t="shared" si="164"/>
        <v>#NUM!</v>
      </c>
      <c r="AL180" s="22" t="e">
        <f t="shared" si="165"/>
        <v>#NUM!</v>
      </c>
      <c r="AM180" s="60" t="e">
        <f t="shared" si="113"/>
        <v>#NUM!</v>
      </c>
      <c r="AN180" s="60">
        <f ca="1">AVERAGE(OFFSET($AM$3,0,0,'Données projet'!$E$10+1,1))-AVERAGE(OFFSET($H$3,0,0,'Données projet'!$E$10+1,1))</f>
        <v>350.3652766444938</v>
      </c>
      <c r="AO180" s="60">
        <f t="shared" si="144"/>
        <v>197.04549436738586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6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-9.6633812063373625E-13</v>
      </c>
      <c r="BE180" s="14">
        <f>BD180*VLOOKUP('Données projet'!$B$11,Paramètres!$A$1:$I$89,3,0)*VLOOKUP('Données projet'!$B$11,Paramètres!$A$1:$I$89,5,0)</f>
        <v>-9.3464223027694966E-13</v>
      </c>
      <c r="BF180" s="14" t="e">
        <f t="shared" si="167"/>
        <v>#NUM!</v>
      </c>
      <c r="BG180" s="22" t="e">
        <f t="shared" si="168"/>
        <v>#NUM!</v>
      </c>
      <c r="BH180" s="60" t="e">
        <f t="shared" si="116"/>
        <v>#NUM!</v>
      </c>
      <c r="BI180" s="60">
        <f ca="1">AVERAGE(OFFSET($BH$3,0,0,'Données projet'!$E$11+1,1))-AVERAGE(OFFSET($H$3,0,0,'Données projet'!$E$11+1,1))</f>
        <v>330.39429528665841</v>
      </c>
      <c r="BJ180" s="60">
        <f t="shared" si="146"/>
        <v>186.45728006007261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1.7053025658242404E-13</v>
      </c>
      <c r="BZ180" s="14">
        <f>BY180*VLOOKUP('Données projet'!$B$12,Paramètres!$A$1:$I$89,3,0)*VLOOKUP('Données projet'!$B$12,Paramètres!$A$1:$I$89,5,0)</f>
        <v>1.1439169611549005E-13</v>
      </c>
      <c r="CA180" s="14">
        <f t="shared" si="170"/>
        <v>1.6918016515029816E-12</v>
      </c>
      <c r="CB180" s="22">
        <f t="shared" si="171"/>
        <v>3.1457867471021712E-12</v>
      </c>
      <c r="CC180" s="60">
        <f t="shared" si="119"/>
        <v>293.33333333333644</v>
      </c>
      <c r="CD180" s="60">
        <f ca="1">AVERAGE(OFFSET($CC$3,0,0,'Données projet'!$E$12+1,1))-AVERAGE(OFFSET($H$3,0,0,'Données projet'!$E$12+1,1))</f>
        <v>212.33913923444732</v>
      </c>
      <c r="CE180" s="60">
        <f t="shared" si="148"/>
        <v>183.51194426094372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-3.979039320256561E-13</v>
      </c>
      <c r="CU180" s="18">
        <f>CT180*VLOOKUP('Données projet'!$B$13,Paramètres!$A$1:$I$89,3,0)*VLOOKUP('Données projet'!$B$13,Paramètres!$A$1:$I$89,5,0)</f>
        <v>-3.4760887501761321E-13</v>
      </c>
      <c r="CV180" s="14" t="e">
        <f t="shared" si="173"/>
        <v>#NUM!</v>
      </c>
      <c r="CW180" s="22" t="e">
        <f t="shared" si="174"/>
        <v>#NUM!</v>
      </c>
      <c r="CX180" s="60" t="e">
        <f t="shared" si="122"/>
        <v>#NUM!</v>
      </c>
      <c r="CY180" s="60">
        <f ca="1">AVERAGE(OFFSET($CX$3,0,0,'Données projet'!$E$13+1,1))-AVERAGE(OFFSET($H$3,0,0,'Données projet'!$E$13+1,1))</f>
        <v>228.0393346366489</v>
      </c>
      <c r="CZ180" s="60">
        <f t="shared" si="150"/>
        <v>238.591781509447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-9.6633812063373625E-13</v>
      </c>
      <c r="DP180" s="18">
        <f>DO180*VLOOKUP('Données projet'!$B$14,Paramètres!$A$1:$I$89,3,0)*VLOOKUP('Données projet'!$B$14,Paramètres!$A$1:$I$89,5,0)</f>
        <v>-8.7434273154940449E-13</v>
      </c>
      <c r="DQ180" s="14" t="e">
        <f t="shared" si="176"/>
        <v>#NUM!</v>
      </c>
      <c r="DR180" s="22" t="e">
        <f t="shared" si="177"/>
        <v>#NUM!</v>
      </c>
      <c r="DS180" s="60" t="e">
        <f t="shared" si="125"/>
        <v>#NUM!</v>
      </c>
      <c r="DT180" s="60">
        <f ca="1">AVERAGE(OFFSET($DS$3,0,0,'Données projet'!$E$14+1,1))-AVERAGE(OFFSET($H$3,0,0,'Données projet'!$E$14+1,1))</f>
        <v>303.73499739059076</v>
      </c>
      <c r="DU180" s="60">
        <f t="shared" si="152"/>
        <v>172.32171001882188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1.1368683772161603E-13</v>
      </c>
      <c r="EK180" s="18">
        <f>EJ180*VLOOKUP('Données projet'!$B$15,Paramètres!$A$1:$I$89,3,0)*VLOOKUP('Données projet'!$B$15,Paramètres!$A$1:$I$89,5,0)</f>
        <v>6.7984728957526396E-14</v>
      </c>
      <c r="EL180" s="14">
        <f t="shared" si="179"/>
        <v>1.0682447123141398E-12</v>
      </c>
      <c r="EM180" s="22">
        <f t="shared" si="180"/>
        <v>1.978932943548152E-12</v>
      </c>
      <c r="EN180" s="60">
        <f t="shared" si="128"/>
        <v>293.3333333333353</v>
      </c>
      <c r="EO180" s="60">
        <f ca="1">AVERAGE(OFFSET($EN$3,0,0,'Données projet'!$E$15+1,1))-AVERAGE(OFFSET($H$3,0,0,'Données projet'!$E$15+1,1))</f>
        <v>269.94948820700841</v>
      </c>
      <c r="EP180" s="60">
        <f t="shared" si="154"/>
        <v>183.45158355135192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0.23186009638830843</v>
      </c>
      <c r="EX180" s="23">
        <f>EXP(-LN(2)/2)*EX179+(1-EXP(-LN(2)/2))/(LN(2)/2)*ER180*EU180*VLOOKUP('Données projet'!$B$15,Paramètres!$A$1:$I$89,3,0)*0.475*44/12</f>
        <v>4.2210726886717287E-22</v>
      </c>
      <c r="EY180" s="24">
        <f t="shared" si="181"/>
        <v>0.23186009638830843</v>
      </c>
      <c r="EZ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>
        <f>FE180*VLOOKUP('Données projet'!$B$16,Paramètres!$A$1:$I$89,3,0)*VLOOKUP('Données projet'!$B$16,Paramètres!$A$1:$I$89,5,0)</f>
        <v>0</v>
      </c>
      <c r="FG180" s="14" t="e">
        <f t="shared" si="182"/>
        <v>#NUM!</v>
      </c>
      <c r="FH180" s="22" t="e">
        <f t="shared" si="183"/>
        <v>#NUM!</v>
      </c>
      <c r="FI180" s="60" t="e">
        <f t="shared" si="131"/>
        <v>#NUM!</v>
      </c>
      <c r="FJ180" s="60">
        <f ca="1">AVERAGE(OFFSET($FI$3,0,0,'Données projet'!$E$16+1,1))-AVERAGE(OFFSET($H$3,0,0,'Données projet'!$E$16+1,1))</f>
        <v>111.24788725253484</v>
      </c>
      <c r="FK180" s="60">
        <f t="shared" si="156"/>
        <v>82.434879813357327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projet'!$B$16,Paramètres!$A$1:$I$89,3,0)*0.475*44/12</f>
        <v>0</v>
      </c>
      <c r="FR180" s="23">
        <f>EXP(-LN(2)/25)*FR179+(1-EXP(-LN(2)/25))/(LN(2)/25)*Calculateur!FM180*Calculateur!FO180*VLOOKUP('Données projet'!$B$16,Paramètres!$A$1:$I$89,3,0)*0.475*44/12</f>
        <v>0</v>
      </c>
      <c r="FS180" s="23">
        <f>EXP(-LN(2)/2)*FS179+(1-EXP(-LN(2)/2))/(LN(2)/2)*FM180*FP180*VLOOKUP('Données projet'!$B$16,Paramètres!$A$1:$I$89,3,0)*0.475*44/12</f>
        <v>0</v>
      </c>
      <c r="FT180" s="24">
        <f t="shared" si="184"/>
        <v>0</v>
      </c>
      <c r="FU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1.0231815394945443E-12</v>
      </c>
      <c r="GA180" s="18">
        <f>FZ180*VLOOKUP('Données projet'!$B$17,Paramètres!$A$1:$I$89,3,0)*VLOOKUP('Données projet'!$B$17,Paramètres!$A$1:$I$89,5,0)</f>
        <v>4.5224624045658859E-13</v>
      </c>
      <c r="GB180" s="14">
        <f t="shared" si="185"/>
        <v>5.6995607121061449E-12</v>
      </c>
      <c r="GC180" s="22">
        <f t="shared" si="186"/>
        <v>1.0714397109046761E-11</v>
      </c>
      <c r="GD180" s="60">
        <f t="shared" si="134"/>
        <v>293.333333333344</v>
      </c>
      <c r="GE180" s="60">
        <f ca="1">AVERAGE(OFFSET($GD$3,0,0,'Données projet'!$E$17+1,1))-AVERAGE(OFFSET($H$3,0,0,'Données projet'!$E$17+1,1))</f>
        <v>323.56667371063662</v>
      </c>
      <c r="GF180" s="60">
        <f t="shared" si="158"/>
        <v>275.70373467723385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>
        <f>EXP(-LN(2)/35)*GL179+(1-EXP(-LN(2)/35))/(LN(2)/35)*GH180*GI180*VLOOKUP('Données projet'!$B$17,Paramètres!$A$1:$I$89,3,0)*0.475*44/12</f>
        <v>0</v>
      </c>
      <c r="GM180" s="23">
        <f>EXP(-LN(2)/25)*GM179+(1-EXP(-LN(2)/25))/(LN(2)/25)*Calculateur!GH180*Calculateur!GJ180*VLOOKUP('Données projet'!$B$17,Paramètres!$A$1:$I$89,3,0)*0.475*44/12</f>
        <v>0</v>
      </c>
      <c r="GN180" s="23">
        <f>EXP(-LN(2)/2)*GN179+(1-EXP(-LN(2)/2))/(LN(2)/2)*GH180*GK180*VLOOKUP('Données projet'!$B$17,Paramètres!$A$1:$I$89,3,0)*0.475*44/12</f>
        <v>0</v>
      </c>
      <c r="GO180" s="23">
        <f t="shared" si="187"/>
        <v>0</v>
      </c>
      <c r="GP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0" t="e">
        <f t="shared" si="137"/>
        <v>#N/A</v>
      </c>
      <c r="GZ180" s="60" t="e">
        <f ca="1">AVERAGE(OFFSET($GY$3,0,0,'Données projet'!$E$18+1,1))-AVERAGE(OFFSET($H$3,0,0,'Données projet'!$E$18+1,1))</f>
        <v>#N/A</v>
      </c>
      <c r="HA180" s="60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4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2">
        <f t="shared" si="140"/>
        <v>26.290969297460425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-1.1368683772161603E-13</v>
      </c>
      <c r="O181" s="14">
        <f>N181*VLOOKUP('Données projet'!$B$9,Paramètres!$A$1:$I$89,3,0)*VLOOKUP('Données projet'!$B$9,Paramètres!$A$1:$I$89,5,0)</f>
        <v>-6.7984728957526396E-14</v>
      </c>
      <c r="P181" s="14" t="e">
        <f t="shared" si="141"/>
        <v>#NUM!</v>
      </c>
      <c r="Q181" s="22" t="e">
        <f t="shared" si="162"/>
        <v>#NUM!</v>
      </c>
      <c r="R181" s="60" t="e">
        <f t="shared" si="109"/>
        <v>#NUM!</v>
      </c>
      <c r="S181" s="60">
        <f ca="1">AVERAGE(OFFSET($R$3,0,0,'Données projet'!$E$9+1,1))-AVERAGE(OFFSET($H$3,0,0,'Données projet'!$E$9+1,1))</f>
        <v>235.63766249714581</v>
      </c>
      <c r="T181" s="60">
        <f t="shared" si="142"/>
        <v>231.3297293785277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0.61203505763047428</v>
      </c>
      <c r="AA181" s="23">
        <f>EXP(-LN(2)/25)*AA180+(1-EXP(-LN(2)/25))/(LN(2)/25)*Calculateur!V181*Calculateur!X181*VLOOKUP('Données projet'!$B$9,Paramètres!$A$1:$I$89,3,0)*0.475*44/12</f>
        <v>0.28554272700110461</v>
      </c>
      <c r="AB181" s="23">
        <f>EXP(-LN(2)/2)*AB180+(1-EXP(-LN(2)/2))/(LN(2)/2)*V181*Y181*VLOOKUP('Données projet'!$B$9,Paramètres!$A$1:$I$89,3,0)*0.475*44/12</f>
        <v>3.7652902145031693E-22</v>
      </c>
      <c r="AC181" s="24">
        <f t="shared" si="163"/>
        <v>0.89757778463157889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-9.6633812063373625E-13</v>
      </c>
      <c r="AJ181" s="14">
        <f>AI181*VLOOKUP('Données projet'!$B$10,Paramètres!$A$1:$I$89,3,0)*VLOOKUP('Données projet'!$B$10,Paramètres!$A$1:$I$89,5,0)</f>
        <v>-9.7986685432260874E-13</v>
      </c>
      <c r="AK181" s="14" t="e">
        <f t="shared" si="164"/>
        <v>#NUM!</v>
      </c>
      <c r="AL181" s="22" t="e">
        <f t="shared" si="165"/>
        <v>#NUM!</v>
      </c>
      <c r="AM181" s="60" t="e">
        <f t="shared" si="113"/>
        <v>#NUM!</v>
      </c>
      <c r="AN181" s="60">
        <f ca="1">AVERAGE(OFFSET($AM$3,0,0,'Données projet'!$E$10+1,1))-AVERAGE(OFFSET($H$3,0,0,'Données projet'!$E$10+1,1))</f>
        <v>350.3652766444938</v>
      </c>
      <c r="AO181" s="60">
        <f t="shared" si="144"/>
        <v>197.04549436738586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6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-9.6633812063373625E-13</v>
      </c>
      <c r="BE181" s="14">
        <f>BD181*VLOOKUP('Données projet'!$B$11,Paramètres!$A$1:$I$89,3,0)*VLOOKUP('Données projet'!$B$11,Paramètres!$A$1:$I$89,5,0)</f>
        <v>-9.3464223027694966E-13</v>
      </c>
      <c r="BF181" s="14" t="e">
        <f t="shared" si="167"/>
        <v>#NUM!</v>
      </c>
      <c r="BG181" s="22" t="e">
        <f t="shared" si="168"/>
        <v>#NUM!</v>
      </c>
      <c r="BH181" s="60" t="e">
        <f t="shared" si="116"/>
        <v>#NUM!</v>
      </c>
      <c r="BI181" s="60">
        <f ca="1">AVERAGE(OFFSET($BH$3,0,0,'Données projet'!$E$11+1,1))-AVERAGE(OFFSET($H$3,0,0,'Données projet'!$E$11+1,1))</f>
        <v>330.39429528665841</v>
      </c>
      <c r="BJ181" s="60">
        <f t="shared" si="146"/>
        <v>186.45728006007261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1.7053025658242404E-13</v>
      </c>
      <c r="BZ181" s="14">
        <f>BY181*VLOOKUP('Données projet'!$B$12,Paramètres!$A$1:$I$89,3,0)*VLOOKUP('Données projet'!$B$12,Paramètres!$A$1:$I$89,5,0)</f>
        <v>1.1439169611549005E-13</v>
      </c>
      <c r="CA181" s="14">
        <f t="shared" si="170"/>
        <v>1.6918016515029816E-12</v>
      </c>
      <c r="CB181" s="22">
        <f t="shared" si="171"/>
        <v>3.1457867471021712E-12</v>
      </c>
      <c r="CC181" s="60">
        <f t="shared" si="119"/>
        <v>293.33333333333644</v>
      </c>
      <c r="CD181" s="60">
        <f ca="1">AVERAGE(OFFSET($CC$3,0,0,'Données projet'!$E$12+1,1))-AVERAGE(OFFSET($H$3,0,0,'Données projet'!$E$12+1,1))</f>
        <v>212.33913923444732</v>
      </c>
      <c r="CE181" s="60">
        <f t="shared" si="148"/>
        <v>183.51194426094372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-3.979039320256561E-13</v>
      </c>
      <c r="CU181" s="18">
        <f>CT181*VLOOKUP('Données projet'!$B$13,Paramètres!$A$1:$I$89,3,0)*VLOOKUP('Données projet'!$B$13,Paramètres!$A$1:$I$89,5,0)</f>
        <v>-3.4760887501761321E-13</v>
      </c>
      <c r="CV181" s="14" t="e">
        <f t="shared" si="173"/>
        <v>#NUM!</v>
      </c>
      <c r="CW181" s="22" t="e">
        <f t="shared" si="174"/>
        <v>#NUM!</v>
      </c>
      <c r="CX181" s="60" t="e">
        <f t="shared" si="122"/>
        <v>#NUM!</v>
      </c>
      <c r="CY181" s="60">
        <f ca="1">AVERAGE(OFFSET($CX$3,0,0,'Données projet'!$E$13+1,1))-AVERAGE(OFFSET($H$3,0,0,'Données projet'!$E$13+1,1))</f>
        <v>228.0393346366489</v>
      </c>
      <c r="CZ181" s="60">
        <f t="shared" si="150"/>
        <v>238.591781509447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-9.6633812063373625E-13</v>
      </c>
      <c r="DP181" s="18">
        <f>DO181*VLOOKUP('Données projet'!$B$14,Paramètres!$A$1:$I$89,3,0)*VLOOKUP('Données projet'!$B$14,Paramètres!$A$1:$I$89,5,0)</f>
        <v>-8.7434273154940449E-13</v>
      </c>
      <c r="DQ181" s="14" t="e">
        <f t="shared" si="176"/>
        <v>#NUM!</v>
      </c>
      <c r="DR181" s="22" t="e">
        <f t="shared" si="177"/>
        <v>#NUM!</v>
      </c>
      <c r="DS181" s="60" t="e">
        <f t="shared" si="125"/>
        <v>#NUM!</v>
      </c>
      <c r="DT181" s="60">
        <f ca="1">AVERAGE(OFFSET($DS$3,0,0,'Données projet'!$E$14+1,1))-AVERAGE(OFFSET($H$3,0,0,'Données projet'!$E$14+1,1))</f>
        <v>303.73499739059076</v>
      </c>
      <c r="DU181" s="60">
        <f t="shared" si="152"/>
        <v>172.32171001882188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1.1368683772161603E-13</v>
      </c>
      <c r="EK181" s="18">
        <f>EJ181*VLOOKUP('Données projet'!$B$15,Paramètres!$A$1:$I$89,3,0)*VLOOKUP('Données projet'!$B$15,Paramètres!$A$1:$I$89,5,0)</f>
        <v>6.7984728957526396E-14</v>
      </c>
      <c r="EL181" s="14">
        <f t="shared" si="179"/>
        <v>1.0682447123141398E-12</v>
      </c>
      <c r="EM181" s="22">
        <f t="shared" si="180"/>
        <v>1.978932943548152E-12</v>
      </c>
      <c r="EN181" s="60">
        <f t="shared" si="128"/>
        <v>293.3333333333353</v>
      </c>
      <c r="EO181" s="60">
        <f ca="1">AVERAGE(OFFSET($EN$3,0,0,'Données projet'!$E$15+1,1))-AVERAGE(OFFSET($H$3,0,0,'Données projet'!$E$15+1,1))</f>
        <v>269.94948820700841</v>
      </c>
      <c r="EP181" s="60">
        <f t="shared" si="154"/>
        <v>183.45158355135192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0.22551986985957759</v>
      </c>
      <c r="EX181" s="23">
        <f>EXP(-LN(2)/2)*EX180+(1-EXP(-LN(2)/2))/(LN(2)/2)*ER181*EU181*VLOOKUP('Données projet'!$B$15,Paramètres!$A$1:$I$89,3,0)*0.475*44/12</f>
        <v>2.9847491220411123E-22</v>
      </c>
      <c r="EY181" s="24">
        <f t="shared" si="181"/>
        <v>0.22551986985957759</v>
      </c>
      <c r="EZ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>
        <f>FE181*VLOOKUP('Données projet'!$B$16,Paramètres!$A$1:$I$89,3,0)*VLOOKUP('Données projet'!$B$16,Paramètres!$A$1:$I$89,5,0)</f>
        <v>0</v>
      </c>
      <c r="FG181" s="14" t="e">
        <f t="shared" si="182"/>
        <v>#NUM!</v>
      </c>
      <c r="FH181" s="22" t="e">
        <f t="shared" si="183"/>
        <v>#NUM!</v>
      </c>
      <c r="FI181" s="60" t="e">
        <f t="shared" si="131"/>
        <v>#NUM!</v>
      </c>
      <c r="FJ181" s="60">
        <f ca="1">AVERAGE(OFFSET($FI$3,0,0,'Données projet'!$E$16+1,1))-AVERAGE(OFFSET($H$3,0,0,'Données projet'!$E$16+1,1))</f>
        <v>111.24788725253484</v>
      </c>
      <c r="FK181" s="60">
        <f t="shared" si="156"/>
        <v>82.434879813357327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projet'!$B$16,Paramètres!$A$1:$I$89,3,0)*0.475*44/12</f>
        <v>0</v>
      </c>
      <c r="FR181" s="23">
        <f>EXP(-LN(2)/25)*FR180+(1-EXP(-LN(2)/25))/(LN(2)/25)*Calculateur!FM181*Calculateur!FO181*VLOOKUP('Données projet'!$B$16,Paramètres!$A$1:$I$89,3,0)*0.475*44/12</f>
        <v>0</v>
      </c>
      <c r="FS181" s="23">
        <f>EXP(-LN(2)/2)*FS180+(1-EXP(-LN(2)/2))/(LN(2)/2)*FM181*FP181*VLOOKUP('Données projet'!$B$16,Paramètres!$A$1:$I$89,3,0)*0.475*44/12</f>
        <v>0</v>
      </c>
      <c r="FT181" s="24">
        <f t="shared" si="184"/>
        <v>0</v>
      </c>
      <c r="FU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1.0231815394945443E-12</v>
      </c>
      <c r="GA181" s="18">
        <f>FZ181*VLOOKUP('Données projet'!$B$17,Paramètres!$A$1:$I$89,3,0)*VLOOKUP('Données projet'!$B$17,Paramètres!$A$1:$I$89,5,0)</f>
        <v>4.5224624045658859E-13</v>
      </c>
      <c r="GB181" s="14">
        <f t="shared" si="185"/>
        <v>5.6995607121061449E-12</v>
      </c>
      <c r="GC181" s="22">
        <f t="shared" si="186"/>
        <v>1.0714397109046761E-11</v>
      </c>
      <c r="GD181" s="60">
        <f t="shared" si="134"/>
        <v>293.333333333344</v>
      </c>
      <c r="GE181" s="60">
        <f ca="1">AVERAGE(OFFSET($GD$3,0,0,'Données projet'!$E$17+1,1))-AVERAGE(OFFSET($H$3,0,0,'Données projet'!$E$17+1,1))</f>
        <v>323.56667371063662</v>
      </c>
      <c r="GF181" s="60">
        <f t="shared" si="158"/>
        <v>275.70373467723385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>
        <f>EXP(-LN(2)/35)*GL180+(1-EXP(-LN(2)/35))/(LN(2)/35)*GH181*GI181*VLOOKUP('Données projet'!$B$17,Paramètres!$A$1:$I$89,3,0)*0.475*44/12</f>
        <v>0</v>
      </c>
      <c r="GM181" s="23">
        <f>EXP(-LN(2)/25)*GM180+(1-EXP(-LN(2)/25))/(LN(2)/25)*Calculateur!GH181*Calculateur!GJ181*VLOOKUP('Données projet'!$B$17,Paramètres!$A$1:$I$89,3,0)*0.475*44/12</f>
        <v>0</v>
      </c>
      <c r="GN181" s="23">
        <f>EXP(-LN(2)/2)*GN180+(1-EXP(-LN(2)/2))/(LN(2)/2)*GH181*GK181*VLOOKUP('Données projet'!$B$17,Paramètres!$A$1:$I$89,3,0)*0.475*44/12</f>
        <v>0</v>
      </c>
      <c r="GO181" s="23">
        <f t="shared" si="187"/>
        <v>0</v>
      </c>
      <c r="GP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0" t="e">
        <f t="shared" si="137"/>
        <v>#N/A</v>
      </c>
      <c r="GZ181" s="60" t="e">
        <f ca="1">AVERAGE(OFFSET($GY$3,0,0,'Données projet'!$E$18+1,1))-AVERAGE(OFFSET($H$3,0,0,'Données projet'!$E$18+1,1))</f>
        <v>#N/A</v>
      </c>
      <c r="HA181" s="60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4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2">
        <f t="shared" si="140"/>
        <v>26.421436267392767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-1.1368683772161603E-13</v>
      </c>
      <c r="O182" s="14">
        <f>N182*VLOOKUP('Données projet'!$B$9,Paramètres!$A$1:$I$89,3,0)*VLOOKUP('Données projet'!$B$9,Paramètres!$A$1:$I$89,5,0)</f>
        <v>-6.7984728957526396E-14</v>
      </c>
      <c r="P182" s="14" t="e">
        <f t="shared" si="141"/>
        <v>#NUM!</v>
      </c>
      <c r="Q182" s="22" t="e">
        <f t="shared" si="162"/>
        <v>#NUM!</v>
      </c>
      <c r="R182" s="60" t="e">
        <f t="shared" si="109"/>
        <v>#NUM!</v>
      </c>
      <c r="S182" s="60">
        <f ca="1">AVERAGE(OFFSET($R$3,0,0,'Données projet'!$E$9+1,1))-AVERAGE(OFFSET($H$3,0,0,'Données projet'!$E$9+1,1))</f>
        <v>235.63766249714581</v>
      </c>
      <c r="T182" s="60">
        <f t="shared" si="142"/>
        <v>231.3297293785277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0.6000334234548651</v>
      </c>
      <c r="AA182" s="23">
        <f>EXP(-LN(2)/25)*AA181+(1-EXP(-LN(2)/25))/(LN(2)/25)*Calculateur!V182*Calculateur!X182*VLOOKUP('Données projet'!$B$9,Paramètres!$A$1:$I$89,3,0)*0.475*44/12</f>
        <v>0.27773454611522003</v>
      </c>
      <c r="AB182" s="23">
        <f>EXP(-LN(2)/2)*AB181+(1-EXP(-LN(2)/2))/(LN(2)/2)*V182*Y182*VLOOKUP('Données projet'!$B$9,Paramètres!$A$1:$I$89,3,0)*0.475*44/12</f>
        <v>2.6624622438105411E-22</v>
      </c>
      <c r="AC182" s="24">
        <f t="shared" si="163"/>
        <v>0.87776796957008507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-9.6633812063373625E-13</v>
      </c>
      <c r="AJ182" s="14">
        <f>AI182*VLOOKUP('Données projet'!$B$10,Paramètres!$A$1:$I$89,3,0)*VLOOKUP('Données projet'!$B$10,Paramètres!$A$1:$I$89,5,0)</f>
        <v>-9.7986685432260874E-13</v>
      </c>
      <c r="AK182" s="14" t="e">
        <f t="shared" si="164"/>
        <v>#NUM!</v>
      </c>
      <c r="AL182" s="22" t="e">
        <f t="shared" si="165"/>
        <v>#NUM!</v>
      </c>
      <c r="AM182" s="60" t="e">
        <f t="shared" si="113"/>
        <v>#NUM!</v>
      </c>
      <c r="AN182" s="60">
        <f ca="1">AVERAGE(OFFSET($AM$3,0,0,'Données projet'!$E$10+1,1))-AVERAGE(OFFSET($H$3,0,0,'Données projet'!$E$10+1,1))</f>
        <v>350.3652766444938</v>
      </c>
      <c r="AO182" s="60">
        <f t="shared" si="144"/>
        <v>197.04549436738586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6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-9.6633812063373625E-13</v>
      </c>
      <c r="BE182" s="14">
        <f>BD182*VLOOKUP('Données projet'!$B$11,Paramètres!$A$1:$I$89,3,0)*VLOOKUP('Données projet'!$B$11,Paramètres!$A$1:$I$89,5,0)</f>
        <v>-9.3464223027694966E-13</v>
      </c>
      <c r="BF182" s="14" t="e">
        <f t="shared" si="167"/>
        <v>#NUM!</v>
      </c>
      <c r="BG182" s="22" t="e">
        <f t="shared" si="168"/>
        <v>#NUM!</v>
      </c>
      <c r="BH182" s="60" t="e">
        <f t="shared" si="116"/>
        <v>#NUM!</v>
      </c>
      <c r="BI182" s="60">
        <f ca="1">AVERAGE(OFFSET($BH$3,0,0,'Données projet'!$E$11+1,1))-AVERAGE(OFFSET($H$3,0,0,'Données projet'!$E$11+1,1))</f>
        <v>330.39429528665841</v>
      </c>
      <c r="BJ182" s="60">
        <f t="shared" si="146"/>
        <v>186.45728006007261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1.7053025658242404E-13</v>
      </c>
      <c r="BZ182" s="14">
        <f>BY182*VLOOKUP('Données projet'!$B$12,Paramètres!$A$1:$I$89,3,0)*VLOOKUP('Données projet'!$B$12,Paramètres!$A$1:$I$89,5,0)</f>
        <v>1.1439169611549005E-13</v>
      </c>
      <c r="CA182" s="14">
        <f t="shared" si="170"/>
        <v>1.6918016515029816E-12</v>
      </c>
      <c r="CB182" s="22">
        <f t="shared" si="171"/>
        <v>3.1457867471021712E-12</v>
      </c>
      <c r="CC182" s="60">
        <f t="shared" si="119"/>
        <v>293.33333333333644</v>
      </c>
      <c r="CD182" s="60">
        <f ca="1">AVERAGE(OFFSET($CC$3,0,0,'Données projet'!$E$12+1,1))-AVERAGE(OFFSET($H$3,0,0,'Données projet'!$E$12+1,1))</f>
        <v>212.33913923444732</v>
      </c>
      <c r="CE182" s="60">
        <f t="shared" si="148"/>
        <v>183.51194426094372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-3.979039320256561E-13</v>
      </c>
      <c r="CU182" s="18">
        <f>CT182*VLOOKUP('Données projet'!$B$13,Paramètres!$A$1:$I$89,3,0)*VLOOKUP('Données projet'!$B$13,Paramètres!$A$1:$I$89,5,0)</f>
        <v>-3.4760887501761321E-13</v>
      </c>
      <c r="CV182" s="14" t="e">
        <f t="shared" si="173"/>
        <v>#NUM!</v>
      </c>
      <c r="CW182" s="22" t="e">
        <f t="shared" si="174"/>
        <v>#NUM!</v>
      </c>
      <c r="CX182" s="60" t="e">
        <f t="shared" si="122"/>
        <v>#NUM!</v>
      </c>
      <c r="CY182" s="60">
        <f ca="1">AVERAGE(OFFSET($CX$3,0,0,'Données projet'!$E$13+1,1))-AVERAGE(OFFSET($H$3,0,0,'Données projet'!$E$13+1,1))</f>
        <v>228.0393346366489</v>
      </c>
      <c r="CZ182" s="60">
        <f t="shared" si="150"/>
        <v>238.591781509447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-9.6633812063373625E-13</v>
      </c>
      <c r="DP182" s="18">
        <f>DO182*VLOOKUP('Données projet'!$B$14,Paramètres!$A$1:$I$89,3,0)*VLOOKUP('Données projet'!$B$14,Paramètres!$A$1:$I$89,5,0)</f>
        <v>-8.7434273154940449E-13</v>
      </c>
      <c r="DQ182" s="14" t="e">
        <f t="shared" si="176"/>
        <v>#NUM!</v>
      </c>
      <c r="DR182" s="22" t="e">
        <f t="shared" si="177"/>
        <v>#NUM!</v>
      </c>
      <c r="DS182" s="60" t="e">
        <f t="shared" si="125"/>
        <v>#NUM!</v>
      </c>
      <c r="DT182" s="60">
        <f ca="1">AVERAGE(OFFSET($DS$3,0,0,'Données projet'!$E$14+1,1))-AVERAGE(OFFSET($H$3,0,0,'Données projet'!$E$14+1,1))</f>
        <v>303.73499739059076</v>
      </c>
      <c r="DU182" s="60">
        <f t="shared" si="152"/>
        <v>172.32171001882188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1.1368683772161603E-13</v>
      </c>
      <c r="EK182" s="18">
        <f>EJ182*VLOOKUP('Données projet'!$B$15,Paramètres!$A$1:$I$89,3,0)*VLOOKUP('Données projet'!$B$15,Paramètres!$A$1:$I$89,5,0)</f>
        <v>6.7984728957526396E-14</v>
      </c>
      <c r="EL182" s="14">
        <f t="shared" si="179"/>
        <v>1.0682447123141398E-12</v>
      </c>
      <c r="EM182" s="22">
        <f t="shared" si="180"/>
        <v>1.978932943548152E-12</v>
      </c>
      <c r="EN182" s="60">
        <f t="shared" si="128"/>
        <v>293.3333333333353</v>
      </c>
      <c r="EO182" s="60">
        <f ca="1">AVERAGE(OFFSET($EN$3,0,0,'Données projet'!$E$15+1,1))-AVERAGE(OFFSET($H$3,0,0,'Données projet'!$E$15+1,1))</f>
        <v>269.94948820700841</v>
      </c>
      <c r="EP182" s="60">
        <f t="shared" si="154"/>
        <v>183.45158355135192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0.2193530171586929</v>
      </c>
      <c r="EX182" s="23">
        <f>EXP(-LN(2)/2)*EX181+(1-EXP(-LN(2)/2))/(LN(2)/2)*ER182*EU182*VLOOKUP('Données projet'!$B$15,Paramètres!$A$1:$I$89,3,0)*0.475*44/12</f>
        <v>2.1105363443358648E-22</v>
      </c>
      <c r="EY182" s="24">
        <f t="shared" si="181"/>
        <v>0.2193530171586929</v>
      </c>
      <c r="EZ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>
        <f>FE182*VLOOKUP('Données projet'!$B$16,Paramètres!$A$1:$I$89,3,0)*VLOOKUP('Données projet'!$B$16,Paramètres!$A$1:$I$89,5,0)</f>
        <v>0</v>
      </c>
      <c r="FG182" s="14" t="e">
        <f t="shared" si="182"/>
        <v>#NUM!</v>
      </c>
      <c r="FH182" s="22" t="e">
        <f t="shared" si="183"/>
        <v>#NUM!</v>
      </c>
      <c r="FI182" s="60" t="e">
        <f t="shared" si="131"/>
        <v>#NUM!</v>
      </c>
      <c r="FJ182" s="60">
        <f ca="1">AVERAGE(OFFSET($FI$3,0,0,'Données projet'!$E$16+1,1))-AVERAGE(OFFSET($H$3,0,0,'Données projet'!$E$16+1,1))</f>
        <v>111.24788725253484</v>
      </c>
      <c r="FK182" s="60">
        <f t="shared" si="156"/>
        <v>82.434879813357327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projet'!$B$16,Paramètres!$A$1:$I$89,3,0)*0.475*44/12</f>
        <v>0</v>
      </c>
      <c r="FR182" s="23">
        <f>EXP(-LN(2)/25)*FR181+(1-EXP(-LN(2)/25))/(LN(2)/25)*Calculateur!FM182*Calculateur!FO182*VLOOKUP('Données projet'!$B$16,Paramètres!$A$1:$I$89,3,0)*0.475*44/12</f>
        <v>0</v>
      </c>
      <c r="FS182" s="23">
        <f>EXP(-LN(2)/2)*FS181+(1-EXP(-LN(2)/2))/(LN(2)/2)*FM182*FP182*VLOOKUP('Données projet'!$B$16,Paramètres!$A$1:$I$89,3,0)*0.475*44/12</f>
        <v>0</v>
      </c>
      <c r="FT182" s="24">
        <f t="shared" si="184"/>
        <v>0</v>
      </c>
      <c r="FU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1.0231815394945443E-12</v>
      </c>
      <c r="GA182" s="18">
        <f>FZ182*VLOOKUP('Données projet'!$B$17,Paramètres!$A$1:$I$89,3,0)*VLOOKUP('Données projet'!$B$17,Paramètres!$A$1:$I$89,5,0)</f>
        <v>4.5224624045658859E-13</v>
      </c>
      <c r="GB182" s="14">
        <f t="shared" si="185"/>
        <v>5.6995607121061449E-12</v>
      </c>
      <c r="GC182" s="22">
        <f t="shared" si="186"/>
        <v>1.0714397109046761E-11</v>
      </c>
      <c r="GD182" s="60">
        <f t="shared" si="134"/>
        <v>293.333333333344</v>
      </c>
      <c r="GE182" s="60">
        <f ca="1">AVERAGE(OFFSET($GD$3,0,0,'Données projet'!$E$17+1,1))-AVERAGE(OFFSET($H$3,0,0,'Données projet'!$E$17+1,1))</f>
        <v>323.56667371063662</v>
      </c>
      <c r="GF182" s="60">
        <f t="shared" si="158"/>
        <v>275.70373467723385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>
        <f>EXP(-LN(2)/35)*GL181+(1-EXP(-LN(2)/35))/(LN(2)/35)*GH182*GI182*VLOOKUP('Données projet'!$B$17,Paramètres!$A$1:$I$89,3,0)*0.475*44/12</f>
        <v>0</v>
      </c>
      <c r="GM182" s="23">
        <f>EXP(-LN(2)/25)*GM181+(1-EXP(-LN(2)/25))/(LN(2)/25)*Calculateur!GH182*Calculateur!GJ182*VLOOKUP('Données projet'!$B$17,Paramètres!$A$1:$I$89,3,0)*0.475*44/12</f>
        <v>0</v>
      </c>
      <c r="GN182" s="23">
        <f>EXP(-LN(2)/2)*GN181+(1-EXP(-LN(2)/2))/(LN(2)/2)*GH182*GK182*VLOOKUP('Données projet'!$B$17,Paramètres!$A$1:$I$89,3,0)*0.475*44/12</f>
        <v>0</v>
      </c>
      <c r="GO182" s="23">
        <f t="shared" si="187"/>
        <v>0</v>
      </c>
      <c r="GP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0" t="e">
        <f t="shared" si="137"/>
        <v>#N/A</v>
      </c>
      <c r="GZ182" s="60" t="e">
        <f ca="1">AVERAGE(OFFSET($GY$3,0,0,'Données projet'!$E$18+1,1))-AVERAGE(OFFSET($H$3,0,0,'Données projet'!$E$18+1,1))</f>
        <v>#N/A</v>
      </c>
      <c r="HA182" s="60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4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2">
        <f t="shared" si="140"/>
        <v>26.551818424463544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-1.1368683772161603E-13</v>
      </c>
      <c r="O183" s="14">
        <f>N183*VLOOKUP('Données projet'!$B$9,Paramètres!$A$1:$I$89,3,0)*VLOOKUP('Données projet'!$B$9,Paramètres!$A$1:$I$89,5,0)</f>
        <v>-6.7984728957526396E-14</v>
      </c>
      <c r="P183" s="14" t="e">
        <f t="shared" si="141"/>
        <v>#NUM!</v>
      </c>
      <c r="Q183" s="22" t="e">
        <f t="shared" si="162"/>
        <v>#NUM!</v>
      </c>
      <c r="R183" s="60" t="e">
        <f t="shared" si="109"/>
        <v>#NUM!</v>
      </c>
      <c r="S183" s="60">
        <f ca="1">AVERAGE(OFFSET($R$3,0,0,'Données projet'!$E$9+1,1))-AVERAGE(OFFSET($H$3,0,0,'Données projet'!$E$9+1,1))</f>
        <v>235.63766249714581</v>
      </c>
      <c r="T183" s="60">
        <f t="shared" si="142"/>
        <v>231.3297293785277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0.58826713400516562</v>
      </c>
      <c r="AA183" s="23">
        <f>EXP(-LN(2)/25)*AA182+(1-EXP(-LN(2)/25))/(LN(2)/25)*Calculateur!V183*Calculateur!X183*VLOOKUP('Données projet'!$B$9,Paramètres!$A$1:$I$89,3,0)*0.475*44/12</f>
        <v>0.27013988034627434</v>
      </c>
      <c r="AB183" s="23">
        <f>EXP(-LN(2)/2)*AB182+(1-EXP(-LN(2)/2))/(LN(2)/2)*V183*Y183*VLOOKUP('Données projet'!$B$9,Paramètres!$A$1:$I$89,3,0)*0.475*44/12</f>
        <v>1.8826451072515847E-22</v>
      </c>
      <c r="AC183" s="24">
        <f t="shared" si="163"/>
        <v>0.85840701435143996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-9.6633812063373625E-13</v>
      </c>
      <c r="AJ183" s="14">
        <f>AI183*VLOOKUP('Données projet'!$B$10,Paramètres!$A$1:$I$89,3,0)*VLOOKUP('Données projet'!$B$10,Paramètres!$A$1:$I$89,5,0)</f>
        <v>-9.7986685432260874E-13</v>
      </c>
      <c r="AK183" s="14" t="e">
        <f t="shared" si="164"/>
        <v>#NUM!</v>
      </c>
      <c r="AL183" s="22" t="e">
        <f t="shared" si="165"/>
        <v>#NUM!</v>
      </c>
      <c r="AM183" s="60" t="e">
        <f t="shared" si="113"/>
        <v>#NUM!</v>
      </c>
      <c r="AN183" s="60">
        <f ca="1">AVERAGE(OFFSET($AM$3,0,0,'Données projet'!$E$10+1,1))-AVERAGE(OFFSET($H$3,0,0,'Données projet'!$E$10+1,1))</f>
        <v>350.3652766444938</v>
      </c>
      <c r="AO183" s="60">
        <f t="shared" si="144"/>
        <v>197.04549436738586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6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-9.6633812063373625E-13</v>
      </c>
      <c r="BE183" s="14">
        <f>BD183*VLOOKUP('Données projet'!$B$11,Paramètres!$A$1:$I$89,3,0)*VLOOKUP('Données projet'!$B$11,Paramètres!$A$1:$I$89,5,0)</f>
        <v>-9.3464223027694966E-13</v>
      </c>
      <c r="BF183" s="14" t="e">
        <f t="shared" si="167"/>
        <v>#NUM!</v>
      </c>
      <c r="BG183" s="22" t="e">
        <f t="shared" si="168"/>
        <v>#NUM!</v>
      </c>
      <c r="BH183" s="60" t="e">
        <f t="shared" si="116"/>
        <v>#NUM!</v>
      </c>
      <c r="BI183" s="60">
        <f ca="1">AVERAGE(OFFSET($BH$3,0,0,'Données projet'!$E$11+1,1))-AVERAGE(OFFSET($H$3,0,0,'Données projet'!$E$11+1,1))</f>
        <v>330.39429528665841</v>
      </c>
      <c r="BJ183" s="60">
        <f t="shared" si="146"/>
        <v>186.45728006007261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1.7053025658242404E-13</v>
      </c>
      <c r="BZ183" s="14">
        <f>BY183*VLOOKUP('Données projet'!$B$12,Paramètres!$A$1:$I$89,3,0)*VLOOKUP('Données projet'!$B$12,Paramètres!$A$1:$I$89,5,0)</f>
        <v>1.1439169611549005E-13</v>
      </c>
      <c r="CA183" s="14">
        <f t="shared" si="170"/>
        <v>1.6918016515029816E-12</v>
      </c>
      <c r="CB183" s="22">
        <f t="shared" si="171"/>
        <v>3.1457867471021712E-12</v>
      </c>
      <c r="CC183" s="60">
        <f t="shared" si="119"/>
        <v>293.33333333333644</v>
      </c>
      <c r="CD183" s="60">
        <f ca="1">AVERAGE(OFFSET($CC$3,0,0,'Données projet'!$E$12+1,1))-AVERAGE(OFFSET($H$3,0,0,'Données projet'!$E$12+1,1))</f>
        <v>212.33913923444732</v>
      </c>
      <c r="CE183" s="60">
        <f t="shared" si="148"/>
        <v>183.51194426094372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-3.979039320256561E-13</v>
      </c>
      <c r="CU183" s="18">
        <f>CT183*VLOOKUP('Données projet'!$B$13,Paramètres!$A$1:$I$89,3,0)*VLOOKUP('Données projet'!$B$13,Paramètres!$A$1:$I$89,5,0)</f>
        <v>-3.4760887501761321E-13</v>
      </c>
      <c r="CV183" s="14" t="e">
        <f t="shared" si="173"/>
        <v>#NUM!</v>
      </c>
      <c r="CW183" s="22" t="e">
        <f t="shared" si="174"/>
        <v>#NUM!</v>
      </c>
      <c r="CX183" s="60" t="e">
        <f t="shared" si="122"/>
        <v>#NUM!</v>
      </c>
      <c r="CY183" s="60">
        <f ca="1">AVERAGE(OFFSET($CX$3,0,0,'Données projet'!$E$13+1,1))-AVERAGE(OFFSET($H$3,0,0,'Données projet'!$E$13+1,1))</f>
        <v>228.0393346366489</v>
      </c>
      <c r="CZ183" s="60">
        <f t="shared" si="150"/>
        <v>238.591781509447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-9.6633812063373625E-13</v>
      </c>
      <c r="DP183" s="18">
        <f>DO183*VLOOKUP('Données projet'!$B$14,Paramètres!$A$1:$I$89,3,0)*VLOOKUP('Données projet'!$B$14,Paramètres!$A$1:$I$89,5,0)</f>
        <v>-8.7434273154940449E-13</v>
      </c>
      <c r="DQ183" s="14" t="e">
        <f t="shared" si="176"/>
        <v>#NUM!</v>
      </c>
      <c r="DR183" s="22" t="e">
        <f t="shared" si="177"/>
        <v>#NUM!</v>
      </c>
      <c r="DS183" s="60" t="e">
        <f t="shared" si="125"/>
        <v>#NUM!</v>
      </c>
      <c r="DT183" s="60">
        <f ca="1">AVERAGE(OFFSET($DS$3,0,0,'Données projet'!$E$14+1,1))-AVERAGE(OFFSET($H$3,0,0,'Données projet'!$E$14+1,1))</f>
        <v>303.73499739059076</v>
      </c>
      <c r="DU183" s="60">
        <f t="shared" si="152"/>
        <v>172.32171001882188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1.1368683772161603E-13</v>
      </c>
      <c r="EK183" s="18">
        <f>EJ183*VLOOKUP('Données projet'!$B$15,Paramètres!$A$1:$I$89,3,0)*VLOOKUP('Données projet'!$B$15,Paramètres!$A$1:$I$89,5,0)</f>
        <v>6.7984728957526396E-14</v>
      </c>
      <c r="EL183" s="14">
        <f t="shared" si="179"/>
        <v>1.0682447123141398E-12</v>
      </c>
      <c r="EM183" s="22">
        <f t="shared" si="180"/>
        <v>1.978932943548152E-12</v>
      </c>
      <c r="EN183" s="60">
        <f t="shared" si="128"/>
        <v>293.3333333333353</v>
      </c>
      <c r="EO183" s="60">
        <f ca="1">AVERAGE(OFFSET($EN$3,0,0,'Données projet'!$E$15+1,1))-AVERAGE(OFFSET($H$3,0,0,'Données projet'!$E$15+1,1))</f>
        <v>269.94948820700841</v>
      </c>
      <c r="EP183" s="60">
        <f t="shared" si="154"/>
        <v>183.45158355135192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0.21335479736921462</v>
      </c>
      <c r="EX183" s="23">
        <f>EXP(-LN(2)/2)*EX182+(1-EXP(-LN(2)/2))/(LN(2)/2)*ER183*EU183*VLOOKUP('Données projet'!$B$15,Paramètres!$A$1:$I$89,3,0)*0.475*44/12</f>
        <v>1.4923745610205564E-22</v>
      </c>
      <c r="EY183" s="24">
        <f t="shared" si="181"/>
        <v>0.21335479736921462</v>
      </c>
      <c r="EZ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>
        <f>FE183*VLOOKUP('Données projet'!$B$16,Paramètres!$A$1:$I$89,3,0)*VLOOKUP('Données projet'!$B$16,Paramètres!$A$1:$I$89,5,0)</f>
        <v>0</v>
      </c>
      <c r="FG183" s="14" t="e">
        <f t="shared" si="182"/>
        <v>#NUM!</v>
      </c>
      <c r="FH183" s="22" t="e">
        <f t="shared" si="183"/>
        <v>#NUM!</v>
      </c>
      <c r="FI183" s="60" t="e">
        <f t="shared" si="131"/>
        <v>#NUM!</v>
      </c>
      <c r="FJ183" s="60">
        <f ca="1">AVERAGE(OFFSET($FI$3,0,0,'Données projet'!$E$16+1,1))-AVERAGE(OFFSET($H$3,0,0,'Données projet'!$E$16+1,1))</f>
        <v>111.24788725253484</v>
      </c>
      <c r="FK183" s="60">
        <f t="shared" si="156"/>
        <v>82.434879813357327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projet'!$B$16,Paramètres!$A$1:$I$89,3,0)*0.475*44/12</f>
        <v>0</v>
      </c>
      <c r="FR183" s="23">
        <f>EXP(-LN(2)/25)*FR182+(1-EXP(-LN(2)/25))/(LN(2)/25)*Calculateur!FM183*Calculateur!FO183*VLOOKUP('Données projet'!$B$16,Paramètres!$A$1:$I$89,3,0)*0.475*44/12</f>
        <v>0</v>
      </c>
      <c r="FS183" s="23">
        <f>EXP(-LN(2)/2)*FS182+(1-EXP(-LN(2)/2))/(LN(2)/2)*FM183*FP183*VLOOKUP('Données projet'!$B$16,Paramètres!$A$1:$I$89,3,0)*0.475*44/12</f>
        <v>0</v>
      </c>
      <c r="FT183" s="24">
        <f t="shared" si="184"/>
        <v>0</v>
      </c>
      <c r="FU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1.0231815394945443E-12</v>
      </c>
      <c r="GA183" s="18">
        <f>FZ183*VLOOKUP('Données projet'!$B$17,Paramètres!$A$1:$I$89,3,0)*VLOOKUP('Données projet'!$B$17,Paramètres!$A$1:$I$89,5,0)</f>
        <v>4.5224624045658859E-13</v>
      </c>
      <c r="GB183" s="14">
        <f t="shared" si="185"/>
        <v>5.6995607121061449E-12</v>
      </c>
      <c r="GC183" s="22">
        <f t="shared" si="186"/>
        <v>1.0714397109046761E-11</v>
      </c>
      <c r="GD183" s="60">
        <f t="shared" si="134"/>
        <v>293.333333333344</v>
      </c>
      <c r="GE183" s="60">
        <f ca="1">AVERAGE(OFFSET($GD$3,0,0,'Données projet'!$E$17+1,1))-AVERAGE(OFFSET($H$3,0,0,'Données projet'!$E$17+1,1))</f>
        <v>323.56667371063662</v>
      </c>
      <c r="GF183" s="60">
        <f t="shared" si="158"/>
        <v>275.70373467723385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>
        <f>EXP(-LN(2)/35)*GL182+(1-EXP(-LN(2)/35))/(LN(2)/35)*GH183*GI183*VLOOKUP('Données projet'!$B$17,Paramètres!$A$1:$I$89,3,0)*0.475*44/12</f>
        <v>0</v>
      </c>
      <c r="GM183" s="23">
        <f>EXP(-LN(2)/25)*GM182+(1-EXP(-LN(2)/25))/(LN(2)/25)*Calculateur!GH183*Calculateur!GJ183*VLOOKUP('Données projet'!$B$17,Paramètres!$A$1:$I$89,3,0)*0.475*44/12</f>
        <v>0</v>
      </c>
      <c r="GN183" s="23">
        <f>EXP(-LN(2)/2)*GN182+(1-EXP(-LN(2)/2))/(LN(2)/2)*GH183*GK183*VLOOKUP('Données projet'!$B$17,Paramètres!$A$1:$I$89,3,0)*0.475*44/12</f>
        <v>0</v>
      </c>
      <c r="GO183" s="23">
        <f t="shared" si="187"/>
        <v>0</v>
      </c>
      <c r="GP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0" t="e">
        <f t="shared" si="137"/>
        <v>#N/A</v>
      </c>
      <c r="GZ183" s="60" t="e">
        <f ca="1">AVERAGE(OFFSET($GY$3,0,0,'Données projet'!$E$18+1,1))-AVERAGE(OFFSET($H$3,0,0,'Données projet'!$E$18+1,1))</f>
        <v>#N/A</v>
      </c>
      <c r="HA183" s="60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4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2">
        <f t="shared" si="140"/>
        <v>26.682116294536339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-1.1368683772161603E-13</v>
      </c>
      <c r="O184" s="14">
        <f>N184*VLOOKUP('Données projet'!$B$9,Paramètres!$A$1:$I$89,3,0)*VLOOKUP('Données projet'!$B$9,Paramètres!$A$1:$I$89,5,0)</f>
        <v>-6.7984728957526396E-14</v>
      </c>
      <c r="P184" s="14" t="e">
        <f t="shared" si="141"/>
        <v>#NUM!</v>
      </c>
      <c r="Q184" s="22" t="e">
        <f t="shared" si="162"/>
        <v>#NUM!</v>
      </c>
      <c r="R184" s="60" t="e">
        <f t="shared" si="109"/>
        <v>#NUM!</v>
      </c>
      <c r="S184" s="60">
        <f ca="1">AVERAGE(OFFSET($R$3,0,0,'Données projet'!$E$9+1,1))-AVERAGE(OFFSET($H$3,0,0,'Données projet'!$E$9+1,1))</f>
        <v>235.63766249714581</v>
      </c>
      <c r="T184" s="60">
        <f t="shared" si="142"/>
        <v>231.3297293785277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0.57673157431484678</v>
      </c>
      <c r="AA184" s="23">
        <f>EXP(-LN(2)/25)*AA183+(1-EXP(-LN(2)/25))/(LN(2)/25)*Calculateur!V184*Calculateur!X184*VLOOKUP('Données projet'!$B$9,Paramètres!$A$1:$I$89,3,0)*0.475*44/12</f>
        <v>0.2627528911121666</v>
      </c>
      <c r="AB184" s="23">
        <f>EXP(-LN(2)/2)*AB183+(1-EXP(-LN(2)/2))/(LN(2)/2)*V184*Y184*VLOOKUP('Données projet'!$B$9,Paramètres!$A$1:$I$89,3,0)*0.475*44/12</f>
        <v>1.3312311219052706E-22</v>
      </c>
      <c r="AC184" s="24">
        <f t="shared" si="163"/>
        <v>0.83948446542701338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-9.6633812063373625E-13</v>
      </c>
      <c r="AJ184" s="14">
        <f>AI184*VLOOKUP('Données projet'!$B$10,Paramètres!$A$1:$I$89,3,0)*VLOOKUP('Données projet'!$B$10,Paramètres!$A$1:$I$89,5,0)</f>
        <v>-9.7986685432260874E-13</v>
      </c>
      <c r="AK184" s="14" t="e">
        <f t="shared" si="164"/>
        <v>#NUM!</v>
      </c>
      <c r="AL184" s="22" t="e">
        <f t="shared" si="165"/>
        <v>#NUM!</v>
      </c>
      <c r="AM184" s="60" t="e">
        <f t="shared" si="113"/>
        <v>#NUM!</v>
      </c>
      <c r="AN184" s="60">
        <f ca="1">AVERAGE(OFFSET($AM$3,0,0,'Données projet'!$E$10+1,1))-AVERAGE(OFFSET($H$3,0,0,'Données projet'!$E$10+1,1))</f>
        <v>350.3652766444938</v>
      </c>
      <c r="AO184" s="60">
        <f t="shared" si="144"/>
        <v>197.04549436738586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6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-9.6633812063373625E-13</v>
      </c>
      <c r="BE184" s="14">
        <f>BD184*VLOOKUP('Données projet'!$B$11,Paramètres!$A$1:$I$89,3,0)*VLOOKUP('Données projet'!$B$11,Paramètres!$A$1:$I$89,5,0)</f>
        <v>-9.3464223027694966E-13</v>
      </c>
      <c r="BF184" s="14" t="e">
        <f t="shared" si="167"/>
        <v>#NUM!</v>
      </c>
      <c r="BG184" s="22" t="e">
        <f t="shared" si="168"/>
        <v>#NUM!</v>
      </c>
      <c r="BH184" s="60" t="e">
        <f t="shared" si="116"/>
        <v>#NUM!</v>
      </c>
      <c r="BI184" s="60">
        <f ca="1">AVERAGE(OFFSET($BH$3,0,0,'Données projet'!$E$11+1,1))-AVERAGE(OFFSET($H$3,0,0,'Données projet'!$E$11+1,1))</f>
        <v>330.39429528665841</v>
      </c>
      <c r="BJ184" s="60">
        <f t="shared" si="146"/>
        <v>186.45728006007261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1.7053025658242404E-13</v>
      </c>
      <c r="BZ184" s="14">
        <f>BY184*VLOOKUP('Données projet'!$B$12,Paramètres!$A$1:$I$89,3,0)*VLOOKUP('Données projet'!$B$12,Paramètres!$A$1:$I$89,5,0)</f>
        <v>1.1439169611549005E-13</v>
      </c>
      <c r="CA184" s="14">
        <f t="shared" si="170"/>
        <v>1.6918016515029816E-12</v>
      </c>
      <c r="CB184" s="22">
        <f t="shared" si="171"/>
        <v>3.1457867471021712E-12</v>
      </c>
      <c r="CC184" s="60">
        <f t="shared" si="119"/>
        <v>293.33333333333644</v>
      </c>
      <c r="CD184" s="60">
        <f ca="1">AVERAGE(OFFSET($CC$3,0,0,'Données projet'!$E$12+1,1))-AVERAGE(OFFSET($H$3,0,0,'Données projet'!$E$12+1,1))</f>
        <v>212.33913923444732</v>
      </c>
      <c r="CE184" s="60">
        <f t="shared" si="148"/>
        <v>183.51194426094372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-3.979039320256561E-13</v>
      </c>
      <c r="CU184" s="18">
        <f>CT184*VLOOKUP('Données projet'!$B$13,Paramètres!$A$1:$I$89,3,0)*VLOOKUP('Données projet'!$B$13,Paramètres!$A$1:$I$89,5,0)</f>
        <v>-3.4760887501761321E-13</v>
      </c>
      <c r="CV184" s="14" t="e">
        <f t="shared" si="173"/>
        <v>#NUM!</v>
      </c>
      <c r="CW184" s="22" t="e">
        <f t="shared" si="174"/>
        <v>#NUM!</v>
      </c>
      <c r="CX184" s="60" t="e">
        <f t="shared" si="122"/>
        <v>#NUM!</v>
      </c>
      <c r="CY184" s="60">
        <f ca="1">AVERAGE(OFFSET($CX$3,0,0,'Données projet'!$E$13+1,1))-AVERAGE(OFFSET($H$3,0,0,'Données projet'!$E$13+1,1))</f>
        <v>228.0393346366489</v>
      </c>
      <c r="CZ184" s="60">
        <f t="shared" si="150"/>
        <v>238.591781509447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-9.6633812063373625E-13</v>
      </c>
      <c r="DP184" s="18">
        <f>DO184*VLOOKUP('Données projet'!$B$14,Paramètres!$A$1:$I$89,3,0)*VLOOKUP('Données projet'!$B$14,Paramètres!$A$1:$I$89,5,0)</f>
        <v>-8.7434273154940449E-13</v>
      </c>
      <c r="DQ184" s="14" t="e">
        <f t="shared" si="176"/>
        <v>#NUM!</v>
      </c>
      <c r="DR184" s="22" t="e">
        <f t="shared" si="177"/>
        <v>#NUM!</v>
      </c>
      <c r="DS184" s="60" t="e">
        <f t="shared" si="125"/>
        <v>#NUM!</v>
      </c>
      <c r="DT184" s="60">
        <f ca="1">AVERAGE(OFFSET($DS$3,0,0,'Données projet'!$E$14+1,1))-AVERAGE(OFFSET($H$3,0,0,'Données projet'!$E$14+1,1))</f>
        <v>303.73499739059076</v>
      </c>
      <c r="DU184" s="60">
        <f t="shared" si="152"/>
        <v>172.32171001882188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1.1368683772161603E-13</v>
      </c>
      <c r="EK184" s="18">
        <f>EJ184*VLOOKUP('Données projet'!$B$15,Paramètres!$A$1:$I$89,3,0)*VLOOKUP('Données projet'!$B$15,Paramètres!$A$1:$I$89,5,0)</f>
        <v>6.7984728957526396E-14</v>
      </c>
      <c r="EL184" s="14">
        <f t="shared" si="179"/>
        <v>1.0682447123141398E-12</v>
      </c>
      <c r="EM184" s="22">
        <f t="shared" si="180"/>
        <v>1.978932943548152E-12</v>
      </c>
      <c r="EN184" s="60">
        <f t="shared" si="128"/>
        <v>293.3333333333353</v>
      </c>
      <c r="EO184" s="60">
        <f ca="1">AVERAGE(OFFSET($EN$3,0,0,'Données projet'!$E$15+1,1))-AVERAGE(OFFSET($H$3,0,0,'Données projet'!$E$15+1,1))</f>
        <v>269.94948820700841</v>
      </c>
      <c r="EP184" s="60">
        <f t="shared" si="154"/>
        <v>183.45158355135192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0.20752059921531227</v>
      </c>
      <c r="EX184" s="23">
        <f>EXP(-LN(2)/2)*EX183+(1-EXP(-LN(2)/2))/(LN(2)/2)*ER184*EU184*VLOOKUP('Données projet'!$B$15,Paramètres!$A$1:$I$89,3,0)*0.475*44/12</f>
        <v>1.0552681721679325E-22</v>
      </c>
      <c r="EY184" s="24">
        <f t="shared" si="181"/>
        <v>0.20752059921531227</v>
      </c>
      <c r="EZ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>
        <f>FE184*VLOOKUP('Données projet'!$B$16,Paramètres!$A$1:$I$89,3,0)*VLOOKUP('Données projet'!$B$16,Paramètres!$A$1:$I$89,5,0)</f>
        <v>0</v>
      </c>
      <c r="FG184" s="14" t="e">
        <f t="shared" si="182"/>
        <v>#NUM!</v>
      </c>
      <c r="FH184" s="22" t="e">
        <f t="shared" si="183"/>
        <v>#NUM!</v>
      </c>
      <c r="FI184" s="60" t="e">
        <f t="shared" si="131"/>
        <v>#NUM!</v>
      </c>
      <c r="FJ184" s="60">
        <f ca="1">AVERAGE(OFFSET($FI$3,0,0,'Données projet'!$E$16+1,1))-AVERAGE(OFFSET($H$3,0,0,'Données projet'!$E$16+1,1))</f>
        <v>111.24788725253484</v>
      </c>
      <c r="FK184" s="60">
        <f t="shared" si="156"/>
        <v>82.434879813357327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projet'!$B$16,Paramètres!$A$1:$I$89,3,0)*0.475*44/12</f>
        <v>0</v>
      </c>
      <c r="FR184" s="23">
        <f>EXP(-LN(2)/25)*FR183+(1-EXP(-LN(2)/25))/(LN(2)/25)*Calculateur!FM184*Calculateur!FO184*VLOOKUP('Données projet'!$B$16,Paramètres!$A$1:$I$89,3,0)*0.475*44/12</f>
        <v>0</v>
      </c>
      <c r="FS184" s="23">
        <f>EXP(-LN(2)/2)*FS183+(1-EXP(-LN(2)/2))/(LN(2)/2)*FM184*FP184*VLOOKUP('Données projet'!$B$16,Paramètres!$A$1:$I$89,3,0)*0.475*44/12</f>
        <v>0</v>
      </c>
      <c r="FT184" s="24">
        <f t="shared" si="184"/>
        <v>0</v>
      </c>
      <c r="FU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1.0231815394945443E-12</v>
      </c>
      <c r="GA184" s="18">
        <f>FZ184*VLOOKUP('Données projet'!$B$17,Paramètres!$A$1:$I$89,3,0)*VLOOKUP('Données projet'!$B$17,Paramètres!$A$1:$I$89,5,0)</f>
        <v>4.5224624045658859E-13</v>
      </c>
      <c r="GB184" s="14">
        <f t="shared" si="185"/>
        <v>5.6995607121061449E-12</v>
      </c>
      <c r="GC184" s="22">
        <f t="shared" si="186"/>
        <v>1.0714397109046761E-11</v>
      </c>
      <c r="GD184" s="60">
        <f t="shared" si="134"/>
        <v>293.333333333344</v>
      </c>
      <c r="GE184" s="60">
        <f ca="1">AVERAGE(OFFSET($GD$3,0,0,'Données projet'!$E$17+1,1))-AVERAGE(OFFSET($H$3,0,0,'Données projet'!$E$17+1,1))</f>
        <v>323.56667371063662</v>
      </c>
      <c r="GF184" s="60">
        <f t="shared" si="158"/>
        <v>275.70373467723385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>
        <f>EXP(-LN(2)/35)*GL183+(1-EXP(-LN(2)/35))/(LN(2)/35)*GH184*GI184*VLOOKUP('Données projet'!$B$17,Paramètres!$A$1:$I$89,3,0)*0.475*44/12</f>
        <v>0</v>
      </c>
      <c r="GM184" s="23">
        <f>EXP(-LN(2)/25)*GM183+(1-EXP(-LN(2)/25))/(LN(2)/25)*Calculateur!GH184*Calculateur!GJ184*VLOOKUP('Données projet'!$B$17,Paramètres!$A$1:$I$89,3,0)*0.475*44/12</f>
        <v>0</v>
      </c>
      <c r="GN184" s="23">
        <f>EXP(-LN(2)/2)*GN183+(1-EXP(-LN(2)/2))/(LN(2)/2)*GH184*GK184*VLOOKUP('Données projet'!$B$17,Paramètres!$A$1:$I$89,3,0)*0.475*44/12</f>
        <v>0</v>
      </c>
      <c r="GO184" s="23">
        <f t="shared" si="187"/>
        <v>0</v>
      </c>
      <c r="GP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0" t="e">
        <f t="shared" si="137"/>
        <v>#N/A</v>
      </c>
      <c r="GZ184" s="60" t="e">
        <f ca="1">AVERAGE(OFFSET($GY$3,0,0,'Données projet'!$E$18+1,1))-AVERAGE(OFFSET($H$3,0,0,'Données projet'!$E$18+1,1))</f>
        <v>#N/A</v>
      </c>
      <c r="HA184" s="60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4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2">
        <f t="shared" si="140"/>
        <v>26.812330397327784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-1.1368683772161603E-13</v>
      </c>
      <c r="O185" s="14">
        <f>N185*VLOOKUP('Données projet'!$B$9,Paramètres!$A$1:$I$89,3,0)*VLOOKUP('Données projet'!$B$9,Paramètres!$A$1:$I$89,5,0)</f>
        <v>-6.7984728957526396E-14</v>
      </c>
      <c r="P185" s="14" t="e">
        <f t="shared" si="141"/>
        <v>#NUM!</v>
      </c>
      <c r="Q185" s="22" t="e">
        <f t="shared" si="162"/>
        <v>#NUM!</v>
      </c>
      <c r="R185" s="60" t="e">
        <f t="shared" si="109"/>
        <v>#NUM!</v>
      </c>
      <c r="S185" s="60">
        <f ca="1">AVERAGE(OFFSET($R$3,0,0,'Données projet'!$E$9+1,1))-AVERAGE(OFFSET($H$3,0,0,'Données projet'!$E$9+1,1))</f>
        <v>235.63766249714581</v>
      </c>
      <c r="T185" s="60">
        <f t="shared" si="142"/>
        <v>231.3297293785277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0.56542221991405839</v>
      </c>
      <c r="AA185" s="23">
        <f>EXP(-LN(2)/25)*AA184+(1-EXP(-LN(2)/25))/(LN(2)/25)*Calculateur!V185*Calculateur!X185*VLOOKUP('Données projet'!$B$9,Paramètres!$A$1:$I$89,3,0)*0.475*44/12</f>
        <v>0.25556789948713038</v>
      </c>
      <c r="AB185" s="23">
        <f>EXP(-LN(2)/2)*AB184+(1-EXP(-LN(2)/2))/(LN(2)/2)*V185*Y185*VLOOKUP('Données projet'!$B$9,Paramètres!$A$1:$I$89,3,0)*0.475*44/12</f>
        <v>9.4132255362579233E-23</v>
      </c>
      <c r="AC185" s="24">
        <f t="shared" si="163"/>
        <v>0.82099011940118882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-9.6633812063373625E-13</v>
      </c>
      <c r="AJ185" s="14">
        <f>AI185*VLOOKUP('Données projet'!$B$10,Paramètres!$A$1:$I$89,3,0)*VLOOKUP('Données projet'!$B$10,Paramètres!$A$1:$I$89,5,0)</f>
        <v>-9.7986685432260874E-13</v>
      </c>
      <c r="AK185" s="14" t="e">
        <f t="shared" si="164"/>
        <v>#NUM!</v>
      </c>
      <c r="AL185" s="22" t="e">
        <f t="shared" si="165"/>
        <v>#NUM!</v>
      </c>
      <c r="AM185" s="60" t="e">
        <f t="shared" si="113"/>
        <v>#NUM!</v>
      </c>
      <c r="AN185" s="60">
        <f ca="1">AVERAGE(OFFSET($AM$3,0,0,'Données projet'!$E$10+1,1))-AVERAGE(OFFSET($H$3,0,0,'Données projet'!$E$10+1,1))</f>
        <v>350.3652766444938</v>
      </c>
      <c r="AO185" s="60">
        <f t="shared" si="144"/>
        <v>197.04549436738586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6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-9.6633812063373625E-13</v>
      </c>
      <c r="BE185" s="14">
        <f>BD185*VLOOKUP('Données projet'!$B$11,Paramètres!$A$1:$I$89,3,0)*VLOOKUP('Données projet'!$B$11,Paramètres!$A$1:$I$89,5,0)</f>
        <v>-9.3464223027694966E-13</v>
      </c>
      <c r="BF185" s="14" t="e">
        <f t="shared" si="167"/>
        <v>#NUM!</v>
      </c>
      <c r="BG185" s="22" t="e">
        <f t="shared" si="168"/>
        <v>#NUM!</v>
      </c>
      <c r="BH185" s="60" t="e">
        <f t="shared" si="116"/>
        <v>#NUM!</v>
      </c>
      <c r="BI185" s="60">
        <f ca="1">AVERAGE(OFFSET($BH$3,0,0,'Données projet'!$E$11+1,1))-AVERAGE(OFFSET($H$3,0,0,'Données projet'!$E$11+1,1))</f>
        <v>330.39429528665841</v>
      </c>
      <c r="BJ185" s="60">
        <f t="shared" si="146"/>
        <v>186.45728006007261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1.7053025658242404E-13</v>
      </c>
      <c r="BZ185" s="14">
        <f>BY185*VLOOKUP('Données projet'!$B$12,Paramètres!$A$1:$I$89,3,0)*VLOOKUP('Données projet'!$B$12,Paramètres!$A$1:$I$89,5,0)</f>
        <v>1.1439169611549005E-13</v>
      </c>
      <c r="CA185" s="14">
        <f t="shared" si="170"/>
        <v>1.6918016515029816E-12</v>
      </c>
      <c r="CB185" s="22">
        <f t="shared" si="171"/>
        <v>3.1457867471021712E-12</v>
      </c>
      <c r="CC185" s="60">
        <f t="shared" si="119"/>
        <v>293.33333333333644</v>
      </c>
      <c r="CD185" s="60">
        <f ca="1">AVERAGE(OFFSET($CC$3,0,0,'Données projet'!$E$12+1,1))-AVERAGE(OFFSET($H$3,0,0,'Données projet'!$E$12+1,1))</f>
        <v>212.33913923444732</v>
      </c>
      <c r="CE185" s="60">
        <f t="shared" si="148"/>
        <v>183.51194426094372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-3.979039320256561E-13</v>
      </c>
      <c r="CU185" s="18">
        <f>CT185*VLOOKUP('Données projet'!$B$13,Paramètres!$A$1:$I$89,3,0)*VLOOKUP('Données projet'!$B$13,Paramètres!$A$1:$I$89,5,0)</f>
        <v>-3.4760887501761321E-13</v>
      </c>
      <c r="CV185" s="14" t="e">
        <f t="shared" si="173"/>
        <v>#NUM!</v>
      </c>
      <c r="CW185" s="22" t="e">
        <f t="shared" si="174"/>
        <v>#NUM!</v>
      </c>
      <c r="CX185" s="60" t="e">
        <f t="shared" si="122"/>
        <v>#NUM!</v>
      </c>
      <c r="CY185" s="60">
        <f ca="1">AVERAGE(OFFSET($CX$3,0,0,'Données projet'!$E$13+1,1))-AVERAGE(OFFSET($H$3,0,0,'Données projet'!$E$13+1,1))</f>
        <v>228.0393346366489</v>
      </c>
      <c r="CZ185" s="60">
        <f t="shared" si="150"/>
        <v>238.591781509447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-9.6633812063373625E-13</v>
      </c>
      <c r="DP185" s="18">
        <f>DO185*VLOOKUP('Données projet'!$B$14,Paramètres!$A$1:$I$89,3,0)*VLOOKUP('Données projet'!$B$14,Paramètres!$A$1:$I$89,5,0)</f>
        <v>-8.7434273154940449E-13</v>
      </c>
      <c r="DQ185" s="14" t="e">
        <f t="shared" si="176"/>
        <v>#NUM!</v>
      </c>
      <c r="DR185" s="22" t="e">
        <f t="shared" si="177"/>
        <v>#NUM!</v>
      </c>
      <c r="DS185" s="60" t="e">
        <f t="shared" si="125"/>
        <v>#NUM!</v>
      </c>
      <c r="DT185" s="60">
        <f ca="1">AVERAGE(OFFSET($DS$3,0,0,'Données projet'!$E$14+1,1))-AVERAGE(OFFSET($H$3,0,0,'Données projet'!$E$14+1,1))</f>
        <v>303.73499739059076</v>
      </c>
      <c r="DU185" s="60">
        <f t="shared" si="152"/>
        <v>172.32171001882188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1.1368683772161603E-13</v>
      </c>
      <c r="EK185" s="18">
        <f>EJ185*VLOOKUP('Données projet'!$B$15,Paramètres!$A$1:$I$89,3,0)*VLOOKUP('Données projet'!$B$15,Paramètres!$A$1:$I$89,5,0)</f>
        <v>6.7984728957526396E-14</v>
      </c>
      <c r="EL185" s="14">
        <f t="shared" si="179"/>
        <v>1.0682447123141398E-12</v>
      </c>
      <c r="EM185" s="22">
        <f t="shared" si="180"/>
        <v>1.978932943548152E-12</v>
      </c>
      <c r="EN185" s="60">
        <f t="shared" si="128"/>
        <v>293.3333333333353</v>
      </c>
      <c r="EO185" s="60">
        <f ca="1">AVERAGE(OFFSET($EN$3,0,0,'Données projet'!$E$15+1,1))-AVERAGE(OFFSET($H$3,0,0,'Données projet'!$E$15+1,1))</f>
        <v>269.94948820700841</v>
      </c>
      <c r="EP185" s="60">
        <f t="shared" si="154"/>
        <v>183.45158355135192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0.20184593751673555</v>
      </c>
      <c r="EX185" s="23">
        <f>EXP(-LN(2)/2)*EX184+(1-EXP(-LN(2)/2))/(LN(2)/2)*ER185*EU185*VLOOKUP('Données projet'!$B$15,Paramètres!$A$1:$I$89,3,0)*0.475*44/12</f>
        <v>7.4618728051027832E-23</v>
      </c>
      <c r="EY185" s="24">
        <f t="shared" si="181"/>
        <v>0.20184593751673555</v>
      </c>
      <c r="EZ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>
        <f>FE185*VLOOKUP('Données projet'!$B$16,Paramètres!$A$1:$I$89,3,0)*VLOOKUP('Données projet'!$B$16,Paramètres!$A$1:$I$89,5,0)</f>
        <v>0</v>
      </c>
      <c r="FG185" s="14" t="e">
        <f t="shared" si="182"/>
        <v>#NUM!</v>
      </c>
      <c r="FH185" s="22" t="e">
        <f t="shared" si="183"/>
        <v>#NUM!</v>
      </c>
      <c r="FI185" s="60" t="e">
        <f t="shared" si="131"/>
        <v>#NUM!</v>
      </c>
      <c r="FJ185" s="60">
        <f ca="1">AVERAGE(OFFSET($FI$3,0,0,'Données projet'!$E$16+1,1))-AVERAGE(OFFSET($H$3,0,0,'Données projet'!$E$16+1,1))</f>
        <v>111.24788725253484</v>
      </c>
      <c r="FK185" s="60">
        <f t="shared" si="156"/>
        <v>82.434879813357327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projet'!$B$16,Paramètres!$A$1:$I$89,3,0)*0.475*44/12</f>
        <v>0</v>
      </c>
      <c r="FR185" s="23">
        <f>EXP(-LN(2)/25)*FR184+(1-EXP(-LN(2)/25))/(LN(2)/25)*Calculateur!FM185*Calculateur!FO185*VLOOKUP('Données projet'!$B$16,Paramètres!$A$1:$I$89,3,0)*0.475*44/12</f>
        <v>0</v>
      </c>
      <c r="FS185" s="23">
        <f>EXP(-LN(2)/2)*FS184+(1-EXP(-LN(2)/2))/(LN(2)/2)*FM185*FP185*VLOOKUP('Données projet'!$B$16,Paramètres!$A$1:$I$89,3,0)*0.475*44/12</f>
        <v>0</v>
      </c>
      <c r="FT185" s="24">
        <f t="shared" si="184"/>
        <v>0</v>
      </c>
      <c r="FU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1.0231815394945443E-12</v>
      </c>
      <c r="GA185" s="18">
        <f>FZ185*VLOOKUP('Données projet'!$B$17,Paramètres!$A$1:$I$89,3,0)*VLOOKUP('Données projet'!$B$17,Paramètres!$A$1:$I$89,5,0)</f>
        <v>4.5224624045658859E-13</v>
      </c>
      <c r="GB185" s="14">
        <f t="shared" si="185"/>
        <v>5.6995607121061449E-12</v>
      </c>
      <c r="GC185" s="22">
        <f t="shared" si="186"/>
        <v>1.0714397109046761E-11</v>
      </c>
      <c r="GD185" s="60">
        <f t="shared" si="134"/>
        <v>293.333333333344</v>
      </c>
      <c r="GE185" s="60">
        <f ca="1">AVERAGE(OFFSET($GD$3,0,0,'Données projet'!$E$17+1,1))-AVERAGE(OFFSET($H$3,0,0,'Données projet'!$E$17+1,1))</f>
        <v>323.56667371063662</v>
      </c>
      <c r="GF185" s="60">
        <f t="shared" si="158"/>
        <v>275.70373467723385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>
        <f>EXP(-LN(2)/35)*GL184+(1-EXP(-LN(2)/35))/(LN(2)/35)*GH185*GI185*VLOOKUP('Données projet'!$B$17,Paramètres!$A$1:$I$89,3,0)*0.475*44/12</f>
        <v>0</v>
      </c>
      <c r="GM185" s="23">
        <f>EXP(-LN(2)/25)*GM184+(1-EXP(-LN(2)/25))/(LN(2)/25)*Calculateur!GH185*Calculateur!GJ185*VLOOKUP('Données projet'!$B$17,Paramètres!$A$1:$I$89,3,0)*0.475*44/12</f>
        <v>0</v>
      </c>
      <c r="GN185" s="23">
        <f>EXP(-LN(2)/2)*GN184+(1-EXP(-LN(2)/2))/(LN(2)/2)*GH185*GK185*VLOOKUP('Données projet'!$B$17,Paramètres!$A$1:$I$89,3,0)*0.475*44/12</f>
        <v>0</v>
      </c>
      <c r="GO185" s="23">
        <f t="shared" si="187"/>
        <v>0</v>
      </c>
      <c r="GP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0" t="e">
        <f t="shared" si="137"/>
        <v>#N/A</v>
      </c>
      <c r="GZ185" s="60" t="e">
        <f ca="1">AVERAGE(OFFSET($GY$3,0,0,'Données projet'!$E$18+1,1))-AVERAGE(OFFSET($H$3,0,0,'Données projet'!$E$18+1,1))</f>
        <v>#N/A</v>
      </c>
      <c r="HA185" s="60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4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2">
        <f t="shared" si="140"/>
        <v>26.942461246512842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-1.1368683772161603E-13</v>
      </c>
      <c r="O186" s="14">
        <f>N186*VLOOKUP('Données projet'!$B$9,Paramètres!$A$1:$I$89,3,0)*VLOOKUP('Données projet'!$B$9,Paramètres!$A$1:$I$89,5,0)</f>
        <v>-6.7984728957526396E-14</v>
      </c>
      <c r="P186" s="14" t="e">
        <f t="shared" si="141"/>
        <v>#NUM!</v>
      </c>
      <c r="Q186" s="22" t="e">
        <f t="shared" si="162"/>
        <v>#NUM!</v>
      </c>
      <c r="R186" s="60" t="e">
        <f t="shared" si="109"/>
        <v>#NUM!</v>
      </c>
      <c r="S186" s="60">
        <f ca="1">AVERAGE(OFFSET($R$3,0,0,'Données projet'!$E$9+1,1))-AVERAGE(OFFSET($H$3,0,0,'Données projet'!$E$9+1,1))</f>
        <v>235.63766249714581</v>
      </c>
      <c r="T186" s="60">
        <f t="shared" si="142"/>
        <v>231.3297293785277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0.55433463505504443</v>
      </c>
      <c r="AA186" s="23">
        <f>EXP(-LN(2)/25)*AA185+(1-EXP(-LN(2)/25))/(LN(2)/25)*Calculateur!V186*Calculateur!X186*VLOOKUP('Données projet'!$B$9,Paramètres!$A$1:$I$89,3,0)*0.475*44/12</f>
        <v>0.24857938183592307</v>
      </c>
      <c r="AB186" s="23">
        <f>EXP(-LN(2)/2)*AB185+(1-EXP(-LN(2)/2))/(LN(2)/2)*V186*Y186*VLOOKUP('Données projet'!$B$9,Paramètres!$A$1:$I$89,3,0)*0.475*44/12</f>
        <v>6.6561556095263528E-23</v>
      </c>
      <c r="AC186" s="24">
        <f t="shared" si="163"/>
        <v>0.80291401689096753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-9.6633812063373625E-13</v>
      </c>
      <c r="AJ186" s="14">
        <f>AI186*VLOOKUP('Données projet'!$B$10,Paramètres!$A$1:$I$89,3,0)*VLOOKUP('Données projet'!$B$10,Paramètres!$A$1:$I$89,5,0)</f>
        <v>-9.7986685432260874E-13</v>
      </c>
      <c r="AK186" s="14" t="e">
        <f t="shared" si="164"/>
        <v>#NUM!</v>
      </c>
      <c r="AL186" s="22" t="e">
        <f t="shared" si="165"/>
        <v>#NUM!</v>
      </c>
      <c r="AM186" s="60" t="e">
        <f t="shared" si="113"/>
        <v>#NUM!</v>
      </c>
      <c r="AN186" s="60">
        <f ca="1">AVERAGE(OFFSET($AM$3,0,0,'Données projet'!$E$10+1,1))-AVERAGE(OFFSET($H$3,0,0,'Données projet'!$E$10+1,1))</f>
        <v>350.3652766444938</v>
      </c>
      <c r="AO186" s="60">
        <f t="shared" si="144"/>
        <v>197.04549436738586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6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-9.6633812063373625E-13</v>
      </c>
      <c r="BE186" s="14">
        <f>BD186*VLOOKUP('Données projet'!$B$11,Paramètres!$A$1:$I$89,3,0)*VLOOKUP('Données projet'!$B$11,Paramètres!$A$1:$I$89,5,0)</f>
        <v>-9.3464223027694966E-13</v>
      </c>
      <c r="BF186" s="14" t="e">
        <f t="shared" si="167"/>
        <v>#NUM!</v>
      </c>
      <c r="BG186" s="22" t="e">
        <f t="shared" si="168"/>
        <v>#NUM!</v>
      </c>
      <c r="BH186" s="60" t="e">
        <f t="shared" si="116"/>
        <v>#NUM!</v>
      </c>
      <c r="BI186" s="60">
        <f ca="1">AVERAGE(OFFSET($BH$3,0,0,'Données projet'!$E$11+1,1))-AVERAGE(OFFSET($H$3,0,0,'Données projet'!$E$11+1,1))</f>
        <v>330.39429528665841</v>
      </c>
      <c r="BJ186" s="60">
        <f t="shared" si="146"/>
        <v>186.45728006007261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1.7053025658242404E-13</v>
      </c>
      <c r="BZ186" s="14">
        <f>BY186*VLOOKUP('Données projet'!$B$12,Paramètres!$A$1:$I$89,3,0)*VLOOKUP('Données projet'!$B$12,Paramètres!$A$1:$I$89,5,0)</f>
        <v>1.1439169611549005E-13</v>
      </c>
      <c r="CA186" s="14">
        <f t="shared" si="170"/>
        <v>1.6918016515029816E-12</v>
      </c>
      <c r="CB186" s="22">
        <f t="shared" si="171"/>
        <v>3.1457867471021712E-12</v>
      </c>
      <c r="CC186" s="60">
        <f t="shared" si="119"/>
        <v>293.33333333333644</v>
      </c>
      <c r="CD186" s="60">
        <f ca="1">AVERAGE(OFFSET($CC$3,0,0,'Données projet'!$E$12+1,1))-AVERAGE(OFFSET($H$3,0,0,'Données projet'!$E$12+1,1))</f>
        <v>212.33913923444732</v>
      </c>
      <c r="CE186" s="60">
        <f t="shared" si="148"/>
        <v>183.51194426094372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-3.979039320256561E-13</v>
      </c>
      <c r="CU186" s="18">
        <f>CT186*VLOOKUP('Données projet'!$B$13,Paramètres!$A$1:$I$89,3,0)*VLOOKUP('Données projet'!$B$13,Paramètres!$A$1:$I$89,5,0)</f>
        <v>-3.4760887501761321E-13</v>
      </c>
      <c r="CV186" s="14" t="e">
        <f t="shared" si="173"/>
        <v>#NUM!</v>
      </c>
      <c r="CW186" s="22" t="e">
        <f t="shared" si="174"/>
        <v>#NUM!</v>
      </c>
      <c r="CX186" s="60" t="e">
        <f t="shared" si="122"/>
        <v>#NUM!</v>
      </c>
      <c r="CY186" s="60">
        <f ca="1">AVERAGE(OFFSET($CX$3,0,0,'Données projet'!$E$13+1,1))-AVERAGE(OFFSET($H$3,0,0,'Données projet'!$E$13+1,1))</f>
        <v>228.0393346366489</v>
      </c>
      <c r="CZ186" s="60">
        <f t="shared" si="150"/>
        <v>238.591781509447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-9.6633812063373625E-13</v>
      </c>
      <c r="DP186" s="18">
        <f>DO186*VLOOKUP('Données projet'!$B$14,Paramètres!$A$1:$I$89,3,0)*VLOOKUP('Données projet'!$B$14,Paramètres!$A$1:$I$89,5,0)</f>
        <v>-8.7434273154940449E-13</v>
      </c>
      <c r="DQ186" s="14" t="e">
        <f t="shared" si="176"/>
        <v>#NUM!</v>
      </c>
      <c r="DR186" s="22" t="e">
        <f t="shared" si="177"/>
        <v>#NUM!</v>
      </c>
      <c r="DS186" s="60" t="e">
        <f t="shared" si="125"/>
        <v>#NUM!</v>
      </c>
      <c r="DT186" s="60">
        <f ca="1">AVERAGE(OFFSET($DS$3,0,0,'Données projet'!$E$14+1,1))-AVERAGE(OFFSET($H$3,0,0,'Données projet'!$E$14+1,1))</f>
        <v>303.73499739059076</v>
      </c>
      <c r="DU186" s="60">
        <f t="shared" si="152"/>
        <v>172.32171001882188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1.1368683772161603E-13</v>
      </c>
      <c r="EK186" s="18">
        <f>EJ186*VLOOKUP('Données projet'!$B$15,Paramètres!$A$1:$I$89,3,0)*VLOOKUP('Données projet'!$B$15,Paramètres!$A$1:$I$89,5,0)</f>
        <v>6.7984728957526396E-14</v>
      </c>
      <c r="EL186" s="14">
        <f t="shared" si="179"/>
        <v>1.0682447123141398E-12</v>
      </c>
      <c r="EM186" s="22">
        <f t="shared" si="180"/>
        <v>1.978932943548152E-12</v>
      </c>
      <c r="EN186" s="60">
        <f t="shared" si="128"/>
        <v>293.3333333333353</v>
      </c>
      <c r="EO186" s="60">
        <f ca="1">AVERAGE(OFFSET($EN$3,0,0,'Données projet'!$E$15+1,1))-AVERAGE(OFFSET($H$3,0,0,'Données projet'!$E$15+1,1))</f>
        <v>269.94948820700841</v>
      </c>
      <c r="EP186" s="60">
        <f t="shared" si="154"/>
        <v>183.45158355135192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0.19632644974072389</v>
      </c>
      <c r="EX186" s="23">
        <f>EXP(-LN(2)/2)*EX185+(1-EXP(-LN(2)/2))/(LN(2)/2)*ER186*EU186*VLOOKUP('Données projet'!$B$15,Paramètres!$A$1:$I$89,3,0)*0.475*44/12</f>
        <v>5.2763408608396638E-23</v>
      </c>
      <c r="EY186" s="24">
        <f t="shared" si="181"/>
        <v>0.19632644974072389</v>
      </c>
      <c r="EZ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>
        <f>FE186*VLOOKUP('Données projet'!$B$16,Paramètres!$A$1:$I$89,3,0)*VLOOKUP('Données projet'!$B$16,Paramètres!$A$1:$I$89,5,0)</f>
        <v>0</v>
      </c>
      <c r="FG186" s="14" t="e">
        <f t="shared" si="182"/>
        <v>#NUM!</v>
      </c>
      <c r="FH186" s="22" t="e">
        <f t="shared" si="183"/>
        <v>#NUM!</v>
      </c>
      <c r="FI186" s="60" t="e">
        <f t="shared" si="131"/>
        <v>#NUM!</v>
      </c>
      <c r="FJ186" s="60">
        <f ca="1">AVERAGE(OFFSET($FI$3,0,0,'Données projet'!$E$16+1,1))-AVERAGE(OFFSET($H$3,0,0,'Données projet'!$E$16+1,1))</f>
        <v>111.24788725253484</v>
      </c>
      <c r="FK186" s="60">
        <f t="shared" si="156"/>
        <v>82.434879813357327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projet'!$B$16,Paramètres!$A$1:$I$89,3,0)*0.475*44/12</f>
        <v>0</v>
      </c>
      <c r="FR186" s="23">
        <f>EXP(-LN(2)/25)*FR185+(1-EXP(-LN(2)/25))/(LN(2)/25)*Calculateur!FM186*Calculateur!FO186*VLOOKUP('Données projet'!$B$16,Paramètres!$A$1:$I$89,3,0)*0.475*44/12</f>
        <v>0</v>
      </c>
      <c r="FS186" s="23">
        <f>EXP(-LN(2)/2)*FS185+(1-EXP(-LN(2)/2))/(LN(2)/2)*FM186*FP186*VLOOKUP('Données projet'!$B$16,Paramètres!$A$1:$I$89,3,0)*0.475*44/12</f>
        <v>0</v>
      </c>
      <c r="FT186" s="24">
        <f t="shared" si="184"/>
        <v>0</v>
      </c>
      <c r="FU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1.0231815394945443E-12</v>
      </c>
      <c r="GA186" s="18">
        <f>FZ186*VLOOKUP('Données projet'!$B$17,Paramètres!$A$1:$I$89,3,0)*VLOOKUP('Données projet'!$B$17,Paramètres!$A$1:$I$89,5,0)</f>
        <v>4.5224624045658859E-13</v>
      </c>
      <c r="GB186" s="14">
        <f t="shared" si="185"/>
        <v>5.6995607121061449E-12</v>
      </c>
      <c r="GC186" s="22">
        <f t="shared" si="186"/>
        <v>1.0714397109046761E-11</v>
      </c>
      <c r="GD186" s="60">
        <f t="shared" si="134"/>
        <v>293.333333333344</v>
      </c>
      <c r="GE186" s="60">
        <f ca="1">AVERAGE(OFFSET($GD$3,0,0,'Données projet'!$E$17+1,1))-AVERAGE(OFFSET($H$3,0,0,'Données projet'!$E$17+1,1))</f>
        <v>323.56667371063662</v>
      </c>
      <c r="GF186" s="60">
        <f t="shared" si="158"/>
        <v>275.70373467723385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>
        <f>EXP(-LN(2)/35)*GL185+(1-EXP(-LN(2)/35))/(LN(2)/35)*GH186*GI186*VLOOKUP('Données projet'!$B$17,Paramètres!$A$1:$I$89,3,0)*0.475*44/12</f>
        <v>0</v>
      </c>
      <c r="GM186" s="23">
        <f>EXP(-LN(2)/25)*GM185+(1-EXP(-LN(2)/25))/(LN(2)/25)*Calculateur!GH186*Calculateur!GJ186*VLOOKUP('Données projet'!$B$17,Paramètres!$A$1:$I$89,3,0)*0.475*44/12</f>
        <v>0</v>
      </c>
      <c r="GN186" s="23">
        <f>EXP(-LN(2)/2)*GN185+(1-EXP(-LN(2)/2))/(LN(2)/2)*GH186*GK186*VLOOKUP('Données projet'!$B$17,Paramètres!$A$1:$I$89,3,0)*0.475*44/12</f>
        <v>0</v>
      </c>
      <c r="GO186" s="23">
        <f t="shared" si="187"/>
        <v>0</v>
      </c>
      <c r="GP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0" t="e">
        <f t="shared" si="137"/>
        <v>#N/A</v>
      </c>
      <c r="GZ186" s="60" t="e">
        <f ca="1">AVERAGE(OFFSET($GY$3,0,0,'Données projet'!$E$18+1,1))-AVERAGE(OFFSET($H$3,0,0,'Données projet'!$E$18+1,1))</f>
        <v>#N/A</v>
      </c>
      <c r="HA186" s="60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4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2">
        <f t="shared" si="140"/>
        <v>27.072509349827552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-1.1368683772161603E-13</v>
      </c>
      <c r="O187" s="14">
        <f>N187*VLOOKUP('Données projet'!$B$9,Paramètres!$A$1:$I$89,3,0)*VLOOKUP('Données projet'!$B$9,Paramètres!$A$1:$I$89,5,0)</f>
        <v>-6.7984728957526396E-14</v>
      </c>
      <c r="P187" s="14" t="e">
        <f t="shared" si="141"/>
        <v>#NUM!</v>
      </c>
      <c r="Q187" s="22" t="e">
        <f t="shared" si="162"/>
        <v>#NUM!</v>
      </c>
      <c r="R187" s="60" t="e">
        <f t="shared" si="109"/>
        <v>#NUM!</v>
      </c>
      <c r="S187" s="60">
        <f ca="1">AVERAGE(OFFSET($R$3,0,0,'Données projet'!$E$9+1,1))-AVERAGE(OFFSET($H$3,0,0,'Données projet'!$E$9+1,1))</f>
        <v>235.63766249714581</v>
      </c>
      <c r="T187" s="60">
        <f t="shared" si="142"/>
        <v>231.3297293785277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0.54346447097235673</v>
      </c>
      <c r="AA187" s="23">
        <f>EXP(-LN(2)/25)*AA186+(1-EXP(-LN(2)/25))/(LN(2)/25)*Calculateur!V187*Calculateur!X187*VLOOKUP('Données projet'!$B$9,Paramètres!$A$1:$I$89,3,0)*0.475*44/12</f>
        <v>0.2417819655673982</v>
      </c>
      <c r="AB187" s="23">
        <f>EXP(-LN(2)/2)*AB186+(1-EXP(-LN(2)/2))/(LN(2)/2)*V187*Y187*VLOOKUP('Données projet'!$B$9,Paramètres!$A$1:$I$89,3,0)*0.475*44/12</f>
        <v>4.7066127681289617E-23</v>
      </c>
      <c r="AC187" s="24">
        <f t="shared" si="163"/>
        <v>0.7852464365397549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-9.6633812063373625E-13</v>
      </c>
      <c r="AJ187" s="14">
        <f>AI187*VLOOKUP('Données projet'!$B$10,Paramètres!$A$1:$I$89,3,0)*VLOOKUP('Données projet'!$B$10,Paramètres!$A$1:$I$89,5,0)</f>
        <v>-9.7986685432260874E-13</v>
      </c>
      <c r="AK187" s="14" t="e">
        <f t="shared" si="164"/>
        <v>#NUM!</v>
      </c>
      <c r="AL187" s="22" t="e">
        <f t="shared" si="165"/>
        <v>#NUM!</v>
      </c>
      <c r="AM187" s="60" t="e">
        <f t="shared" si="113"/>
        <v>#NUM!</v>
      </c>
      <c r="AN187" s="60">
        <f ca="1">AVERAGE(OFFSET($AM$3,0,0,'Données projet'!$E$10+1,1))-AVERAGE(OFFSET($H$3,0,0,'Données projet'!$E$10+1,1))</f>
        <v>350.3652766444938</v>
      </c>
      <c r="AO187" s="60">
        <f t="shared" si="144"/>
        <v>197.04549436738586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6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-9.6633812063373625E-13</v>
      </c>
      <c r="BE187" s="14">
        <f>BD187*VLOOKUP('Données projet'!$B$11,Paramètres!$A$1:$I$89,3,0)*VLOOKUP('Données projet'!$B$11,Paramètres!$A$1:$I$89,5,0)</f>
        <v>-9.3464223027694966E-13</v>
      </c>
      <c r="BF187" s="14" t="e">
        <f t="shared" si="167"/>
        <v>#NUM!</v>
      </c>
      <c r="BG187" s="22" t="e">
        <f t="shared" si="168"/>
        <v>#NUM!</v>
      </c>
      <c r="BH187" s="60" t="e">
        <f t="shared" si="116"/>
        <v>#NUM!</v>
      </c>
      <c r="BI187" s="60">
        <f ca="1">AVERAGE(OFFSET($BH$3,0,0,'Données projet'!$E$11+1,1))-AVERAGE(OFFSET($H$3,0,0,'Données projet'!$E$11+1,1))</f>
        <v>330.39429528665841</v>
      </c>
      <c r="BJ187" s="60">
        <f t="shared" si="146"/>
        <v>186.45728006007261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1.7053025658242404E-13</v>
      </c>
      <c r="BZ187" s="14">
        <f>BY187*VLOOKUP('Données projet'!$B$12,Paramètres!$A$1:$I$89,3,0)*VLOOKUP('Données projet'!$B$12,Paramètres!$A$1:$I$89,5,0)</f>
        <v>1.1439169611549005E-13</v>
      </c>
      <c r="CA187" s="14">
        <f t="shared" si="170"/>
        <v>1.6918016515029816E-12</v>
      </c>
      <c r="CB187" s="22">
        <f t="shared" si="171"/>
        <v>3.1457867471021712E-12</v>
      </c>
      <c r="CC187" s="60">
        <f t="shared" si="119"/>
        <v>293.33333333333644</v>
      </c>
      <c r="CD187" s="60">
        <f ca="1">AVERAGE(OFFSET($CC$3,0,0,'Données projet'!$E$12+1,1))-AVERAGE(OFFSET($H$3,0,0,'Données projet'!$E$12+1,1))</f>
        <v>212.33913923444732</v>
      </c>
      <c r="CE187" s="60">
        <f t="shared" si="148"/>
        <v>183.51194426094372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-3.979039320256561E-13</v>
      </c>
      <c r="CU187" s="18">
        <f>CT187*VLOOKUP('Données projet'!$B$13,Paramètres!$A$1:$I$89,3,0)*VLOOKUP('Données projet'!$B$13,Paramètres!$A$1:$I$89,5,0)</f>
        <v>-3.4760887501761321E-13</v>
      </c>
      <c r="CV187" s="14" t="e">
        <f t="shared" si="173"/>
        <v>#NUM!</v>
      </c>
      <c r="CW187" s="22" t="e">
        <f t="shared" si="174"/>
        <v>#NUM!</v>
      </c>
      <c r="CX187" s="60" t="e">
        <f t="shared" si="122"/>
        <v>#NUM!</v>
      </c>
      <c r="CY187" s="60">
        <f ca="1">AVERAGE(OFFSET($CX$3,0,0,'Données projet'!$E$13+1,1))-AVERAGE(OFFSET($H$3,0,0,'Données projet'!$E$13+1,1))</f>
        <v>228.0393346366489</v>
      </c>
      <c r="CZ187" s="60">
        <f t="shared" si="150"/>
        <v>238.591781509447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-9.6633812063373625E-13</v>
      </c>
      <c r="DP187" s="18">
        <f>DO187*VLOOKUP('Données projet'!$B$14,Paramètres!$A$1:$I$89,3,0)*VLOOKUP('Données projet'!$B$14,Paramètres!$A$1:$I$89,5,0)</f>
        <v>-8.7434273154940449E-13</v>
      </c>
      <c r="DQ187" s="14" t="e">
        <f t="shared" si="176"/>
        <v>#NUM!</v>
      </c>
      <c r="DR187" s="22" t="e">
        <f t="shared" si="177"/>
        <v>#NUM!</v>
      </c>
      <c r="DS187" s="60" t="e">
        <f t="shared" si="125"/>
        <v>#NUM!</v>
      </c>
      <c r="DT187" s="60">
        <f ca="1">AVERAGE(OFFSET($DS$3,0,0,'Données projet'!$E$14+1,1))-AVERAGE(OFFSET($H$3,0,0,'Données projet'!$E$14+1,1))</f>
        <v>303.73499739059076</v>
      </c>
      <c r="DU187" s="60">
        <f t="shared" si="152"/>
        <v>172.32171001882188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1.1368683772161603E-13</v>
      </c>
      <c r="EK187" s="18">
        <f>EJ187*VLOOKUP('Données projet'!$B$15,Paramètres!$A$1:$I$89,3,0)*VLOOKUP('Données projet'!$B$15,Paramètres!$A$1:$I$89,5,0)</f>
        <v>6.7984728957526396E-14</v>
      </c>
      <c r="EL187" s="14">
        <f t="shared" si="179"/>
        <v>1.0682447123141398E-12</v>
      </c>
      <c r="EM187" s="22">
        <f t="shared" si="180"/>
        <v>1.978932943548152E-12</v>
      </c>
      <c r="EN187" s="60">
        <f t="shared" si="128"/>
        <v>293.3333333333353</v>
      </c>
      <c r="EO187" s="60">
        <f ca="1">AVERAGE(OFFSET($EN$3,0,0,'Données projet'!$E$15+1,1))-AVERAGE(OFFSET($H$3,0,0,'Données projet'!$E$15+1,1))</f>
        <v>269.94948820700841</v>
      </c>
      <c r="EP187" s="60">
        <f t="shared" si="154"/>
        <v>183.45158355135192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0.19095789264820451</v>
      </c>
      <c r="EX187" s="23">
        <f>EXP(-LN(2)/2)*EX186+(1-EXP(-LN(2)/2))/(LN(2)/2)*ER187*EU187*VLOOKUP('Données projet'!$B$15,Paramètres!$A$1:$I$89,3,0)*0.475*44/12</f>
        <v>3.7309364025513922E-23</v>
      </c>
      <c r="EY187" s="24">
        <f t="shared" si="181"/>
        <v>0.19095789264820451</v>
      </c>
      <c r="EZ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>
        <f>FE187*VLOOKUP('Données projet'!$B$16,Paramètres!$A$1:$I$89,3,0)*VLOOKUP('Données projet'!$B$16,Paramètres!$A$1:$I$89,5,0)</f>
        <v>0</v>
      </c>
      <c r="FG187" s="14" t="e">
        <f t="shared" si="182"/>
        <v>#NUM!</v>
      </c>
      <c r="FH187" s="22" t="e">
        <f t="shared" si="183"/>
        <v>#NUM!</v>
      </c>
      <c r="FI187" s="60" t="e">
        <f t="shared" si="131"/>
        <v>#NUM!</v>
      </c>
      <c r="FJ187" s="60">
        <f ca="1">AVERAGE(OFFSET($FI$3,0,0,'Données projet'!$E$16+1,1))-AVERAGE(OFFSET($H$3,0,0,'Données projet'!$E$16+1,1))</f>
        <v>111.24788725253484</v>
      </c>
      <c r="FK187" s="60">
        <f t="shared" si="156"/>
        <v>82.434879813357327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projet'!$B$16,Paramètres!$A$1:$I$89,3,0)*0.475*44/12</f>
        <v>0</v>
      </c>
      <c r="FR187" s="23">
        <f>EXP(-LN(2)/25)*FR186+(1-EXP(-LN(2)/25))/(LN(2)/25)*Calculateur!FM187*Calculateur!FO187*VLOOKUP('Données projet'!$B$16,Paramètres!$A$1:$I$89,3,0)*0.475*44/12</f>
        <v>0</v>
      </c>
      <c r="FS187" s="23">
        <f>EXP(-LN(2)/2)*FS186+(1-EXP(-LN(2)/2))/(LN(2)/2)*FM187*FP187*VLOOKUP('Données projet'!$B$16,Paramètres!$A$1:$I$89,3,0)*0.475*44/12</f>
        <v>0</v>
      </c>
      <c r="FT187" s="24">
        <f t="shared" si="184"/>
        <v>0</v>
      </c>
      <c r="FU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1.0231815394945443E-12</v>
      </c>
      <c r="GA187" s="18">
        <f>FZ187*VLOOKUP('Données projet'!$B$17,Paramètres!$A$1:$I$89,3,0)*VLOOKUP('Données projet'!$B$17,Paramètres!$A$1:$I$89,5,0)</f>
        <v>4.5224624045658859E-13</v>
      </c>
      <c r="GB187" s="14">
        <f t="shared" si="185"/>
        <v>5.6995607121061449E-12</v>
      </c>
      <c r="GC187" s="22">
        <f t="shared" si="186"/>
        <v>1.0714397109046761E-11</v>
      </c>
      <c r="GD187" s="60">
        <f t="shared" si="134"/>
        <v>293.333333333344</v>
      </c>
      <c r="GE187" s="60">
        <f ca="1">AVERAGE(OFFSET($GD$3,0,0,'Données projet'!$E$17+1,1))-AVERAGE(OFFSET($H$3,0,0,'Données projet'!$E$17+1,1))</f>
        <v>323.56667371063662</v>
      </c>
      <c r="GF187" s="60">
        <f t="shared" si="158"/>
        <v>275.70373467723385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>
        <f>EXP(-LN(2)/35)*GL186+(1-EXP(-LN(2)/35))/(LN(2)/35)*GH187*GI187*VLOOKUP('Données projet'!$B$17,Paramètres!$A$1:$I$89,3,0)*0.475*44/12</f>
        <v>0</v>
      </c>
      <c r="GM187" s="23">
        <f>EXP(-LN(2)/25)*GM186+(1-EXP(-LN(2)/25))/(LN(2)/25)*Calculateur!GH187*Calculateur!GJ187*VLOOKUP('Données projet'!$B$17,Paramètres!$A$1:$I$89,3,0)*0.475*44/12</f>
        <v>0</v>
      </c>
      <c r="GN187" s="23">
        <f>EXP(-LN(2)/2)*GN186+(1-EXP(-LN(2)/2))/(LN(2)/2)*GH187*GK187*VLOOKUP('Données projet'!$B$17,Paramètres!$A$1:$I$89,3,0)*0.475*44/12</f>
        <v>0</v>
      </c>
      <c r="GO187" s="23">
        <f t="shared" si="187"/>
        <v>0</v>
      </c>
      <c r="GP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0" t="e">
        <f t="shared" si="137"/>
        <v>#N/A</v>
      </c>
      <c r="GZ187" s="60" t="e">
        <f ca="1">AVERAGE(OFFSET($GY$3,0,0,'Données projet'!$E$18+1,1))-AVERAGE(OFFSET($H$3,0,0,'Données projet'!$E$18+1,1))</f>
        <v>#N/A</v>
      </c>
      <c r="HA187" s="60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4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2">
        <f t="shared" si="140"/>
        <v>27.202475209169677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-1.1368683772161603E-13</v>
      </c>
      <c r="O188" s="14">
        <f>N188*VLOOKUP('Données projet'!$B$9,Paramètres!$A$1:$I$89,3,0)*VLOOKUP('Données projet'!$B$9,Paramètres!$A$1:$I$89,5,0)</f>
        <v>-6.7984728957526396E-14</v>
      </c>
      <c r="P188" s="14" t="e">
        <f t="shared" si="141"/>
        <v>#NUM!</v>
      </c>
      <c r="Q188" s="22" t="e">
        <f t="shared" si="162"/>
        <v>#NUM!</v>
      </c>
      <c r="R188" s="60" t="e">
        <f t="shared" si="109"/>
        <v>#NUM!</v>
      </c>
      <c r="S188" s="60">
        <f ca="1">AVERAGE(OFFSET($R$3,0,0,'Données projet'!$E$9+1,1))-AVERAGE(OFFSET($H$3,0,0,'Données projet'!$E$9+1,1))</f>
        <v>235.63766249714581</v>
      </c>
      <c r="T188" s="60">
        <f t="shared" si="142"/>
        <v>231.3297293785277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0.53280746417718516</v>
      </c>
      <c r="AA188" s="23">
        <f>EXP(-LN(2)/25)*AA187+(1-EXP(-LN(2)/25))/(LN(2)/25)*Calculateur!V188*Calculateur!X188*VLOOKUP('Données projet'!$B$9,Paramètres!$A$1:$I$89,3,0)*0.475*44/12</f>
        <v>0.23517042500419671</v>
      </c>
      <c r="AB188" s="23">
        <f>EXP(-LN(2)/2)*AB187+(1-EXP(-LN(2)/2))/(LN(2)/2)*V188*Y188*VLOOKUP('Données projet'!$B$9,Paramètres!$A$1:$I$89,3,0)*0.475*44/12</f>
        <v>3.3280778047631764E-23</v>
      </c>
      <c r="AC188" s="24">
        <f t="shared" si="163"/>
        <v>0.76797788918138188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-9.6633812063373625E-13</v>
      </c>
      <c r="AJ188" s="14">
        <f>AI188*VLOOKUP('Données projet'!$B$10,Paramètres!$A$1:$I$89,3,0)*VLOOKUP('Données projet'!$B$10,Paramètres!$A$1:$I$89,5,0)</f>
        <v>-9.7986685432260874E-13</v>
      </c>
      <c r="AK188" s="14" t="e">
        <f t="shared" si="164"/>
        <v>#NUM!</v>
      </c>
      <c r="AL188" s="22" t="e">
        <f t="shared" si="165"/>
        <v>#NUM!</v>
      </c>
      <c r="AM188" s="60" t="e">
        <f t="shared" si="113"/>
        <v>#NUM!</v>
      </c>
      <c r="AN188" s="60">
        <f ca="1">AVERAGE(OFFSET($AM$3,0,0,'Données projet'!$E$10+1,1))-AVERAGE(OFFSET($H$3,0,0,'Données projet'!$E$10+1,1))</f>
        <v>350.3652766444938</v>
      </c>
      <c r="AO188" s="60">
        <f t="shared" si="144"/>
        <v>197.04549436738586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6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-9.6633812063373625E-13</v>
      </c>
      <c r="BE188" s="14">
        <f>BD188*VLOOKUP('Données projet'!$B$11,Paramètres!$A$1:$I$89,3,0)*VLOOKUP('Données projet'!$B$11,Paramètres!$A$1:$I$89,5,0)</f>
        <v>-9.3464223027694966E-13</v>
      </c>
      <c r="BF188" s="14" t="e">
        <f t="shared" si="167"/>
        <v>#NUM!</v>
      </c>
      <c r="BG188" s="22" t="e">
        <f t="shared" si="168"/>
        <v>#NUM!</v>
      </c>
      <c r="BH188" s="60" t="e">
        <f t="shared" si="116"/>
        <v>#NUM!</v>
      </c>
      <c r="BI188" s="60">
        <f ca="1">AVERAGE(OFFSET($BH$3,0,0,'Données projet'!$E$11+1,1))-AVERAGE(OFFSET($H$3,0,0,'Données projet'!$E$11+1,1))</f>
        <v>330.39429528665841</v>
      </c>
      <c r="BJ188" s="60">
        <f t="shared" si="146"/>
        <v>186.45728006007261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1.7053025658242404E-13</v>
      </c>
      <c r="BZ188" s="14">
        <f>BY188*VLOOKUP('Données projet'!$B$12,Paramètres!$A$1:$I$89,3,0)*VLOOKUP('Données projet'!$B$12,Paramètres!$A$1:$I$89,5,0)</f>
        <v>1.1439169611549005E-13</v>
      </c>
      <c r="CA188" s="14">
        <f t="shared" si="170"/>
        <v>1.6918016515029816E-12</v>
      </c>
      <c r="CB188" s="22">
        <f t="shared" si="171"/>
        <v>3.1457867471021712E-12</v>
      </c>
      <c r="CC188" s="60">
        <f t="shared" si="119"/>
        <v>293.33333333333644</v>
      </c>
      <c r="CD188" s="60">
        <f ca="1">AVERAGE(OFFSET($CC$3,0,0,'Données projet'!$E$12+1,1))-AVERAGE(OFFSET($H$3,0,0,'Données projet'!$E$12+1,1))</f>
        <v>212.33913923444732</v>
      </c>
      <c r="CE188" s="60">
        <f t="shared" si="148"/>
        <v>183.51194426094372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-3.979039320256561E-13</v>
      </c>
      <c r="CU188" s="18">
        <f>CT188*VLOOKUP('Données projet'!$B$13,Paramètres!$A$1:$I$89,3,0)*VLOOKUP('Données projet'!$B$13,Paramètres!$A$1:$I$89,5,0)</f>
        <v>-3.4760887501761321E-13</v>
      </c>
      <c r="CV188" s="14" t="e">
        <f t="shared" si="173"/>
        <v>#NUM!</v>
      </c>
      <c r="CW188" s="22" t="e">
        <f t="shared" si="174"/>
        <v>#NUM!</v>
      </c>
      <c r="CX188" s="60" t="e">
        <f t="shared" si="122"/>
        <v>#NUM!</v>
      </c>
      <c r="CY188" s="60">
        <f ca="1">AVERAGE(OFFSET($CX$3,0,0,'Données projet'!$E$13+1,1))-AVERAGE(OFFSET($H$3,0,0,'Données projet'!$E$13+1,1))</f>
        <v>228.0393346366489</v>
      </c>
      <c r="CZ188" s="60">
        <f t="shared" si="150"/>
        <v>238.591781509447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-9.6633812063373625E-13</v>
      </c>
      <c r="DP188" s="18">
        <f>DO188*VLOOKUP('Données projet'!$B$14,Paramètres!$A$1:$I$89,3,0)*VLOOKUP('Données projet'!$B$14,Paramètres!$A$1:$I$89,5,0)</f>
        <v>-8.7434273154940449E-13</v>
      </c>
      <c r="DQ188" s="14" t="e">
        <f t="shared" si="176"/>
        <v>#NUM!</v>
      </c>
      <c r="DR188" s="22" t="e">
        <f t="shared" si="177"/>
        <v>#NUM!</v>
      </c>
      <c r="DS188" s="60" t="e">
        <f t="shared" si="125"/>
        <v>#NUM!</v>
      </c>
      <c r="DT188" s="60">
        <f ca="1">AVERAGE(OFFSET($DS$3,0,0,'Données projet'!$E$14+1,1))-AVERAGE(OFFSET($H$3,0,0,'Données projet'!$E$14+1,1))</f>
        <v>303.73499739059076</v>
      </c>
      <c r="DU188" s="60">
        <f t="shared" si="152"/>
        <v>172.32171001882188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1.1368683772161603E-13</v>
      </c>
      <c r="EK188" s="18">
        <f>EJ188*VLOOKUP('Données projet'!$B$15,Paramètres!$A$1:$I$89,3,0)*VLOOKUP('Données projet'!$B$15,Paramètres!$A$1:$I$89,5,0)</f>
        <v>6.7984728957526396E-14</v>
      </c>
      <c r="EL188" s="14">
        <f t="shared" si="179"/>
        <v>1.0682447123141398E-12</v>
      </c>
      <c r="EM188" s="22">
        <f t="shared" si="180"/>
        <v>1.978932943548152E-12</v>
      </c>
      <c r="EN188" s="60">
        <f t="shared" si="128"/>
        <v>293.3333333333353</v>
      </c>
      <c r="EO188" s="60">
        <f ca="1">AVERAGE(OFFSET($EN$3,0,0,'Données projet'!$E$15+1,1))-AVERAGE(OFFSET($H$3,0,0,'Données projet'!$E$15+1,1))</f>
        <v>269.94948820700841</v>
      </c>
      <c r="EP188" s="60">
        <f t="shared" si="154"/>
        <v>183.45158355135192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0.18573613903170022</v>
      </c>
      <c r="EX188" s="23">
        <f>EXP(-LN(2)/2)*EX187+(1-EXP(-LN(2)/2))/(LN(2)/2)*ER188*EU188*VLOOKUP('Données projet'!$B$15,Paramètres!$A$1:$I$89,3,0)*0.475*44/12</f>
        <v>2.6381704304198322E-23</v>
      </c>
      <c r="EY188" s="24">
        <f t="shared" si="181"/>
        <v>0.18573613903170022</v>
      </c>
      <c r="EZ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>
        <f>FE188*VLOOKUP('Données projet'!$B$16,Paramètres!$A$1:$I$89,3,0)*VLOOKUP('Données projet'!$B$16,Paramètres!$A$1:$I$89,5,0)</f>
        <v>0</v>
      </c>
      <c r="FG188" s="14" t="e">
        <f t="shared" si="182"/>
        <v>#NUM!</v>
      </c>
      <c r="FH188" s="22" t="e">
        <f t="shared" si="183"/>
        <v>#NUM!</v>
      </c>
      <c r="FI188" s="60" t="e">
        <f t="shared" si="131"/>
        <v>#NUM!</v>
      </c>
      <c r="FJ188" s="60">
        <f ca="1">AVERAGE(OFFSET($FI$3,0,0,'Données projet'!$E$16+1,1))-AVERAGE(OFFSET($H$3,0,0,'Données projet'!$E$16+1,1))</f>
        <v>111.24788725253484</v>
      </c>
      <c r="FK188" s="60">
        <f t="shared" si="156"/>
        <v>82.434879813357327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projet'!$B$16,Paramètres!$A$1:$I$89,3,0)*0.475*44/12</f>
        <v>0</v>
      </c>
      <c r="FR188" s="23">
        <f>EXP(-LN(2)/25)*FR187+(1-EXP(-LN(2)/25))/(LN(2)/25)*Calculateur!FM188*Calculateur!FO188*VLOOKUP('Données projet'!$B$16,Paramètres!$A$1:$I$89,3,0)*0.475*44/12</f>
        <v>0</v>
      </c>
      <c r="FS188" s="23">
        <f>EXP(-LN(2)/2)*FS187+(1-EXP(-LN(2)/2))/(LN(2)/2)*FM188*FP188*VLOOKUP('Données projet'!$B$16,Paramètres!$A$1:$I$89,3,0)*0.475*44/12</f>
        <v>0</v>
      </c>
      <c r="FT188" s="24">
        <f t="shared" si="184"/>
        <v>0</v>
      </c>
      <c r="FU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1.0231815394945443E-12</v>
      </c>
      <c r="GA188" s="18">
        <f>FZ188*VLOOKUP('Données projet'!$B$17,Paramètres!$A$1:$I$89,3,0)*VLOOKUP('Données projet'!$B$17,Paramètres!$A$1:$I$89,5,0)</f>
        <v>4.5224624045658859E-13</v>
      </c>
      <c r="GB188" s="14">
        <f t="shared" si="185"/>
        <v>5.6995607121061449E-12</v>
      </c>
      <c r="GC188" s="22">
        <f t="shared" si="186"/>
        <v>1.0714397109046761E-11</v>
      </c>
      <c r="GD188" s="60">
        <f t="shared" si="134"/>
        <v>293.333333333344</v>
      </c>
      <c r="GE188" s="60">
        <f ca="1">AVERAGE(OFFSET($GD$3,0,0,'Données projet'!$E$17+1,1))-AVERAGE(OFFSET($H$3,0,0,'Données projet'!$E$17+1,1))</f>
        <v>323.56667371063662</v>
      </c>
      <c r="GF188" s="60">
        <f t="shared" si="158"/>
        <v>275.70373467723385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>
        <f>EXP(-LN(2)/35)*GL187+(1-EXP(-LN(2)/35))/(LN(2)/35)*GH188*GI188*VLOOKUP('Données projet'!$B$17,Paramètres!$A$1:$I$89,3,0)*0.475*44/12</f>
        <v>0</v>
      </c>
      <c r="GM188" s="23">
        <f>EXP(-LN(2)/25)*GM187+(1-EXP(-LN(2)/25))/(LN(2)/25)*Calculateur!GH188*Calculateur!GJ188*VLOOKUP('Données projet'!$B$17,Paramètres!$A$1:$I$89,3,0)*0.475*44/12</f>
        <v>0</v>
      </c>
      <c r="GN188" s="23">
        <f>EXP(-LN(2)/2)*GN187+(1-EXP(-LN(2)/2))/(LN(2)/2)*GH188*GK188*VLOOKUP('Données projet'!$B$17,Paramètres!$A$1:$I$89,3,0)*0.475*44/12</f>
        <v>0</v>
      </c>
      <c r="GO188" s="23">
        <f t="shared" si="187"/>
        <v>0</v>
      </c>
      <c r="GP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0" t="e">
        <f t="shared" si="137"/>
        <v>#N/A</v>
      </c>
      <c r="GZ188" s="60" t="e">
        <f ca="1">AVERAGE(OFFSET($GY$3,0,0,'Données projet'!$E$18+1,1))-AVERAGE(OFFSET($H$3,0,0,'Données projet'!$E$18+1,1))</f>
        <v>#N/A</v>
      </c>
      <c r="HA188" s="60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4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2">
        <f t="shared" si="140"/>
        <v>27.332359320697009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-1.1368683772161603E-13</v>
      </c>
      <c r="O189" s="14">
        <f>N189*VLOOKUP('Données projet'!$B$9,Paramètres!$A$1:$I$89,3,0)*VLOOKUP('Données projet'!$B$9,Paramètres!$A$1:$I$89,5,0)</f>
        <v>-6.7984728957526396E-14</v>
      </c>
      <c r="P189" s="14" t="e">
        <f t="shared" si="141"/>
        <v>#NUM!</v>
      </c>
      <c r="Q189" s="22" t="e">
        <f t="shared" si="162"/>
        <v>#NUM!</v>
      </c>
      <c r="R189" s="60" t="e">
        <f t="shared" si="109"/>
        <v>#NUM!</v>
      </c>
      <c r="S189" s="60">
        <f ca="1">AVERAGE(OFFSET($R$3,0,0,'Données projet'!$E$9+1,1))-AVERAGE(OFFSET($H$3,0,0,'Données projet'!$E$9+1,1))</f>
        <v>235.63766249714581</v>
      </c>
      <c r="T189" s="60">
        <f t="shared" si="142"/>
        <v>231.3297293785277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0.52235943478513458</v>
      </c>
      <c r="AA189" s="23">
        <f>EXP(-LN(2)/25)*AA188+(1-EXP(-LN(2)/25))/(LN(2)/25)*Calculateur!V189*Calculateur!X189*VLOOKUP('Données projet'!$B$9,Paramètres!$A$1:$I$89,3,0)*0.475*44/12</f>
        <v>0.22873967736538178</v>
      </c>
      <c r="AB189" s="23">
        <f>EXP(-LN(2)/2)*AB188+(1-EXP(-LN(2)/2))/(LN(2)/2)*V189*Y189*VLOOKUP('Données projet'!$B$9,Paramètres!$A$1:$I$89,3,0)*0.475*44/12</f>
        <v>2.3533063840644808E-23</v>
      </c>
      <c r="AC189" s="24">
        <f t="shared" si="163"/>
        <v>0.75109911215051639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-9.6633812063373625E-13</v>
      </c>
      <c r="AJ189" s="14">
        <f>AI189*VLOOKUP('Données projet'!$B$10,Paramètres!$A$1:$I$89,3,0)*VLOOKUP('Données projet'!$B$10,Paramètres!$A$1:$I$89,5,0)</f>
        <v>-9.7986685432260874E-13</v>
      </c>
      <c r="AK189" s="14" t="e">
        <f t="shared" si="164"/>
        <v>#NUM!</v>
      </c>
      <c r="AL189" s="22" t="e">
        <f t="shared" si="165"/>
        <v>#NUM!</v>
      </c>
      <c r="AM189" s="60" t="e">
        <f t="shared" si="113"/>
        <v>#NUM!</v>
      </c>
      <c r="AN189" s="60">
        <f ca="1">AVERAGE(OFFSET($AM$3,0,0,'Données projet'!$E$10+1,1))-AVERAGE(OFFSET($H$3,0,0,'Données projet'!$E$10+1,1))</f>
        <v>350.3652766444938</v>
      </c>
      <c r="AO189" s="60">
        <f t="shared" si="144"/>
        <v>197.04549436738586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6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-9.6633812063373625E-13</v>
      </c>
      <c r="BE189" s="14">
        <f>BD189*VLOOKUP('Données projet'!$B$11,Paramètres!$A$1:$I$89,3,0)*VLOOKUP('Données projet'!$B$11,Paramètres!$A$1:$I$89,5,0)</f>
        <v>-9.3464223027694966E-13</v>
      </c>
      <c r="BF189" s="14" t="e">
        <f t="shared" si="167"/>
        <v>#NUM!</v>
      </c>
      <c r="BG189" s="22" t="e">
        <f t="shared" si="168"/>
        <v>#NUM!</v>
      </c>
      <c r="BH189" s="60" t="e">
        <f t="shared" si="116"/>
        <v>#NUM!</v>
      </c>
      <c r="BI189" s="60">
        <f ca="1">AVERAGE(OFFSET($BH$3,0,0,'Données projet'!$E$11+1,1))-AVERAGE(OFFSET($H$3,0,0,'Données projet'!$E$11+1,1))</f>
        <v>330.39429528665841</v>
      </c>
      <c r="BJ189" s="60">
        <f t="shared" si="146"/>
        <v>186.45728006007261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1.7053025658242404E-13</v>
      </c>
      <c r="BZ189" s="14">
        <f>BY189*VLOOKUP('Données projet'!$B$12,Paramètres!$A$1:$I$89,3,0)*VLOOKUP('Données projet'!$B$12,Paramètres!$A$1:$I$89,5,0)</f>
        <v>1.1439169611549005E-13</v>
      </c>
      <c r="CA189" s="14">
        <f t="shared" si="170"/>
        <v>1.6918016515029816E-12</v>
      </c>
      <c r="CB189" s="22">
        <f t="shared" si="171"/>
        <v>3.1457867471021712E-12</v>
      </c>
      <c r="CC189" s="60">
        <f t="shared" si="119"/>
        <v>293.33333333333644</v>
      </c>
      <c r="CD189" s="60">
        <f ca="1">AVERAGE(OFFSET($CC$3,0,0,'Données projet'!$E$12+1,1))-AVERAGE(OFFSET($H$3,0,0,'Données projet'!$E$12+1,1))</f>
        <v>212.33913923444732</v>
      </c>
      <c r="CE189" s="60">
        <f t="shared" si="148"/>
        <v>183.51194426094372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-3.979039320256561E-13</v>
      </c>
      <c r="CU189" s="18">
        <f>CT189*VLOOKUP('Données projet'!$B$13,Paramètres!$A$1:$I$89,3,0)*VLOOKUP('Données projet'!$B$13,Paramètres!$A$1:$I$89,5,0)</f>
        <v>-3.4760887501761321E-13</v>
      </c>
      <c r="CV189" s="14" t="e">
        <f t="shared" si="173"/>
        <v>#NUM!</v>
      </c>
      <c r="CW189" s="22" t="e">
        <f t="shared" si="174"/>
        <v>#NUM!</v>
      </c>
      <c r="CX189" s="60" t="e">
        <f t="shared" si="122"/>
        <v>#NUM!</v>
      </c>
      <c r="CY189" s="60">
        <f ca="1">AVERAGE(OFFSET($CX$3,0,0,'Données projet'!$E$13+1,1))-AVERAGE(OFFSET($H$3,0,0,'Données projet'!$E$13+1,1))</f>
        <v>228.0393346366489</v>
      </c>
      <c r="CZ189" s="60">
        <f t="shared" si="150"/>
        <v>238.591781509447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-9.6633812063373625E-13</v>
      </c>
      <c r="DP189" s="18">
        <f>DO189*VLOOKUP('Données projet'!$B$14,Paramètres!$A$1:$I$89,3,0)*VLOOKUP('Données projet'!$B$14,Paramètres!$A$1:$I$89,5,0)</f>
        <v>-8.7434273154940449E-13</v>
      </c>
      <c r="DQ189" s="14" t="e">
        <f t="shared" si="176"/>
        <v>#NUM!</v>
      </c>
      <c r="DR189" s="22" t="e">
        <f t="shared" si="177"/>
        <v>#NUM!</v>
      </c>
      <c r="DS189" s="60" t="e">
        <f t="shared" si="125"/>
        <v>#NUM!</v>
      </c>
      <c r="DT189" s="60">
        <f ca="1">AVERAGE(OFFSET($DS$3,0,0,'Données projet'!$E$14+1,1))-AVERAGE(OFFSET($H$3,0,0,'Données projet'!$E$14+1,1))</f>
        <v>303.73499739059076</v>
      </c>
      <c r="DU189" s="60">
        <f t="shared" si="152"/>
        <v>172.32171001882188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1.1368683772161603E-13</v>
      </c>
      <c r="EK189" s="18">
        <f>EJ189*VLOOKUP('Données projet'!$B$15,Paramètres!$A$1:$I$89,3,0)*VLOOKUP('Données projet'!$B$15,Paramètres!$A$1:$I$89,5,0)</f>
        <v>6.7984728957526396E-14</v>
      </c>
      <c r="EL189" s="14">
        <f t="shared" si="179"/>
        <v>1.0682447123141398E-12</v>
      </c>
      <c r="EM189" s="22">
        <f t="shared" si="180"/>
        <v>1.978932943548152E-12</v>
      </c>
      <c r="EN189" s="60">
        <f t="shared" si="128"/>
        <v>293.3333333333353</v>
      </c>
      <c r="EO189" s="60">
        <f ca="1">AVERAGE(OFFSET($EN$3,0,0,'Données projet'!$E$15+1,1))-AVERAGE(OFFSET($H$3,0,0,'Données projet'!$E$15+1,1))</f>
        <v>269.94948820700841</v>
      </c>
      <c r="EP189" s="60">
        <f t="shared" si="154"/>
        <v>183.45158355135192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0.18065717454243932</v>
      </c>
      <c r="EX189" s="23">
        <f>EXP(-LN(2)/2)*EX188+(1-EXP(-LN(2)/2))/(LN(2)/2)*ER189*EU189*VLOOKUP('Données projet'!$B$15,Paramètres!$A$1:$I$89,3,0)*0.475*44/12</f>
        <v>1.8654682012756964E-23</v>
      </c>
      <c r="EY189" s="24">
        <f t="shared" si="181"/>
        <v>0.18065717454243932</v>
      </c>
      <c r="EZ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>
        <f>FE189*VLOOKUP('Données projet'!$B$16,Paramètres!$A$1:$I$89,3,0)*VLOOKUP('Données projet'!$B$16,Paramètres!$A$1:$I$89,5,0)</f>
        <v>0</v>
      </c>
      <c r="FG189" s="14" t="e">
        <f t="shared" si="182"/>
        <v>#NUM!</v>
      </c>
      <c r="FH189" s="22" t="e">
        <f t="shared" si="183"/>
        <v>#NUM!</v>
      </c>
      <c r="FI189" s="60" t="e">
        <f t="shared" si="131"/>
        <v>#NUM!</v>
      </c>
      <c r="FJ189" s="60">
        <f ca="1">AVERAGE(OFFSET($FI$3,0,0,'Données projet'!$E$16+1,1))-AVERAGE(OFFSET($H$3,0,0,'Données projet'!$E$16+1,1))</f>
        <v>111.24788725253484</v>
      </c>
      <c r="FK189" s="60">
        <f t="shared" si="156"/>
        <v>82.434879813357327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projet'!$B$16,Paramètres!$A$1:$I$89,3,0)*0.475*44/12</f>
        <v>0</v>
      </c>
      <c r="FR189" s="23">
        <f>EXP(-LN(2)/25)*FR188+(1-EXP(-LN(2)/25))/(LN(2)/25)*Calculateur!FM189*Calculateur!FO189*VLOOKUP('Données projet'!$B$16,Paramètres!$A$1:$I$89,3,0)*0.475*44/12</f>
        <v>0</v>
      </c>
      <c r="FS189" s="23">
        <f>EXP(-LN(2)/2)*FS188+(1-EXP(-LN(2)/2))/(LN(2)/2)*FM189*FP189*VLOOKUP('Données projet'!$B$16,Paramètres!$A$1:$I$89,3,0)*0.475*44/12</f>
        <v>0</v>
      </c>
      <c r="FT189" s="24">
        <f t="shared" si="184"/>
        <v>0</v>
      </c>
      <c r="FU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1.0231815394945443E-12</v>
      </c>
      <c r="GA189" s="18">
        <f>FZ189*VLOOKUP('Données projet'!$B$17,Paramètres!$A$1:$I$89,3,0)*VLOOKUP('Données projet'!$B$17,Paramètres!$A$1:$I$89,5,0)</f>
        <v>4.5224624045658859E-13</v>
      </c>
      <c r="GB189" s="14">
        <f t="shared" si="185"/>
        <v>5.6995607121061449E-12</v>
      </c>
      <c r="GC189" s="22">
        <f t="shared" si="186"/>
        <v>1.0714397109046761E-11</v>
      </c>
      <c r="GD189" s="60">
        <f t="shared" si="134"/>
        <v>293.333333333344</v>
      </c>
      <c r="GE189" s="60">
        <f ca="1">AVERAGE(OFFSET($GD$3,0,0,'Données projet'!$E$17+1,1))-AVERAGE(OFFSET($H$3,0,0,'Données projet'!$E$17+1,1))</f>
        <v>323.56667371063662</v>
      </c>
      <c r="GF189" s="60">
        <f t="shared" si="158"/>
        <v>275.70373467723385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>
        <f>EXP(-LN(2)/35)*GL188+(1-EXP(-LN(2)/35))/(LN(2)/35)*GH189*GI189*VLOOKUP('Données projet'!$B$17,Paramètres!$A$1:$I$89,3,0)*0.475*44/12</f>
        <v>0</v>
      </c>
      <c r="GM189" s="23">
        <f>EXP(-LN(2)/25)*GM188+(1-EXP(-LN(2)/25))/(LN(2)/25)*Calculateur!GH189*Calculateur!GJ189*VLOOKUP('Données projet'!$B$17,Paramètres!$A$1:$I$89,3,0)*0.475*44/12</f>
        <v>0</v>
      </c>
      <c r="GN189" s="23">
        <f>EXP(-LN(2)/2)*GN188+(1-EXP(-LN(2)/2))/(LN(2)/2)*GH189*GK189*VLOOKUP('Données projet'!$B$17,Paramètres!$A$1:$I$89,3,0)*0.475*44/12</f>
        <v>0</v>
      </c>
      <c r="GO189" s="23">
        <f t="shared" si="187"/>
        <v>0</v>
      </c>
      <c r="GP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0" t="e">
        <f t="shared" si="137"/>
        <v>#N/A</v>
      </c>
      <c r="GZ189" s="60" t="e">
        <f ca="1">AVERAGE(OFFSET($GY$3,0,0,'Données projet'!$E$18+1,1))-AVERAGE(OFFSET($H$3,0,0,'Données projet'!$E$18+1,1))</f>
        <v>#N/A</v>
      </c>
      <c r="HA189" s="60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4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2">
        <f t="shared" si="140"/>
        <v>27.462162174923463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-1.1368683772161603E-13</v>
      </c>
      <c r="O190" s="14">
        <f>N190*VLOOKUP('Données projet'!$B$9,Paramètres!$A$1:$I$89,3,0)*VLOOKUP('Données projet'!$B$9,Paramètres!$A$1:$I$89,5,0)</f>
        <v>-6.7984728957526396E-14</v>
      </c>
      <c r="P190" s="14" t="e">
        <f t="shared" si="141"/>
        <v>#NUM!</v>
      </c>
      <c r="Q190" s="22" t="e">
        <f t="shared" si="162"/>
        <v>#NUM!</v>
      </c>
      <c r="R190" s="60" t="e">
        <f t="shared" si="109"/>
        <v>#NUM!</v>
      </c>
      <c r="S190" s="60">
        <f ca="1">AVERAGE(OFFSET($R$3,0,0,'Données projet'!$E$9+1,1))-AVERAGE(OFFSET($H$3,0,0,'Données projet'!$E$9+1,1))</f>
        <v>235.63766249714581</v>
      </c>
      <c r="T190" s="60">
        <f t="shared" si="142"/>
        <v>231.3297293785277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0.51211628487679339</v>
      </c>
      <c r="AA190" s="23">
        <f>EXP(-LN(2)/25)*AA189+(1-EXP(-LN(2)/25))/(LN(2)/25)*Calculateur!V190*Calculateur!X190*VLOOKUP('Données projet'!$B$9,Paramètres!$A$1:$I$89,3,0)*0.475*44/12</f>
        <v>0.22248477885892859</v>
      </c>
      <c r="AB190" s="23">
        <f>EXP(-LN(2)/2)*AB189+(1-EXP(-LN(2)/2))/(LN(2)/2)*V190*Y190*VLOOKUP('Données projet'!$B$9,Paramètres!$A$1:$I$89,3,0)*0.475*44/12</f>
        <v>1.6640389023815882E-23</v>
      </c>
      <c r="AC190" s="24">
        <f t="shared" si="163"/>
        <v>0.73460106373572198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-9.6633812063373625E-13</v>
      </c>
      <c r="AJ190" s="14">
        <f>AI190*VLOOKUP('Données projet'!$B$10,Paramètres!$A$1:$I$89,3,0)*VLOOKUP('Données projet'!$B$10,Paramètres!$A$1:$I$89,5,0)</f>
        <v>-9.7986685432260874E-13</v>
      </c>
      <c r="AK190" s="14" t="e">
        <f t="shared" si="164"/>
        <v>#NUM!</v>
      </c>
      <c r="AL190" s="22" t="e">
        <f t="shared" si="165"/>
        <v>#NUM!</v>
      </c>
      <c r="AM190" s="60" t="e">
        <f t="shared" si="113"/>
        <v>#NUM!</v>
      </c>
      <c r="AN190" s="60">
        <f ca="1">AVERAGE(OFFSET($AM$3,0,0,'Données projet'!$E$10+1,1))-AVERAGE(OFFSET($H$3,0,0,'Données projet'!$E$10+1,1))</f>
        <v>350.3652766444938</v>
      </c>
      <c r="AO190" s="60">
        <f t="shared" si="144"/>
        <v>197.04549436738586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6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-9.6633812063373625E-13</v>
      </c>
      <c r="BE190" s="14">
        <f>BD190*VLOOKUP('Données projet'!$B$11,Paramètres!$A$1:$I$89,3,0)*VLOOKUP('Données projet'!$B$11,Paramètres!$A$1:$I$89,5,0)</f>
        <v>-9.3464223027694966E-13</v>
      </c>
      <c r="BF190" s="14" t="e">
        <f t="shared" si="167"/>
        <v>#NUM!</v>
      </c>
      <c r="BG190" s="22" t="e">
        <f t="shared" si="168"/>
        <v>#NUM!</v>
      </c>
      <c r="BH190" s="60" t="e">
        <f t="shared" si="116"/>
        <v>#NUM!</v>
      </c>
      <c r="BI190" s="60">
        <f ca="1">AVERAGE(OFFSET($BH$3,0,0,'Données projet'!$E$11+1,1))-AVERAGE(OFFSET($H$3,0,0,'Données projet'!$E$11+1,1))</f>
        <v>330.39429528665841</v>
      </c>
      <c r="BJ190" s="60">
        <f t="shared" si="146"/>
        <v>186.45728006007261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1.7053025658242404E-13</v>
      </c>
      <c r="BZ190" s="14">
        <f>BY190*VLOOKUP('Données projet'!$B$12,Paramètres!$A$1:$I$89,3,0)*VLOOKUP('Données projet'!$B$12,Paramètres!$A$1:$I$89,5,0)</f>
        <v>1.1439169611549005E-13</v>
      </c>
      <c r="CA190" s="14">
        <f t="shared" si="170"/>
        <v>1.6918016515029816E-12</v>
      </c>
      <c r="CB190" s="22">
        <f t="shared" si="171"/>
        <v>3.1457867471021712E-12</v>
      </c>
      <c r="CC190" s="60">
        <f t="shared" si="119"/>
        <v>293.33333333333644</v>
      </c>
      <c r="CD190" s="60">
        <f ca="1">AVERAGE(OFFSET($CC$3,0,0,'Données projet'!$E$12+1,1))-AVERAGE(OFFSET($H$3,0,0,'Données projet'!$E$12+1,1))</f>
        <v>212.33913923444732</v>
      </c>
      <c r="CE190" s="60">
        <f t="shared" si="148"/>
        <v>183.51194426094372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-3.979039320256561E-13</v>
      </c>
      <c r="CU190" s="18">
        <f>CT190*VLOOKUP('Données projet'!$B$13,Paramètres!$A$1:$I$89,3,0)*VLOOKUP('Données projet'!$B$13,Paramètres!$A$1:$I$89,5,0)</f>
        <v>-3.4760887501761321E-13</v>
      </c>
      <c r="CV190" s="14" t="e">
        <f t="shared" si="173"/>
        <v>#NUM!</v>
      </c>
      <c r="CW190" s="22" t="e">
        <f t="shared" si="174"/>
        <v>#NUM!</v>
      </c>
      <c r="CX190" s="60" t="e">
        <f t="shared" si="122"/>
        <v>#NUM!</v>
      </c>
      <c r="CY190" s="60">
        <f ca="1">AVERAGE(OFFSET($CX$3,0,0,'Données projet'!$E$13+1,1))-AVERAGE(OFFSET($H$3,0,0,'Données projet'!$E$13+1,1))</f>
        <v>228.0393346366489</v>
      </c>
      <c r="CZ190" s="60">
        <f t="shared" si="150"/>
        <v>238.591781509447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-9.6633812063373625E-13</v>
      </c>
      <c r="DP190" s="18">
        <f>DO190*VLOOKUP('Données projet'!$B$14,Paramètres!$A$1:$I$89,3,0)*VLOOKUP('Données projet'!$B$14,Paramètres!$A$1:$I$89,5,0)</f>
        <v>-8.7434273154940449E-13</v>
      </c>
      <c r="DQ190" s="14" t="e">
        <f t="shared" si="176"/>
        <v>#NUM!</v>
      </c>
      <c r="DR190" s="22" t="e">
        <f t="shared" si="177"/>
        <v>#NUM!</v>
      </c>
      <c r="DS190" s="60" t="e">
        <f t="shared" si="125"/>
        <v>#NUM!</v>
      </c>
      <c r="DT190" s="60">
        <f ca="1">AVERAGE(OFFSET($DS$3,0,0,'Données projet'!$E$14+1,1))-AVERAGE(OFFSET($H$3,0,0,'Données projet'!$E$14+1,1))</f>
        <v>303.73499739059076</v>
      </c>
      <c r="DU190" s="60">
        <f t="shared" si="152"/>
        <v>172.32171001882188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1.1368683772161603E-13</v>
      </c>
      <c r="EK190" s="18">
        <f>EJ190*VLOOKUP('Données projet'!$B$15,Paramètres!$A$1:$I$89,3,0)*VLOOKUP('Données projet'!$B$15,Paramètres!$A$1:$I$89,5,0)</f>
        <v>6.7984728957526396E-14</v>
      </c>
      <c r="EL190" s="14">
        <f t="shared" si="179"/>
        <v>1.0682447123141398E-12</v>
      </c>
      <c r="EM190" s="22">
        <f t="shared" si="180"/>
        <v>1.978932943548152E-12</v>
      </c>
      <c r="EN190" s="60">
        <f t="shared" si="128"/>
        <v>293.3333333333353</v>
      </c>
      <c r="EO190" s="60">
        <f ca="1">AVERAGE(OFFSET($EN$3,0,0,'Données projet'!$E$15+1,1))-AVERAGE(OFFSET($H$3,0,0,'Données projet'!$E$15+1,1))</f>
        <v>269.94948820700841</v>
      </c>
      <c r="EP190" s="60">
        <f t="shared" si="154"/>
        <v>183.45158355135192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0.17571709460422841</v>
      </c>
      <c r="EX190" s="23">
        <f>EXP(-LN(2)/2)*EX189+(1-EXP(-LN(2)/2))/(LN(2)/2)*ER190*EU190*VLOOKUP('Données projet'!$B$15,Paramètres!$A$1:$I$89,3,0)*0.475*44/12</f>
        <v>1.3190852152099163E-23</v>
      </c>
      <c r="EY190" s="24">
        <f t="shared" si="181"/>
        <v>0.17571709460422841</v>
      </c>
      <c r="EZ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>
        <f>FE190*VLOOKUP('Données projet'!$B$16,Paramètres!$A$1:$I$89,3,0)*VLOOKUP('Données projet'!$B$16,Paramètres!$A$1:$I$89,5,0)</f>
        <v>0</v>
      </c>
      <c r="FG190" s="14" t="e">
        <f t="shared" si="182"/>
        <v>#NUM!</v>
      </c>
      <c r="FH190" s="22" t="e">
        <f t="shared" si="183"/>
        <v>#NUM!</v>
      </c>
      <c r="FI190" s="60" t="e">
        <f t="shared" si="131"/>
        <v>#NUM!</v>
      </c>
      <c r="FJ190" s="60">
        <f ca="1">AVERAGE(OFFSET($FI$3,0,0,'Données projet'!$E$16+1,1))-AVERAGE(OFFSET($H$3,0,0,'Données projet'!$E$16+1,1))</f>
        <v>111.24788725253484</v>
      </c>
      <c r="FK190" s="60">
        <f t="shared" si="156"/>
        <v>82.434879813357327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projet'!$B$16,Paramètres!$A$1:$I$89,3,0)*0.475*44/12</f>
        <v>0</v>
      </c>
      <c r="FR190" s="23">
        <f>EXP(-LN(2)/25)*FR189+(1-EXP(-LN(2)/25))/(LN(2)/25)*Calculateur!FM190*Calculateur!FO190*VLOOKUP('Données projet'!$B$16,Paramètres!$A$1:$I$89,3,0)*0.475*44/12</f>
        <v>0</v>
      </c>
      <c r="FS190" s="23">
        <f>EXP(-LN(2)/2)*FS189+(1-EXP(-LN(2)/2))/(LN(2)/2)*FM190*FP190*VLOOKUP('Données projet'!$B$16,Paramètres!$A$1:$I$89,3,0)*0.475*44/12</f>
        <v>0</v>
      </c>
      <c r="FT190" s="24">
        <f t="shared" si="184"/>
        <v>0</v>
      </c>
      <c r="FU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1.0231815394945443E-12</v>
      </c>
      <c r="GA190" s="18">
        <f>FZ190*VLOOKUP('Données projet'!$B$17,Paramètres!$A$1:$I$89,3,0)*VLOOKUP('Données projet'!$B$17,Paramètres!$A$1:$I$89,5,0)</f>
        <v>4.5224624045658859E-13</v>
      </c>
      <c r="GB190" s="14">
        <f t="shared" si="185"/>
        <v>5.6995607121061449E-12</v>
      </c>
      <c r="GC190" s="22">
        <f t="shared" si="186"/>
        <v>1.0714397109046761E-11</v>
      </c>
      <c r="GD190" s="60">
        <f t="shared" si="134"/>
        <v>293.333333333344</v>
      </c>
      <c r="GE190" s="60">
        <f ca="1">AVERAGE(OFFSET($GD$3,0,0,'Données projet'!$E$17+1,1))-AVERAGE(OFFSET($H$3,0,0,'Données projet'!$E$17+1,1))</f>
        <v>323.56667371063662</v>
      </c>
      <c r="GF190" s="60">
        <f t="shared" si="158"/>
        <v>275.70373467723385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>
        <f>EXP(-LN(2)/35)*GL189+(1-EXP(-LN(2)/35))/(LN(2)/35)*GH190*GI190*VLOOKUP('Données projet'!$B$17,Paramètres!$A$1:$I$89,3,0)*0.475*44/12</f>
        <v>0</v>
      </c>
      <c r="GM190" s="23">
        <f>EXP(-LN(2)/25)*GM189+(1-EXP(-LN(2)/25))/(LN(2)/25)*Calculateur!GH190*Calculateur!GJ190*VLOOKUP('Données projet'!$B$17,Paramètres!$A$1:$I$89,3,0)*0.475*44/12</f>
        <v>0</v>
      </c>
      <c r="GN190" s="23">
        <f>EXP(-LN(2)/2)*GN189+(1-EXP(-LN(2)/2))/(LN(2)/2)*GH190*GK190*VLOOKUP('Données projet'!$B$17,Paramètres!$A$1:$I$89,3,0)*0.475*44/12</f>
        <v>0</v>
      </c>
      <c r="GO190" s="23">
        <f t="shared" si="187"/>
        <v>0</v>
      </c>
      <c r="GP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0" t="e">
        <f t="shared" si="137"/>
        <v>#N/A</v>
      </c>
      <c r="GZ190" s="60" t="e">
        <f ca="1">AVERAGE(OFFSET($GY$3,0,0,'Données projet'!$E$18+1,1))-AVERAGE(OFFSET($H$3,0,0,'Données projet'!$E$18+1,1))</f>
        <v>#N/A</v>
      </c>
      <c r="HA190" s="60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4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2">
        <f t="shared" si="140"/>
        <v>27.591884256813145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-1.1368683772161603E-13</v>
      </c>
      <c r="O191" s="14">
        <f>N191*VLOOKUP('Données projet'!$B$9,Paramètres!$A$1:$I$89,3,0)*VLOOKUP('Données projet'!$B$9,Paramètres!$A$1:$I$89,5,0)</f>
        <v>-6.7984728957526396E-14</v>
      </c>
      <c r="P191" s="14" t="e">
        <f t="shared" si="141"/>
        <v>#NUM!</v>
      </c>
      <c r="Q191" s="22" t="e">
        <f t="shared" si="162"/>
        <v>#NUM!</v>
      </c>
      <c r="R191" s="60" t="e">
        <f t="shared" si="109"/>
        <v>#NUM!</v>
      </c>
      <c r="S191" s="60">
        <f ca="1">AVERAGE(OFFSET($R$3,0,0,'Données projet'!$E$9+1,1))-AVERAGE(OFFSET($H$3,0,0,'Données projet'!$E$9+1,1))</f>
        <v>235.63766249714581</v>
      </c>
      <c r="T191" s="60">
        <f t="shared" si="142"/>
        <v>231.3297293785277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0.50207399689045029</v>
      </c>
      <c r="AA191" s="23">
        <f>EXP(-LN(2)/25)*AA190+(1-EXP(-LN(2)/25))/(LN(2)/25)*Calculateur!V191*Calculateur!X191*VLOOKUP('Données projet'!$B$9,Paramètres!$A$1:$I$89,3,0)*0.475*44/12</f>
        <v>0.21640092088106516</v>
      </c>
      <c r="AB191" s="23">
        <f>EXP(-LN(2)/2)*AB190+(1-EXP(-LN(2)/2))/(LN(2)/2)*V191*Y191*VLOOKUP('Données projet'!$B$9,Paramètres!$A$1:$I$89,3,0)*0.475*44/12</f>
        <v>1.1766531920322404E-23</v>
      </c>
      <c r="AC191" s="24">
        <f t="shared" si="163"/>
        <v>0.71847491777151551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-9.6633812063373625E-13</v>
      </c>
      <c r="AJ191" s="14">
        <f>AI191*VLOOKUP('Données projet'!$B$10,Paramètres!$A$1:$I$89,3,0)*VLOOKUP('Données projet'!$B$10,Paramètres!$A$1:$I$89,5,0)</f>
        <v>-9.7986685432260874E-13</v>
      </c>
      <c r="AK191" s="14" t="e">
        <f t="shared" si="164"/>
        <v>#NUM!</v>
      </c>
      <c r="AL191" s="22" t="e">
        <f t="shared" si="165"/>
        <v>#NUM!</v>
      </c>
      <c r="AM191" s="60" t="e">
        <f t="shared" si="113"/>
        <v>#NUM!</v>
      </c>
      <c r="AN191" s="60">
        <f ca="1">AVERAGE(OFFSET($AM$3,0,0,'Données projet'!$E$10+1,1))-AVERAGE(OFFSET($H$3,0,0,'Données projet'!$E$10+1,1))</f>
        <v>350.3652766444938</v>
      </c>
      <c r="AO191" s="60">
        <f t="shared" si="144"/>
        <v>197.04549436738586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6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-9.6633812063373625E-13</v>
      </c>
      <c r="BE191" s="14">
        <f>BD191*VLOOKUP('Données projet'!$B$11,Paramètres!$A$1:$I$89,3,0)*VLOOKUP('Données projet'!$B$11,Paramètres!$A$1:$I$89,5,0)</f>
        <v>-9.3464223027694966E-13</v>
      </c>
      <c r="BF191" s="14" t="e">
        <f t="shared" si="167"/>
        <v>#NUM!</v>
      </c>
      <c r="BG191" s="22" t="e">
        <f t="shared" si="168"/>
        <v>#NUM!</v>
      </c>
      <c r="BH191" s="60" t="e">
        <f t="shared" si="116"/>
        <v>#NUM!</v>
      </c>
      <c r="BI191" s="60">
        <f ca="1">AVERAGE(OFFSET($BH$3,0,0,'Données projet'!$E$11+1,1))-AVERAGE(OFFSET($H$3,0,0,'Données projet'!$E$11+1,1))</f>
        <v>330.39429528665841</v>
      </c>
      <c r="BJ191" s="60">
        <f t="shared" si="146"/>
        <v>186.45728006007261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1.7053025658242404E-13</v>
      </c>
      <c r="BZ191" s="14">
        <f>BY191*VLOOKUP('Données projet'!$B$12,Paramètres!$A$1:$I$89,3,0)*VLOOKUP('Données projet'!$B$12,Paramètres!$A$1:$I$89,5,0)</f>
        <v>1.1439169611549005E-13</v>
      </c>
      <c r="CA191" s="14">
        <f t="shared" si="170"/>
        <v>1.6918016515029816E-12</v>
      </c>
      <c r="CB191" s="22">
        <f t="shared" si="171"/>
        <v>3.1457867471021712E-12</v>
      </c>
      <c r="CC191" s="60">
        <f t="shared" si="119"/>
        <v>293.33333333333644</v>
      </c>
      <c r="CD191" s="60">
        <f ca="1">AVERAGE(OFFSET($CC$3,0,0,'Données projet'!$E$12+1,1))-AVERAGE(OFFSET($H$3,0,0,'Données projet'!$E$12+1,1))</f>
        <v>212.33913923444732</v>
      </c>
      <c r="CE191" s="60">
        <f t="shared" si="148"/>
        <v>183.51194426094372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-3.979039320256561E-13</v>
      </c>
      <c r="CU191" s="18">
        <f>CT191*VLOOKUP('Données projet'!$B$13,Paramètres!$A$1:$I$89,3,0)*VLOOKUP('Données projet'!$B$13,Paramètres!$A$1:$I$89,5,0)</f>
        <v>-3.4760887501761321E-13</v>
      </c>
      <c r="CV191" s="14" t="e">
        <f t="shared" si="173"/>
        <v>#NUM!</v>
      </c>
      <c r="CW191" s="22" t="e">
        <f t="shared" si="174"/>
        <v>#NUM!</v>
      </c>
      <c r="CX191" s="60" t="e">
        <f t="shared" si="122"/>
        <v>#NUM!</v>
      </c>
      <c r="CY191" s="60">
        <f ca="1">AVERAGE(OFFSET($CX$3,0,0,'Données projet'!$E$13+1,1))-AVERAGE(OFFSET($H$3,0,0,'Données projet'!$E$13+1,1))</f>
        <v>228.0393346366489</v>
      </c>
      <c r="CZ191" s="60">
        <f t="shared" si="150"/>
        <v>238.591781509447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-9.6633812063373625E-13</v>
      </c>
      <c r="DP191" s="18">
        <f>DO191*VLOOKUP('Données projet'!$B$14,Paramètres!$A$1:$I$89,3,0)*VLOOKUP('Données projet'!$B$14,Paramètres!$A$1:$I$89,5,0)</f>
        <v>-8.7434273154940449E-13</v>
      </c>
      <c r="DQ191" s="14" t="e">
        <f t="shared" si="176"/>
        <v>#NUM!</v>
      </c>
      <c r="DR191" s="22" t="e">
        <f t="shared" si="177"/>
        <v>#NUM!</v>
      </c>
      <c r="DS191" s="60" t="e">
        <f t="shared" si="125"/>
        <v>#NUM!</v>
      </c>
      <c r="DT191" s="60">
        <f ca="1">AVERAGE(OFFSET($DS$3,0,0,'Données projet'!$E$14+1,1))-AVERAGE(OFFSET($H$3,0,0,'Données projet'!$E$14+1,1))</f>
        <v>303.73499739059076</v>
      </c>
      <c r="DU191" s="60">
        <f t="shared" si="152"/>
        <v>172.32171001882188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1.1368683772161603E-13</v>
      </c>
      <c r="EK191" s="18">
        <f>EJ191*VLOOKUP('Données projet'!$B$15,Paramètres!$A$1:$I$89,3,0)*VLOOKUP('Données projet'!$B$15,Paramètres!$A$1:$I$89,5,0)</f>
        <v>6.7984728957526396E-14</v>
      </c>
      <c r="EL191" s="14">
        <f t="shared" si="179"/>
        <v>1.0682447123141398E-12</v>
      </c>
      <c r="EM191" s="22">
        <f t="shared" si="180"/>
        <v>1.978932943548152E-12</v>
      </c>
      <c r="EN191" s="60">
        <f t="shared" si="128"/>
        <v>293.3333333333353</v>
      </c>
      <c r="EO191" s="60">
        <f ca="1">AVERAGE(OFFSET($EN$3,0,0,'Données projet'!$E$15+1,1))-AVERAGE(OFFSET($H$3,0,0,'Données projet'!$E$15+1,1))</f>
        <v>269.94948820700841</v>
      </c>
      <c r="EP191" s="60">
        <f t="shared" si="154"/>
        <v>183.45158355135192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0.17091210141171539</v>
      </c>
      <c r="EX191" s="23">
        <f>EXP(-LN(2)/2)*EX190+(1-EXP(-LN(2)/2))/(LN(2)/2)*ER191*EU191*VLOOKUP('Données projet'!$B$15,Paramètres!$A$1:$I$89,3,0)*0.475*44/12</f>
        <v>9.3273410063784833E-24</v>
      </c>
      <c r="EY191" s="24">
        <f t="shared" si="181"/>
        <v>0.17091210141171539</v>
      </c>
      <c r="EZ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>
        <f>FE191*VLOOKUP('Données projet'!$B$16,Paramètres!$A$1:$I$89,3,0)*VLOOKUP('Données projet'!$B$16,Paramètres!$A$1:$I$89,5,0)</f>
        <v>0</v>
      </c>
      <c r="FG191" s="14" t="e">
        <f t="shared" si="182"/>
        <v>#NUM!</v>
      </c>
      <c r="FH191" s="22" t="e">
        <f t="shared" si="183"/>
        <v>#NUM!</v>
      </c>
      <c r="FI191" s="60" t="e">
        <f t="shared" si="131"/>
        <v>#NUM!</v>
      </c>
      <c r="FJ191" s="60">
        <f ca="1">AVERAGE(OFFSET($FI$3,0,0,'Données projet'!$E$16+1,1))-AVERAGE(OFFSET($H$3,0,0,'Données projet'!$E$16+1,1))</f>
        <v>111.24788725253484</v>
      </c>
      <c r="FK191" s="60">
        <f t="shared" si="156"/>
        <v>82.434879813357327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projet'!$B$16,Paramètres!$A$1:$I$89,3,0)*0.475*44/12</f>
        <v>0</v>
      </c>
      <c r="FR191" s="23">
        <f>EXP(-LN(2)/25)*FR190+(1-EXP(-LN(2)/25))/(LN(2)/25)*Calculateur!FM191*Calculateur!FO191*VLOOKUP('Données projet'!$B$16,Paramètres!$A$1:$I$89,3,0)*0.475*44/12</f>
        <v>0</v>
      </c>
      <c r="FS191" s="23">
        <f>EXP(-LN(2)/2)*FS190+(1-EXP(-LN(2)/2))/(LN(2)/2)*FM191*FP191*VLOOKUP('Données projet'!$B$16,Paramètres!$A$1:$I$89,3,0)*0.475*44/12</f>
        <v>0</v>
      </c>
      <c r="FT191" s="24">
        <f t="shared" si="184"/>
        <v>0</v>
      </c>
      <c r="FU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1.0231815394945443E-12</v>
      </c>
      <c r="GA191" s="18">
        <f>FZ191*VLOOKUP('Données projet'!$B$17,Paramètres!$A$1:$I$89,3,0)*VLOOKUP('Données projet'!$B$17,Paramètres!$A$1:$I$89,5,0)</f>
        <v>4.5224624045658859E-13</v>
      </c>
      <c r="GB191" s="14">
        <f t="shared" si="185"/>
        <v>5.6995607121061449E-12</v>
      </c>
      <c r="GC191" s="22">
        <f t="shared" si="186"/>
        <v>1.0714397109046761E-11</v>
      </c>
      <c r="GD191" s="60">
        <f t="shared" si="134"/>
        <v>293.333333333344</v>
      </c>
      <c r="GE191" s="60">
        <f ca="1">AVERAGE(OFFSET($GD$3,0,0,'Données projet'!$E$17+1,1))-AVERAGE(OFFSET($H$3,0,0,'Données projet'!$E$17+1,1))</f>
        <v>323.56667371063662</v>
      </c>
      <c r="GF191" s="60">
        <f t="shared" si="158"/>
        <v>275.70373467723385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>
        <f>EXP(-LN(2)/35)*GL190+(1-EXP(-LN(2)/35))/(LN(2)/35)*GH191*GI191*VLOOKUP('Données projet'!$B$17,Paramètres!$A$1:$I$89,3,0)*0.475*44/12</f>
        <v>0</v>
      </c>
      <c r="GM191" s="23">
        <f>EXP(-LN(2)/25)*GM190+(1-EXP(-LN(2)/25))/(LN(2)/25)*Calculateur!GH191*Calculateur!GJ191*VLOOKUP('Données projet'!$B$17,Paramètres!$A$1:$I$89,3,0)*0.475*44/12</f>
        <v>0</v>
      </c>
      <c r="GN191" s="23">
        <f>EXP(-LN(2)/2)*GN190+(1-EXP(-LN(2)/2))/(LN(2)/2)*GH191*GK191*VLOOKUP('Données projet'!$B$17,Paramètres!$A$1:$I$89,3,0)*0.475*44/12</f>
        <v>0</v>
      </c>
      <c r="GO191" s="23">
        <f t="shared" si="187"/>
        <v>0</v>
      </c>
      <c r="GP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0" t="e">
        <f t="shared" si="137"/>
        <v>#N/A</v>
      </c>
      <c r="GZ191" s="60" t="e">
        <f ca="1">AVERAGE(OFFSET($GY$3,0,0,'Données projet'!$E$18+1,1))-AVERAGE(OFFSET($H$3,0,0,'Données projet'!$E$18+1,1))</f>
        <v>#N/A</v>
      </c>
      <c r="HA191" s="60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4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2">
        <f t="shared" si="140"/>
        <v>27.721526045872363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-1.1368683772161603E-13</v>
      </c>
      <c r="O192" s="14">
        <f>N192*VLOOKUP('Données projet'!$B$9,Paramètres!$A$1:$I$89,3,0)*VLOOKUP('Données projet'!$B$9,Paramètres!$A$1:$I$89,5,0)</f>
        <v>-6.7984728957526396E-14</v>
      </c>
      <c r="P192" s="14" t="e">
        <f t="shared" si="141"/>
        <v>#NUM!</v>
      </c>
      <c r="Q192" s="22" t="e">
        <f t="shared" si="162"/>
        <v>#NUM!</v>
      </c>
      <c r="R192" s="60" t="e">
        <f t="shared" si="109"/>
        <v>#NUM!</v>
      </c>
      <c r="S192" s="60">
        <f ca="1">AVERAGE(OFFSET($R$3,0,0,'Données projet'!$E$9+1,1))-AVERAGE(OFFSET($H$3,0,0,'Données projet'!$E$9+1,1))</f>
        <v>235.63766249714581</v>
      </c>
      <c r="T192" s="60">
        <f t="shared" si="142"/>
        <v>231.3297293785277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0.4922286320463285</v>
      </c>
      <c r="AA192" s="23">
        <f>EXP(-LN(2)/25)*AA191+(1-EXP(-LN(2)/25))/(LN(2)/25)*Calculateur!V192*Calculateur!X192*VLOOKUP('Données projet'!$B$9,Paramètres!$A$1:$I$89,3,0)*0.475*44/12</f>
        <v>0.21048342631954259</v>
      </c>
      <c r="AB192" s="23">
        <f>EXP(-LN(2)/2)*AB191+(1-EXP(-LN(2)/2))/(LN(2)/2)*V192*Y192*VLOOKUP('Données projet'!$B$9,Paramètres!$A$1:$I$89,3,0)*0.475*44/12</f>
        <v>8.320194511907941E-24</v>
      </c>
      <c r="AC192" s="24">
        <f t="shared" si="163"/>
        <v>0.70271205836587103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-9.6633812063373625E-13</v>
      </c>
      <c r="AJ192" s="14">
        <f>AI192*VLOOKUP('Données projet'!$B$10,Paramètres!$A$1:$I$89,3,0)*VLOOKUP('Données projet'!$B$10,Paramètres!$A$1:$I$89,5,0)</f>
        <v>-9.7986685432260874E-13</v>
      </c>
      <c r="AK192" s="14" t="e">
        <f t="shared" si="164"/>
        <v>#NUM!</v>
      </c>
      <c r="AL192" s="22" t="e">
        <f t="shared" si="165"/>
        <v>#NUM!</v>
      </c>
      <c r="AM192" s="60" t="e">
        <f t="shared" si="113"/>
        <v>#NUM!</v>
      </c>
      <c r="AN192" s="60">
        <f ca="1">AVERAGE(OFFSET($AM$3,0,0,'Données projet'!$E$10+1,1))-AVERAGE(OFFSET($H$3,0,0,'Données projet'!$E$10+1,1))</f>
        <v>350.3652766444938</v>
      </c>
      <c r="AO192" s="60">
        <f t="shared" si="144"/>
        <v>197.04549436738586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6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-9.6633812063373625E-13</v>
      </c>
      <c r="BE192" s="14">
        <f>BD192*VLOOKUP('Données projet'!$B$11,Paramètres!$A$1:$I$89,3,0)*VLOOKUP('Données projet'!$B$11,Paramètres!$A$1:$I$89,5,0)</f>
        <v>-9.3464223027694966E-13</v>
      </c>
      <c r="BF192" s="14" t="e">
        <f t="shared" si="167"/>
        <v>#NUM!</v>
      </c>
      <c r="BG192" s="22" t="e">
        <f t="shared" si="168"/>
        <v>#NUM!</v>
      </c>
      <c r="BH192" s="60" t="e">
        <f t="shared" si="116"/>
        <v>#NUM!</v>
      </c>
      <c r="BI192" s="60">
        <f ca="1">AVERAGE(OFFSET($BH$3,0,0,'Données projet'!$E$11+1,1))-AVERAGE(OFFSET($H$3,0,0,'Données projet'!$E$11+1,1))</f>
        <v>330.39429528665841</v>
      </c>
      <c r="BJ192" s="60">
        <f t="shared" si="146"/>
        <v>186.45728006007261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1.7053025658242404E-13</v>
      </c>
      <c r="BZ192" s="14">
        <f>BY192*VLOOKUP('Données projet'!$B$12,Paramètres!$A$1:$I$89,3,0)*VLOOKUP('Données projet'!$B$12,Paramètres!$A$1:$I$89,5,0)</f>
        <v>1.1439169611549005E-13</v>
      </c>
      <c r="CA192" s="14">
        <f t="shared" si="170"/>
        <v>1.6918016515029816E-12</v>
      </c>
      <c r="CB192" s="22">
        <f t="shared" si="171"/>
        <v>3.1457867471021712E-12</v>
      </c>
      <c r="CC192" s="60">
        <f t="shared" si="119"/>
        <v>293.33333333333644</v>
      </c>
      <c r="CD192" s="60">
        <f ca="1">AVERAGE(OFFSET($CC$3,0,0,'Données projet'!$E$12+1,1))-AVERAGE(OFFSET($H$3,0,0,'Données projet'!$E$12+1,1))</f>
        <v>212.33913923444732</v>
      </c>
      <c r="CE192" s="60">
        <f t="shared" si="148"/>
        <v>183.51194426094372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-3.979039320256561E-13</v>
      </c>
      <c r="CU192" s="18">
        <f>CT192*VLOOKUP('Données projet'!$B$13,Paramètres!$A$1:$I$89,3,0)*VLOOKUP('Données projet'!$B$13,Paramètres!$A$1:$I$89,5,0)</f>
        <v>-3.4760887501761321E-13</v>
      </c>
      <c r="CV192" s="14" t="e">
        <f t="shared" si="173"/>
        <v>#NUM!</v>
      </c>
      <c r="CW192" s="22" t="e">
        <f t="shared" si="174"/>
        <v>#NUM!</v>
      </c>
      <c r="CX192" s="60" t="e">
        <f t="shared" si="122"/>
        <v>#NUM!</v>
      </c>
      <c r="CY192" s="60">
        <f ca="1">AVERAGE(OFFSET($CX$3,0,0,'Données projet'!$E$13+1,1))-AVERAGE(OFFSET($H$3,0,0,'Données projet'!$E$13+1,1))</f>
        <v>228.0393346366489</v>
      </c>
      <c r="CZ192" s="60">
        <f t="shared" si="150"/>
        <v>238.591781509447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-9.6633812063373625E-13</v>
      </c>
      <c r="DP192" s="18">
        <f>DO192*VLOOKUP('Données projet'!$B$14,Paramètres!$A$1:$I$89,3,0)*VLOOKUP('Données projet'!$B$14,Paramètres!$A$1:$I$89,5,0)</f>
        <v>-8.7434273154940449E-13</v>
      </c>
      <c r="DQ192" s="14" t="e">
        <f t="shared" si="176"/>
        <v>#NUM!</v>
      </c>
      <c r="DR192" s="22" t="e">
        <f t="shared" si="177"/>
        <v>#NUM!</v>
      </c>
      <c r="DS192" s="60" t="e">
        <f t="shared" si="125"/>
        <v>#NUM!</v>
      </c>
      <c r="DT192" s="60">
        <f ca="1">AVERAGE(OFFSET($DS$3,0,0,'Données projet'!$E$14+1,1))-AVERAGE(OFFSET($H$3,0,0,'Données projet'!$E$14+1,1))</f>
        <v>303.73499739059076</v>
      </c>
      <c r="DU192" s="60">
        <f t="shared" si="152"/>
        <v>172.32171001882188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1.1368683772161603E-13</v>
      </c>
      <c r="EK192" s="18">
        <f>EJ192*VLOOKUP('Données projet'!$B$15,Paramètres!$A$1:$I$89,3,0)*VLOOKUP('Données projet'!$B$15,Paramètres!$A$1:$I$89,5,0)</f>
        <v>6.7984728957526396E-14</v>
      </c>
      <c r="EL192" s="14">
        <f t="shared" si="179"/>
        <v>1.0682447123141398E-12</v>
      </c>
      <c r="EM192" s="22">
        <f t="shared" si="180"/>
        <v>1.978932943548152E-12</v>
      </c>
      <c r="EN192" s="60">
        <f t="shared" si="128"/>
        <v>293.3333333333353</v>
      </c>
      <c r="EO192" s="60">
        <f ca="1">AVERAGE(OFFSET($EN$3,0,0,'Données projet'!$E$15+1,1))-AVERAGE(OFFSET($H$3,0,0,'Données projet'!$E$15+1,1))</f>
        <v>269.94948820700841</v>
      </c>
      <c r="EP192" s="60">
        <f t="shared" si="154"/>
        <v>183.45158355135192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0.16623850101073526</v>
      </c>
      <c r="EX192" s="23">
        <f>EXP(-LN(2)/2)*EX191+(1-EXP(-LN(2)/2))/(LN(2)/2)*ER192*EU192*VLOOKUP('Données projet'!$B$15,Paramètres!$A$1:$I$89,3,0)*0.475*44/12</f>
        <v>6.5954260760495827E-24</v>
      </c>
      <c r="EY192" s="24">
        <f t="shared" si="181"/>
        <v>0.16623850101073526</v>
      </c>
      <c r="EZ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>
        <f>FE192*VLOOKUP('Données projet'!$B$16,Paramètres!$A$1:$I$89,3,0)*VLOOKUP('Données projet'!$B$16,Paramètres!$A$1:$I$89,5,0)</f>
        <v>0</v>
      </c>
      <c r="FG192" s="14" t="e">
        <f t="shared" si="182"/>
        <v>#NUM!</v>
      </c>
      <c r="FH192" s="22" t="e">
        <f t="shared" si="183"/>
        <v>#NUM!</v>
      </c>
      <c r="FI192" s="60" t="e">
        <f t="shared" si="131"/>
        <v>#NUM!</v>
      </c>
      <c r="FJ192" s="60">
        <f ca="1">AVERAGE(OFFSET($FI$3,0,0,'Données projet'!$E$16+1,1))-AVERAGE(OFFSET($H$3,0,0,'Données projet'!$E$16+1,1))</f>
        <v>111.24788725253484</v>
      </c>
      <c r="FK192" s="60">
        <f t="shared" si="156"/>
        <v>82.434879813357327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projet'!$B$16,Paramètres!$A$1:$I$89,3,0)*0.475*44/12</f>
        <v>0</v>
      </c>
      <c r="FR192" s="23">
        <f>EXP(-LN(2)/25)*FR191+(1-EXP(-LN(2)/25))/(LN(2)/25)*Calculateur!FM192*Calculateur!FO192*VLOOKUP('Données projet'!$B$16,Paramètres!$A$1:$I$89,3,0)*0.475*44/12</f>
        <v>0</v>
      </c>
      <c r="FS192" s="23">
        <f>EXP(-LN(2)/2)*FS191+(1-EXP(-LN(2)/2))/(LN(2)/2)*FM192*FP192*VLOOKUP('Données projet'!$B$16,Paramètres!$A$1:$I$89,3,0)*0.475*44/12</f>
        <v>0</v>
      </c>
      <c r="FT192" s="24">
        <f t="shared" si="184"/>
        <v>0</v>
      </c>
      <c r="FU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1.0231815394945443E-12</v>
      </c>
      <c r="GA192" s="18">
        <f>FZ192*VLOOKUP('Données projet'!$B$17,Paramètres!$A$1:$I$89,3,0)*VLOOKUP('Données projet'!$B$17,Paramètres!$A$1:$I$89,5,0)</f>
        <v>4.5224624045658859E-13</v>
      </c>
      <c r="GB192" s="14">
        <f t="shared" si="185"/>
        <v>5.6995607121061449E-12</v>
      </c>
      <c r="GC192" s="22">
        <f t="shared" si="186"/>
        <v>1.0714397109046761E-11</v>
      </c>
      <c r="GD192" s="60">
        <f t="shared" si="134"/>
        <v>293.333333333344</v>
      </c>
      <c r="GE192" s="60">
        <f ca="1">AVERAGE(OFFSET($GD$3,0,0,'Données projet'!$E$17+1,1))-AVERAGE(OFFSET($H$3,0,0,'Données projet'!$E$17+1,1))</f>
        <v>323.56667371063662</v>
      </c>
      <c r="GF192" s="60">
        <f t="shared" si="158"/>
        <v>275.70373467723385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>
        <f>EXP(-LN(2)/35)*GL191+(1-EXP(-LN(2)/35))/(LN(2)/35)*GH192*GI192*VLOOKUP('Données projet'!$B$17,Paramètres!$A$1:$I$89,3,0)*0.475*44/12</f>
        <v>0</v>
      </c>
      <c r="GM192" s="23">
        <f>EXP(-LN(2)/25)*GM191+(1-EXP(-LN(2)/25))/(LN(2)/25)*Calculateur!GH192*Calculateur!GJ192*VLOOKUP('Données projet'!$B$17,Paramètres!$A$1:$I$89,3,0)*0.475*44/12</f>
        <v>0</v>
      </c>
      <c r="GN192" s="23">
        <f>EXP(-LN(2)/2)*GN191+(1-EXP(-LN(2)/2))/(LN(2)/2)*GH192*GK192*VLOOKUP('Données projet'!$B$17,Paramètres!$A$1:$I$89,3,0)*0.475*44/12</f>
        <v>0</v>
      </c>
      <c r="GO192" s="23">
        <f t="shared" si="187"/>
        <v>0</v>
      </c>
      <c r="GP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0" t="e">
        <f t="shared" si="137"/>
        <v>#N/A</v>
      </c>
      <c r="GZ192" s="60" t="e">
        <f ca="1">AVERAGE(OFFSET($GY$3,0,0,'Données projet'!$E$18+1,1))-AVERAGE(OFFSET($H$3,0,0,'Données projet'!$E$18+1,1))</f>
        <v>#N/A</v>
      </c>
      <c r="HA192" s="60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4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2">
        <f t="shared" si="140"/>
        <v>27.851088016239451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-1.1368683772161603E-13</v>
      </c>
      <c r="O193" s="14">
        <f>N193*VLOOKUP('Données projet'!$B$9,Paramètres!$A$1:$I$89,3,0)*VLOOKUP('Données projet'!$B$9,Paramètres!$A$1:$I$89,5,0)</f>
        <v>-6.7984728957526396E-14</v>
      </c>
      <c r="P193" s="14" t="e">
        <f t="shared" si="141"/>
        <v>#NUM!</v>
      </c>
      <c r="Q193" s="22" t="e">
        <f t="shared" si="162"/>
        <v>#NUM!</v>
      </c>
      <c r="R193" s="60" t="e">
        <f t="shared" si="109"/>
        <v>#NUM!</v>
      </c>
      <c r="S193" s="60">
        <f ca="1">AVERAGE(OFFSET($R$3,0,0,'Données projet'!$E$9+1,1))-AVERAGE(OFFSET($H$3,0,0,'Données projet'!$E$9+1,1))</f>
        <v>235.63766249714581</v>
      </c>
      <c r="T193" s="60">
        <f t="shared" si="142"/>
        <v>231.3297293785277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0.4825763288017203</v>
      </c>
      <c r="AA193" s="23">
        <f>EXP(-LN(2)/25)*AA192+(1-EXP(-LN(2)/25))/(LN(2)/25)*Calculateur!V193*Calculateur!X193*VLOOKUP('Données projet'!$B$9,Paramètres!$A$1:$I$89,3,0)*0.475*44/12</f>
        <v>0.20472774595799237</v>
      </c>
      <c r="AB193" s="23">
        <f>EXP(-LN(2)/2)*AB192+(1-EXP(-LN(2)/2))/(LN(2)/2)*V193*Y193*VLOOKUP('Données projet'!$B$9,Paramètres!$A$1:$I$89,3,0)*0.475*44/12</f>
        <v>5.8832659601612021E-24</v>
      </c>
      <c r="AC193" s="24">
        <f t="shared" si="163"/>
        <v>0.68730407475971267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-9.6633812063373625E-13</v>
      </c>
      <c r="AJ193" s="14">
        <f>AI193*VLOOKUP('Données projet'!$B$10,Paramètres!$A$1:$I$89,3,0)*VLOOKUP('Données projet'!$B$10,Paramètres!$A$1:$I$89,5,0)</f>
        <v>-9.7986685432260874E-13</v>
      </c>
      <c r="AK193" s="14" t="e">
        <f t="shared" si="164"/>
        <v>#NUM!</v>
      </c>
      <c r="AL193" s="22" t="e">
        <f t="shared" si="165"/>
        <v>#NUM!</v>
      </c>
      <c r="AM193" s="60" t="e">
        <f t="shared" si="113"/>
        <v>#NUM!</v>
      </c>
      <c r="AN193" s="60">
        <f ca="1">AVERAGE(OFFSET($AM$3,0,0,'Données projet'!$E$10+1,1))-AVERAGE(OFFSET($H$3,0,0,'Données projet'!$E$10+1,1))</f>
        <v>350.3652766444938</v>
      </c>
      <c r="AO193" s="60">
        <f t="shared" si="144"/>
        <v>197.04549436738586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6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-9.6633812063373625E-13</v>
      </c>
      <c r="BE193" s="14">
        <f>BD193*VLOOKUP('Données projet'!$B$11,Paramètres!$A$1:$I$89,3,0)*VLOOKUP('Données projet'!$B$11,Paramètres!$A$1:$I$89,5,0)</f>
        <v>-9.3464223027694966E-13</v>
      </c>
      <c r="BF193" s="14" t="e">
        <f t="shared" si="167"/>
        <v>#NUM!</v>
      </c>
      <c r="BG193" s="22" t="e">
        <f t="shared" si="168"/>
        <v>#NUM!</v>
      </c>
      <c r="BH193" s="60" t="e">
        <f t="shared" si="116"/>
        <v>#NUM!</v>
      </c>
      <c r="BI193" s="60">
        <f ca="1">AVERAGE(OFFSET($BH$3,0,0,'Données projet'!$E$11+1,1))-AVERAGE(OFFSET($H$3,0,0,'Données projet'!$E$11+1,1))</f>
        <v>330.39429528665841</v>
      </c>
      <c r="BJ193" s="60">
        <f t="shared" si="146"/>
        <v>186.45728006007261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1.7053025658242404E-13</v>
      </c>
      <c r="BZ193" s="14">
        <f>BY193*VLOOKUP('Données projet'!$B$12,Paramètres!$A$1:$I$89,3,0)*VLOOKUP('Données projet'!$B$12,Paramètres!$A$1:$I$89,5,0)</f>
        <v>1.1439169611549005E-13</v>
      </c>
      <c r="CA193" s="14">
        <f t="shared" si="170"/>
        <v>1.6918016515029816E-12</v>
      </c>
      <c r="CB193" s="22">
        <f t="shared" si="171"/>
        <v>3.1457867471021712E-12</v>
      </c>
      <c r="CC193" s="60">
        <f t="shared" si="119"/>
        <v>293.33333333333644</v>
      </c>
      <c r="CD193" s="60">
        <f ca="1">AVERAGE(OFFSET($CC$3,0,0,'Données projet'!$E$12+1,1))-AVERAGE(OFFSET($H$3,0,0,'Données projet'!$E$12+1,1))</f>
        <v>212.33913923444732</v>
      </c>
      <c r="CE193" s="60">
        <f t="shared" si="148"/>
        <v>183.51194426094372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-3.979039320256561E-13</v>
      </c>
      <c r="CU193" s="18">
        <f>CT193*VLOOKUP('Données projet'!$B$13,Paramètres!$A$1:$I$89,3,0)*VLOOKUP('Données projet'!$B$13,Paramètres!$A$1:$I$89,5,0)</f>
        <v>-3.4760887501761321E-13</v>
      </c>
      <c r="CV193" s="14" t="e">
        <f t="shared" si="173"/>
        <v>#NUM!</v>
      </c>
      <c r="CW193" s="22" t="e">
        <f t="shared" si="174"/>
        <v>#NUM!</v>
      </c>
      <c r="CX193" s="60" t="e">
        <f t="shared" si="122"/>
        <v>#NUM!</v>
      </c>
      <c r="CY193" s="60">
        <f ca="1">AVERAGE(OFFSET($CX$3,0,0,'Données projet'!$E$13+1,1))-AVERAGE(OFFSET($H$3,0,0,'Données projet'!$E$13+1,1))</f>
        <v>228.0393346366489</v>
      </c>
      <c r="CZ193" s="60">
        <f t="shared" si="150"/>
        <v>238.591781509447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-9.6633812063373625E-13</v>
      </c>
      <c r="DP193" s="18">
        <f>DO193*VLOOKUP('Données projet'!$B$14,Paramètres!$A$1:$I$89,3,0)*VLOOKUP('Données projet'!$B$14,Paramètres!$A$1:$I$89,5,0)</f>
        <v>-8.7434273154940449E-13</v>
      </c>
      <c r="DQ193" s="14" t="e">
        <f t="shared" si="176"/>
        <v>#NUM!</v>
      </c>
      <c r="DR193" s="22" t="e">
        <f t="shared" si="177"/>
        <v>#NUM!</v>
      </c>
      <c r="DS193" s="60" t="e">
        <f t="shared" si="125"/>
        <v>#NUM!</v>
      </c>
      <c r="DT193" s="60">
        <f ca="1">AVERAGE(OFFSET($DS$3,0,0,'Données projet'!$E$14+1,1))-AVERAGE(OFFSET($H$3,0,0,'Données projet'!$E$14+1,1))</f>
        <v>303.73499739059076</v>
      </c>
      <c r="DU193" s="60">
        <f t="shared" si="152"/>
        <v>172.32171001882188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1.1368683772161603E-13</v>
      </c>
      <c r="EK193" s="18">
        <f>EJ193*VLOOKUP('Données projet'!$B$15,Paramètres!$A$1:$I$89,3,0)*VLOOKUP('Données projet'!$B$15,Paramètres!$A$1:$I$89,5,0)</f>
        <v>6.7984728957526396E-14</v>
      </c>
      <c r="EL193" s="14">
        <f t="shared" si="179"/>
        <v>1.0682447123141398E-12</v>
      </c>
      <c r="EM193" s="22">
        <f t="shared" si="180"/>
        <v>1.978932943548152E-12</v>
      </c>
      <c r="EN193" s="60">
        <f t="shared" si="128"/>
        <v>293.3333333333353</v>
      </c>
      <c r="EO193" s="60">
        <f ca="1">AVERAGE(OFFSET($EN$3,0,0,'Données projet'!$E$15+1,1))-AVERAGE(OFFSET($H$3,0,0,'Données projet'!$E$15+1,1))</f>
        <v>269.94948820700841</v>
      </c>
      <c r="EP193" s="60">
        <f t="shared" si="154"/>
        <v>183.45158355135192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0.16169270045849388</v>
      </c>
      <c r="EX193" s="23">
        <f>EXP(-LN(2)/2)*EX192+(1-EXP(-LN(2)/2))/(LN(2)/2)*ER193*EU193*VLOOKUP('Données projet'!$B$15,Paramètres!$A$1:$I$89,3,0)*0.475*44/12</f>
        <v>4.6636705031892424E-24</v>
      </c>
      <c r="EY193" s="24">
        <f t="shared" si="181"/>
        <v>0.16169270045849388</v>
      </c>
      <c r="EZ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>
        <f>FE193*VLOOKUP('Données projet'!$B$16,Paramètres!$A$1:$I$89,3,0)*VLOOKUP('Données projet'!$B$16,Paramètres!$A$1:$I$89,5,0)</f>
        <v>0</v>
      </c>
      <c r="FG193" s="14" t="e">
        <f t="shared" si="182"/>
        <v>#NUM!</v>
      </c>
      <c r="FH193" s="22" t="e">
        <f t="shared" si="183"/>
        <v>#NUM!</v>
      </c>
      <c r="FI193" s="60" t="e">
        <f t="shared" si="131"/>
        <v>#NUM!</v>
      </c>
      <c r="FJ193" s="60">
        <f ca="1">AVERAGE(OFFSET($FI$3,0,0,'Données projet'!$E$16+1,1))-AVERAGE(OFFSET($H$3,0,0,'Données projet'!$E$16+1,1))</f>
        <v>111.24788725253484</v>
      </c>
      <c r="FK193" s="60">
        <f t="shared" si="156"/>
        <v>82.434879813357327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projet'!$B$16,Paramètres!$A$1:$I$89,3,0)*0.475*44/12</f>
        <v>0</v>
      </c>
      <c r="FR193" s="23">
        <f>EXP(-LN(2)/25)*FR192+(1-EXP(-LN(2)/25))/(LN(2)/25)*Calculateur!FM193*Calculateur!FO193*VLOOKUP('Données projet'!$B$16,Paramètres!$A$1:$I$89,3,0)*0.475*44/12</f>
        <v>0</v>
      </c>
      <c r="FS193" s="23">
        <f>EXP(-LN(2)/2)*FS192+(1-EXP(-LN(2)/2))/(LN(2)/2)*FM193*FP193*VLOOKUP('Données projet'!$B$16,Paramètres!$A$1:$I$89,3,0)*0.475*44/12</f>
        <v>0</v>
      </c>
      <c r="FT193" s="24">
        <f t="shared" si="184"/>
        <v>0</v>
      </c>
      <c r="FU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1.0231815394945443E-12</v>
      </c>
      <c r="GA193" s="18">
        <f>FZ193*VLOOKUP('Données projet'!$B$17,Paramètres!$A$1:$I$89,3,0)*VLOOKUP('Données projet'!$B$17,Paramètres!$A$1:$I$89,5,0)</f>
        <v>4.5224624045658859E-13</v>
      </c>
      <c r="GB193" s="14">
        <f t="shared" si="185"/>
        <v>5.6995607121061449E-12</v>
      </c>
      <c r="GC193" s="22">
        <f t="shared" si="186"/>
        <v>1.0714397109046761E-11</v>
      </c>
      <c r="GD193" s="60">
        <f t="shared" si="134"/>
        <v>293.333333333344</v>
      </c>
      <c r="GE193" s="60">
        <f ca="1">AVERAGE(OFFSET($GD$3,0,0,'Données projet'!$E$17+1,1))-AVERAGE(OFFSET($H$3,0,0,'Données projet'!$E$17+1,1))</f>
        <v>323.56667371063662</v>
      </c>
      <c r="GF193" s="60">
        <f t="shared" si="158"/>
        <v>275.70373467723385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>
        <f>EXP(-LN(2)/35)*GL192+(1-EXP(-LN(2)/35))/(LN(2)/35)*GH193*GI193*VLOOKUP('Données projet'!$B$17,Paramètres!$A$1:$I$89,3,0)*0.475*44/12</f>
        <v>0</v>
      </c>
      <c r="GM193" s="23">
        <f>EXP(-LN(2)/25)*GM192+(1-EXP(-LN(2)/25))/(LN(2)/25)*Calculateur!GH193*Calculateur!GJ193*VLOOKUP('Données projet'!$B$17,Paramètres!$A$1:$I$89,3,0)*0.475*44/12</f>
        <v>0</v>
      </c>
      <c r="GN193" s="23">
        <f>EXP(-LN(2)/2)*GN192+(1-EXP(-LN(2)/2))/(LN(2)/2)*GH193*GK193*VLOOKUP('Données projet'!$B$17,Paramètres!$A$1:$I$89,3,0)*0.475*44/12</f>
        <v>0</v>
      </c>
      <c r="GO193" s="23">
        <f t="shared" si="187"/>
        <v>0</v>
      </c>
      <c r="GP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0" t="e">
        <f t="shared" si="137"/>
        <v>#N/A</v>
      </c>
      <c r="GZ193" s="60" t="e">
        <f ca="1">AVERAGE(OFFSET($GY$3,0,0,'Données projet'!$E$18+1,1))-AVERAGE(OFFSET($H$3,0,0,'Données projet'!$E$18+1,1))</f>
        <v>#N/A</v>
      </c>
      <c r="HA193" s="60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4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2">
        <f t="shared" si="140"/>
        <v>27.98057063677302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-1.1368683772161603E-13</v>
      </c>
      <c r="O194" s="14">
        <f>N194*VLOOKUP('Données projet'!$B$9,Paramètres!$A$1:$I$89,3,0)*VLOOKUP('Données projet'!$B$9,Paramètres!$A$1:$I$89,5,0)</f>
        <v>-6.7984728957526396E-14</v>
      </c>
      <c r="P194" s="14" t="e">
        <f t="shared" si="141"/>
        <v>#NUM!</v>
      </c>
      <c r="Q194" s="22" t="e">
        <f t="shared" si="162"/>
        <v>#NUM!</v>
      </c>
      <c r="R194" s="60" t="e">
        <f t="shared" si="109"/>
        <v>#NUM!</v>
      </c>
      <c r="S194" s="60">
        <f ca="1">AVERAGE(OFFSET($R$3,0,0,'Données projet'!$E$9+1,1))-AVERAGE(OFFSET($H$3,0,0,'Données projet'!$E$9+1,1))</f>
        <v>235.63766249714581</v>
      </c>
      <c r="T194" s="60">
        <f t="shared" si="142"/>
        <v>231.3297293785277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0.47311330133641522</v>
      </c>
      <c r="AA194" s="23">
        <f>EXP(-LN(2)/25)*AA193+(1-EXP(-LN(2)/25))/(LN(2)/25)*Calculateur!V194*Calculateur!X194*VLOOKUP('Données projet'!$B$9,Paramètres!$A$1:$I$89,3,0)*0.475*44/12</f>
        <v>0.19912945497860682</v>
      </c>
      <c r="AB194" s="23">
        <f>EXP(-LN(2)/2)*AB193+(1-EXP(-LN(2)/2))/(LN(2)/2)*V194*Y194*VLOOKUP('Données projet'!$B$9,Paramètres!$A$1:$I$89,3,0)*0.475*44/12</f>
        <v>4.1600972559539705E-24</v>
      </c>
      <c r="AC194" s="24">
        <f t="shared" si="163"/>
        <v>0.67224275631502206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-9.6633812063373625E-13</v>
      </c>
      <c r="AJ194" s="14">
        <f>AI194*VLOOKUP('Données projet'!$B$10,Paramètres!$A$1:$I$89,3,0)*VLOOKUP('Données projet'!$B$10,Paramètres!$A$1:$I$89,5,0)</f>
        <v>-9.7986685432260874E-13</v>
      </c>
      <c r="AK194" s="14" t="e">
        <f t="shared" si="164"/>
        <v>#NUM!</v>
      </c>
      <c r="AL194" s="22" t="e">
        <f t="shared" si="165"/>
        <v>#NUM!</v>
      </c>
      <c r="AM194" s="60" t="e">
        <f t="shared" si="113"/>
        <v>#NUM!</v>
      </c>
      <c r="AN194" s="60">
        <f ca="1">AVERAGE(OFFSET($AM$3,0,0,'Données projet'!$E$10+1,1))-AVERAGE(OFFSET($H$3,0,0,'Données projet'!$E$10+1,1))</f>
        <v>350.3652766444938</v>
      </c>
      <c r="AO194" s="60">
        <f t="shared" si="144"/>
        <v>197.04549436738586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6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-9.6633812063373625E-13</v>
      </c>
      <c r="BE194" s="14">
        <f>BD194*VLOOKUP('Données projet'!$B$11,Paramètres!$A$1:$I$89,3,0)*VLOOKUP('Données projet'!$B$11,Paramètres!$A$1:$I$89,5,0)</f>
        <v>-9.3464223027694966E-13</v>
      </c>
      <c r="BF194" s="14" t="e">
        <f t="shared" si="167"/>
        <v>#NUM!</v>
      </c>
      <c r="BG194" s="22" t="e">
        <f t="shared" si="168"/>
        <v>#NUM!</v>
      </c>
      <c r="BH194" s="60" t="e">
        <f t="shared" si="116"/>
        <v>#NUM!</v>
      </c>
      <c r="BI194" s="60">
        <f ca="1">AVERAGE(OFFSET($BH$3,0,0,'Données projet'!$E$11+1,1))-AVERAGE(OFFSET($H$3,0,0,'Données projet'!$E$11+1,1))</f>
        <v>330.39429528665841</v>
      </c>
      <c r="BJ194" s="60">
        <f t="shared" si="146"/>
        <v>186.45728006007261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1.7053025658242404E-13</v>
      </c>
      <c r="BZ194" s="14">
        <f>BY194*VLOOKUP('Données projet'!$B$12,Paramètres!$A$1:$I$89,3,0)*VLOOKUP('Données projet'!$B$12,Paramètres!$A$1:$I$89,5,0)</f>
        <v>1.1439169611549005E-13</v>
      </c>
      <c r="CA194" s="14">
        <f t="shared" si="170"/>
        <v>1.6918016515029816E-12</v>
      </c>
      <c r="CB194" s="22">
        <f t="shared" si="171"/>
        <v>3.1457867471021712E-12</v>
      </c>
      <c r="CC194" s="60">
        <f t="shared" si="119"/>
        <v>293.33333333333644</v>
      </c>
      <c r="CD194" s="60">
        <f ca="1">AVERAGE(OFFSET($CC$3,0,0,'Données projet'!$E$12+1,1))-AVERAGE(OFFSET($H$3,0,0,'Données projet'!$E$12+1,1))</f>
        <v>212.33913923444732</v>
      </c>
      <c r="CE194" s="60">
        <f t="shared" si="148"/>
        <v>183.51194426094372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-3.979039320256561E-13</v>
      </c>
      <c r="CU194" s="18">
        <f>CT194*VLOOKUP('Données projet'!$B$13,Paramètres!$A$1:$I$89,3,0)*VLOOKUP('Données projet'!$B$13,Paramètres!$A$1:$I$89,5,0)</f>
        <v>-3.4760887501761321E-13</v>
      </c>
      <c r="CV194" s="14" t="e">
        <f t="shared" si="173"/>
        <v>#NUM!</v>
      </c>
      <c r="CW194" s="22" t="e">
        <f t="shared" si="174"/>
        <v>#NUM!</v>
      </c>
      <c r="CX194" s="60" t="e">
        <f t="shared" si="122"/>
        <v>#NUM!</v>
      </c>
      <c r="CY194" s="60">
        <f ca="1">AVERAGE(OFFSET($CX$3,0,0,'Données projet'!$E$13+1,1))-AVERAGE(OFFSET($H$3,0,0,'Données projet'!$E$13+1,1))</f>
        <v>228.0393346366489</v>
      </c>
      <c r="CZ194" s="60">
        <f t="shared" si="150"/>
        <v>238.591781509447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-9.6633812063373625E-13</v>
      </c>
      <c r="DP194" s="18">
        <f>DO194*VLOOKUP('Données projet'!$B$14,Paramètres!$A$1:$I$89,3,0)*VLOOKUP('Données projet'!$B$14,Paramètres!$A$1:$I$89,5,0)</f>
        <v>-8.7434273154940449E-13</v>
      </c>
      <c r="DQ194" s="14" t="e">
        <f t="shared" si="176"/>
        <v>#NUM!</v>
      </c>
      <c r="DR194" s="22" t="e">
        <f t="shared" si="177"/>
        <v>#NUM!</v>
      </c>
      <c r="DS194" s="60" t="e">
        <f t="shared" si="125"/>
        <v>#NUM!</v>
      </c>
      <c r="DT194" s="60">
        <f ca="1">AVERAGE(OFFSET($DS$3,0,0,'Données projet'!$E$14+1,1))-AVERAGE(OFFSET($H$3,0,0,'Données projet'!$E$14+1,1))</f>
        <v>303.73499739059076</v>
      </c>
      <c r="DU194" s="60">
        <f t="shared" si="152"/>
        <v>172.32171001882188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1.1368683772161603E-13</v>
      </c>
      <c r="EK194" s="18">
        <f>EJ194*VLOOKUP('Données projet'!$B$15,Paramètres!$A$1:$I$89,3,0)*VLOOKUP('Données projet'!$B$15,Paramètres!$A$1:$I$89,5,0)</f>
        <v>6.7984728957526396E-14</v>
      </c>
      <c r="EL194" s="14">
        <f t="shared" si="179"/>
        <v>1.0682447123141398E-12</v>
      </c>
      <c r="EM194" s="22">
        <f t="shared" si="180"/>
        <v>1.978932943548152E-12</v>
      </c>
      <c r="EN194" s="60">
        <f t="shared" si="128"/>
        <v>293.3333333333353</v>
      </c>
      <c r="EO194" s="60">
        <f ca="1">AVERAGE(OFFSET($EN$3,0,0,'Données projet'!$E$15+1,1))-AVERAGE(OFFSET($H$3,0,0,'Données projet'!$E$15+1,1))</f>
        <v>269.94948820700841</v>
      </c>
      <c r="EP194" s="60">
        <f t="shared" si="154"/>
        <v>183.45158355135192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0.15727120506140679</v>
      </c>
      <c r="EX194" s="23">
        <f>EXP(-LN(2)/2)*EX193+(1-EXP(-LN(2)/2))/(LN(2)/2)*ER194*EU194*VLOOKUP('Données projet'!$B$15,Paramètres!$A$1:$I$89,3,0)*0.475*44/12</f>
        <v>3.2977130380247917E-24</v>
      </c>
      <c r="EY194" s="24">
        <f t="shared" si="181"/>
        <v>0.15727120506140679</v>
      </c>
      <c r="EZ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>
        <f>FE194*VLOOKUP('Données projet'!$B$16,Paramètres!$A$1:$I$89,3,0)*VLOOKUP('Données projet'!$B$16,Paramètres!$A$1:$I$89,5,0)</f>
        <v>0</v>
      </c>
      <c r="FG194" s="14" t="e">
        <f t="shared" si="182"/>
        <v>#NUM!</v>
      </c>
      <c r="FH194" s="22" t="e">
        <f t="shared" si="183"/>
        <v>#NUM!</v>
      </c>
      <c r="FI194" s="60" t="e">
        <f t="shared" si="131"/>
        <v>#NUM!</v>
      </c>
      <c r="FJ194" s="60">
        <f ca="1">AVERAGE(OFFSET($FI$3,0,0,'Données projet'!$E$16+1,1))-AVERAGE(OFFSET($H$3,0,0,'Données projet'!$E$16+1,1))</f>
        <v>111.24788725253484</v>
      </c>
      <c r="FK194" s="60">
        <f t="shared" si="156"/>
        <v>82.434879813357327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projet'!$B$16,Paramètres!$A$1:$I$89,3,0)*0.475*44/12</f>
        <v>0</v>
      </c>
      <c r="FR194" s="23">
        <f>EXP(-LN(2)/25)*FR193+(1-EXP(-LN(2)/25))/(LN(2)/25)*Calculateur!FM194*Calculateur!FO194*VLOOKUP('Données projet'!$B$16,Paramètres!$A$1:$I$89,3,0)*0.475*44/12</f>
        <v>0</v>
      </c>
      <c r="FS194" s="23">
        <f>EXP(-LN(2)/2)*FS193+(1-EXP(-LN(2)/2))/(LN(2)/2)*FM194*FP194*VLOOKUP('Données projet'!$B$16,Paramètres!$A$1:$I$89,3,0)*0.475*44/12</f>
        <v>0</v>
      </c>
      <c r="FT194" s="24">
        <f t="shared" si="184"/>
        <v>0</v>
      </c>
      <c r="FU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1.0231815394945443E-12</v>
      </c>
      <c r="GA194" s="18">
        <f>FZ194*VLOOKUP('Données projet'!$B$17,Paramètres!$A$1:$I$89,3,0)*VLOOKUP('Données projet'!$B$17,Paramètres!$A$1:$I$89,5,0)</f>
        <v>4.5224624045658859E-13</v>
      </c>
      <c r="GB194" s="14">
        <f t="shared" si="185"/>
        <v>5.6995607121061449E-12</v>
      </c>
      <c r="GC194" s="22">
        <f t="shared" si="186"/>
        <v>1.0714397109046761E-11</v>
      </c>
      <c r="GD194" s="60">
        <f t="shared" si="134"/>
        <v>293.333333333344</v>
      </c>
      <c r="GE194" s="60">
        <f ca="1">AVERAGE(OFFSET($GD$3,0,0,'Données projet'!$E$17+1,1))-AVERAGE(OFFSET($H$3,0,0,'Données projet'!$E$17+1,1))</f>
        <v>323.56667371063662</v>
      </c>
      <c r="GF194" s="60">
        <f t="shared" si="158"/>
        <v>275.70373467723385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>
        <f>EXP(-LN(2)/35)*GL193+(1-EXP(-LN(2)/35))/(LN(2)/35)*GH194*GI194*VLOOKUP('Données projet'!$B$17,Paramètres!$A$1:$I$89,3,0)*0.475*44/12</f>
        <v>0</v>
      </c>
      <c r="GM194" s="23">
        <f>EXP(-LN(2)/25)*GM193+(1-EXP(-LN(2)/25))/(LN(2)/25)*Calculateur!GH194*Calculateur!GJ194*VLOOKUP('Données projet'!$B$17,Paramètres!$A$1:$I$89,3,0)*0.475*44/12</f>
        <v>0</v>
      </c>
      <c r="GN194" s="23">
        <f>EXP(-LN(2)/2)*GN193+(1-EXP(-LN(2)/2))/(LN(2)/2)*GH194*GK194*VLOOKUP('Données projet'!$B$17,Paramètres!$A$1:$I$89,3,0)*0.475*44/12</f>
        <v>0</v>
      </c>
      <c r="GO194" s="23">
        <f t="shared" si="187"/>
        <v>0</v>
      </c>
      <c r="GP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0" t="e">
        <f t="shared" si="137"/>
        <v>#N/A</v>
      </c>
      <c r="GZ194" s="60" t="e">
        <f ca="1">AVERAGE(OFFSET($GY$3,0,0,'Données projet'!$E$18+1,1))-AVERAGE(OFFSET($H$3,0,0,'Données projet'!$E$18+1,1))</f>
        <v>#N/A</v>
      </c>
      <c r="HA194" s="60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4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2">
        <f t="shared" si="140"/>
        <v>28.10997437113782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-1.1368683772161603E-13</v>
      </c>
      <c r="O195" s="14">
        <f>N195*VLOOKUP('Données projet'!$B$9,Paramètres!$A$1:$I$89,3,0)*VLOOKUP('Données projet'!$B$9,Paramètres!$A$1:$I$89,5,0)</f>
        <v>-6.7984728957526396E-14</v>
      </c>
      <c r="P195" s="14" t="e">
        <f t="shared" si="141"/>
        <v>#NUM!</v>
      </c>
      <c r="Q195" s="22" t="e">
        <f t="shared" si="162"/>
        <v>#NUM!</v>
      </c>
      <c r="R195" s="60" t="e">
        <f t="shared" ref="R195:R203" si="191">Q195+(I195+J195)*44/12</f>
        <v>#NUM!</v>
      </c>
      <c r="S195" s="60">
        <f ca="1">AVERAGE(OFFSET($R$3,0,0,'Données projet'!$E$9+1,1))-AVERAGE(OFFSET($H$3,0,0,'Données projet'!$E$9+1,1))</f>
        <v>235.63766249714581</v>
      </c>
      <c r="T195" s="60">
        <f t="shared" si="142"/>
        <v>231.3297293785277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0.46383583806782797</v>
      </c>
      <c r="AA195" s="23">
        <f>EXP(-LN(2)/25)*AA194+(1-EXP(-LN(2)/25))/(LN(2)/25)*Calculateur!V195*Calculateur!X195*VLOOKUP('Données projet'!$B$9,Paramètres!$A$1:$I$89,3,0)*0.475*44/12</f>
        <v>0.19368424956045388</v>
      </c>
      <c r="AB195" s="23">
        <f>EXP(-LN(2)/2)*AB194+(1-EXP(-LN(2)/2))/(LN(2)/2)*V195*Y195*VLOOKUP('Données projet'!$B$9,Paramètres!$A$1:$I$89,3,0)*0.475*44/12</f>
        <v>2.941632980080601E-24</v>
      </c>
      <c r="AC195" s="24">
        <f t="shared" si="163"/>
        <v>0.65752008762828185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-9.6633812063373625E-13</v>
      </c>
      <c r="AJ195" s="14">
        <f>AI195*VLOOKUP('Données projet'!$B$10,Paramètres!$A$1:$I$89,3,0)*VLOOKUP('Données projet'!$B$10,Paramètres!$A$1:$I$89,5,0)</f>
        <v>-9.7986685432260874E-13</v>
      </c>
      <c r="AK195" s="14" t="e">
        <f t="shared" si="164"/>
        <v>#NUM!</v>
      </c>
      <c r="AL195" s="22" t="e">
        <f t="shared" si="165"/>
        <v>#NUM!</v>
      </c>
      <c r="AM195" s="60" t="e">
        <f t="shared" si="113"/>
        <v>#NUM!</v>
      </c>
      <c r="AN195" s="60">
        <f ca="1">AVERAGE(OFFSET($AM$3,0,0,'Données projet'!$E$10+1,1))-AVERAGE(OFFSET($H$3,0,0,'Données projet'!$E$10+1,1))</f>
        <v>350.3652766444938</v>
      </c>
      <c r="AO195" s="60">
        <f t="shared" si="144"/>
        <v>197.04549436738586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6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-9.6633812063373625E-13</v>
      </c>
      <c r="BE195" s="14">
        <f>BD195*VLOOKUP('Données projet'!$B$11,Paramètres!$A$1:$I$89,3,0)*VLOOKUP('Données projet'!$B$11,Paramètres!$A$1:$I$89,5,0)</f>
        <v>-9.3464223027694966E-13</v>
      </c>
      <c r="BF195" s="14" t="e">
        <f t="shared" si="167"/>
        <v>#NUM!</v>
      </c>
      <c r="BG195" s="22" t="e">
        <f t="shared" si="168"/>
        <v>#NUM!</v>
      </c>
      <c r="BH195" s="60" t="e">
        <f t="shared" si="116"/>
        <v>#NUM!</v>
      </c>
      <c r="BI195" s="60">
        <f ca="1">AVERAGE(OFFSET($BH$3,0,0,'Données projet'!$E$11+1,1))-AVERAGE(OFFSET($H$3,0,0,'Données projet'!$E$11+1,1))</f>
        <v>330.39429528665841</v>
      </c>
      <c r="BJ195" s="60">
        <f t="shared" si="146"/>
        <v>186.45728006007261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1.7053025658242404E-13</v>
      </c>
      <c r="BZ195" s="14">
        <f>BY195*VLOOKUP('Données projet'!$B$12,Paramètres!$A$1:$I$89,3,0)*VLOOKUP('Données projet'!$B$12,Paramètres!$A$1:$I$89,5,0)</f>
        <v>1.1439169611549005E-13</v>
      </c>
      <c r="CA195" s="14">
        <f t="shared" si="170"/>
        <v>1.6918016515029816E-12</v>
      </c>
      <c r="CB195" s="22">
        <f t="shared" si="171"/>
        <v>3.1457867471021712E-12</v>
      </c>
      <c r="CC195" s="60">
        <f t="shared" si="119"/>
        <v>293.33333333333644</v>
      </c>
      <c r="CD195" s="60">
        <f ca="1">AVERAGE(OFFSET($CC$3,0,0,'Données projet'!$E$12+1,1))-AVERAGE(OFFSET($H$3,0,0,'Données projet'!$E$12+1,1))</f>
        <v>212.33913923444732</v>
      </c>
      <c r="CE195" s="60">
        <f t="shared" si="148"/>
        <v>183.51194426094372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-3.979039320256561E-13</v>
      </c>
      <c r="CU195" s="18">
        <f>CT195*VLOOKUP('Données projet'!$B$13,Paramètres!$A$1:$I$89,3,0)*VLOOKUP('Données projet'!$B$13,Paramètres!$A$1:$I$89,5,0)</f>
        <v>-3.4760887501761321E-13</v>
      </c>
      <c r="CV195" s="14" t="e">
        <f t="shared" si="173"/>
        <v>#NUM!</v>
      </c>
      <c r="CW195" s="22" t="e">
        <f t="shared" si="174"/>
        <v>#NUM!</v>
      </c>
      <c r="CX195" s="60" t="e">
        <f t="shared" si="122"/>
        <v>#NUM!</v>
      </c>
      <c r="CY195" s="60">
        <f ca="1">AVERAGE(OFFSET($CX$3,0,0,'Données projet'!$E$13+1,1))-AVERAGE(OFFSET($H$3,0,0,'Données projet'!$E$13+1,1))</f>
        <v>228.0393346366489</v>
      </c>
      <c r="CZ195" s="60">
        <f t="shared" si="150"/>
        <v>238.591781509447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-9.6633812063373625E-13</v>
      </c>
      <c r="DP195" s="18">
        <f>DO195*VLOOKUP('Données projet'!$B$14,Paramètres!$A$1:$I$89,3,0)*VLOOKUP('Données projet'!$B$14,Paramètres!$A$1:$I$89,5,0)</f>
        <v>-8.7434273154940449E-13</v>
      </c>
      <c r="DQ195" s="14" t="e">
        <f t="shared" si="176"/>
        <v>#NUM!</v>
      </c>
      <c r="DR195" s="22" t="e">
        <f t="shared" si="177"/>
        <v>#NUM!</v>
      </c>
      <c r="DS195" s="60" t="e">
        <f t="shared" si="125"/>
        <v>#NUM!</v>
      </c>
      <c r="DT195" s="60">
        <f ca="1">AVERAGE(OFFSET($DS$3,0,0,'Données projet'!$E$14+1,1))-AVERAGE(OFFSET($H$3,0,0,'Données projet'!$E$14+1,1))</f>
        <v>303.73499739059076</v>
      </c>
      <c r="DU195" s="60">
        <f t="shared" si="152"/>
        <v>172.32171001882188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1.1368683772161603E-13</v>
      </c>
      <c r="EK195" s="18">
        <f>EJ195*VLOOKUP('Données projet'!$B$15,Paramètres!$A$1:$I$89,3,0)*VLOOKUP('Données projet'!$B$15,Paramètres!$A$1:$I$89,5,0)</f>
        <v>6.7984728957526396E-14</v>
      </c>
      <c r="EL195" s="14">
        <f t="shared" si="179"/>
        <v>1.0682447123141398E-12</v>
      </c>
      <c r="EM195" s="22">
        <f t="shared" si="180"/>
        <v>1.978932943548152E-12</v>
      </c>
      <c r="EN195" s="60">
        <f t="shared" si="128"/>
        <v>293.3333333333353</v>
      </c>
      <c r="EO195" s="60">
        <f ca="1">AVERAGE(OFFSET($EN$3,0,0,'Données projet'!$E$15+1,1))-AVERAGE(OFFSET($H$3,0,0,'Données projet'!$E$15+1,1))</f>
        <v>269.94948820700841</v>
      </c>
      <c r="EP195" s="60">
        <f t="shared" si="154"/>
        <v>183.45158355135192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0.1529706156884694</v>
      </c>
      <c r="EX195" s="23">
        <f>EXP(-LN(2)/2)*EX194+(1-EXP(-LN(2)/2))/(LN(2)/2)*ER195*EU195*VLOOKUP('Données projet'!$B$15,Paramètres!$A$1:$I$89,3,0)*0.475*44/12</f>
        <v>2.3318352515946216E-24</v>
      </c>
      <c r="EY195" s="24">
        <f t="shared" si="181"/>
        <v>0.1529706156884694</v>
      </c>
      <c r="EZ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>
        <f>FE195*VLOOKUP('Données projet'!$B$16,Paramètres!$A$1:$I$89,3,0)*VLOOKUP('Données projet'!$B$16,Paramètres!$A$1:$I$89,5,0)</f>
        <v>0</v>
      </c>
      <c r="FG195" s="14" t="e">
        <f t="shared" si="182"/>
        <v>#NUM!</v>
      </c>
      <c r="FH195" s="22" t="e">
        <f t="shared" si="183"/>
        <v>#NUM!</v>
      </c>
      <c r="FI195" s="60" t="e">
        <f t="shared" si="131"/>
        <v>#NUM!</v>
      </c>
      <c r="FJ195" s="60">
        <f ca="1">AVERAGE(OFFSET($FI$3,0,0,'Données projet'!$E$16+1,1))-AVERAGE(OFFSET($H$3,0,0,'Données projet'!$E$16+1,1))</f>
        <v>111.24788725253484</v>
      </c>
      <c r="FK195" s="60">
        <f t="shared" si="156"/>
        <v>82.434879813357327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projet'!$B$16,Paramètres!$A$1:$I$89,3,0)*0.475*44/12</f>
        <v>0</v>
      </c>
      <c r="FR195" s="23">
        <f>EXP(-LN(2)/25)*FR194+(1-EXP(-LN(2)/25))/(LN(2)/25)*Calculateur!FM195*Calculateur!FO195*VLOOKUP('Données projet'!$B$16,Paramètres!$A$1:$I$89,3,0)*0.475*44/12</f>
        <v>0</v>
      </c>
      <c r="FS195" s="23">
        <f>EXP(-LN(2)/2)*FS194+(1-EXP(-LN(2)/2))/(LN(2)/2)*FM195*FP195*VLOOKUP('Données projet'!$B$16,Paramètres!$A$1:$I$89,3,0)*0.475*44/12</f>
        <v>0</v>
      </c>
      <c r="FT195" s="24">
        <f t="shared" si="184"/>
        <v>0</v>
      </c>
      <c r="FU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1.0231815394945443E-12</v>
      </c>
      <c r="GA195" s="18">
        <f>FZ195*VLOOKUP('Données projet'!$B$17,Paramètres!$A$1:$I$89,3,0)*VLOOKUP('Données projet'!$B$17,Paramètres!$A$1:$I$89,5,0)</f>
        <v>4.5224624045658859E-13</v>
      </c>
      <c r="GB195" s="14">
        <f t="shared" si="185"/>
        <v>5.6995607121061449E-12</v>
      </c>
      <c r="GC195" s="22">
        <f t="shared" si="186"/>
        <v>1.0714397109046761E-11</v>
      </c>
      <c r="GD195" s="60">
        <f t="shared" si="134"/>
        <v>293.333333333344</v>
      </c>
      <c r="GE195" s="60">
        <f ca="1">AVERAGE(OFFSET($GD$3,0,0,'Données projet'!$E$17+1,1))-AVERAGE(OFFSET($H$3,0,0,'Données projet'!$E$17+1,1))</f>
        <v>323.56667371063662</v>
      </c>
      <c r="GF195" s="60">
        <f t="shared" si="158"/>
        <v>275.70373467723385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>
        <f>EXP(-LN(2)/35)*GL194+(1-EXP(-LN(2)/35))/(LN(2)/35)*GH195*GI195*VLOOKUP('Données projet'!$B$17,Paramètres!$A$1:$I$89,3,0)*0.475*44/12</f>
        <v>0</v>
      </c>
      <c r="GM195" s="23">
        <f>EXP(-LN(2)/25)*GM194+(1-EXP(-LN(2)/25))/(LN(2)/25)*Calculateur!GH195*Calculateur!GJ195*VLOOKUP('Données projet'!$B$17,Paramètres!$A$1:$I$89,3,0)*0.475*44/12</f>
        <v>0</v>
      </c>
      <c r="GN195" s="23">
        <f>EXP(-LN(2)/2)*GN194+(1-EXP(-LN(2)/2))/(LN(2)/2)*GH195*GK195*VLOOKUP('Données projet'!$B$17,Paramètres!$A$1:$I$89,3,0)*0.475*44/12</f>
        <v>0</v>
      </c>
      <c r="GO195" s="23">
        <f t="shared" si="187"/>
        <v>0</v>
      </c>
      <c r="GP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0" t="e">
        <f t="shared" si="137"/>
        <v>#N/A</v>
      </c>
      <c r="GZ195" s="60" t="e">
        <f ca="1">AVERAGE(OFFSET($GY$3,0,0,'Données projet'!$E$18+1,1))-AVERAGE(OFFSET($H$3,0,0,'Données projet'!$E$18+1,1))</f>
        <v>#N/A</v>
      </c>
      <c r="HA195" s="60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4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2">
        <f t="shared" si="140"/>
        <v>28.239299677889207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-1.1368683772161603E-13</v>
      </c>
      <c r="O196" s="14">
        <f>N196*VLOOKUP('Données projet'!$B$9,Paramètres!$A$1:$I$89,3,0)*VLOOKUP('Données projet'!$B$9,Paramètres!$A$1:$I$89,5,0)</f>
        <v>-6.7984728957526396E-14</v>
      </c>
      <c r="P196" s="14" t="e">
        <f t="shared" si="141"/>
        <v>#NUM!</v>
      </c>
      <c r="Q196" s="22" t="e">
        <f t="shared" si="162"/>
        <v>#NUM!</v>
      </c>
      <c r="R196" s="60" t="e">
        <f t="shared" si="191"/>
        <v>#NUM!</v>
      </c>
      <c r="S196" s="60">
        <f ca="1">AVERAGE(OFFSET($R$3,0,0,'Données projet'!$E$9+1,1))-AVERAGE(OFFSET($H$3,0,0,'Données projet'!$E$9+1,1))</f>
        <v>235.63766249714581</v>
      </c>
      <c r="T196" s="60">
        <f t="shared" si="142"/>
        <v>231.3297293785277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0.45474030019524386</v>
      </c>
      <c r="AA196" s="23">
        <f>EXP(-LN(2)/25)*AA195+(1-EXP(-LN(2)/25))/(LN(2)/25)*Calculateur!V196*Calculateur!X196*VLOOKUP('Données projet'!$B$9,Paramètres!$A$1:$I$89,3,0)*0.475*44/12</f>
        <v>0.18838794357081126</v>
      </c>
      <c r="AB196" s="23">
        <f>EXP(-LN(2)/2)*AB195+(1-EXP(-LN(2)/2))/(LN(2)/2)*V196*Y196*VLOOKUP('Données projet'!$B$9,Paramètres!$A$1:$I$89,3,0)*0.475*44/12</f>
        <v>2.0800486279769853E-24</v>
      </c>
      <c r="AC196" s="24">
        <f t="shared" si="163"/>
        <v>0.64312824376605515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-9.6633812063373625E-13</v>
      </c>
      <c r="AJ196" s="14">
        <f>AI196*VLOOKUP('Données projet'!$B$10,Paramètres!$A$1:$I$89,3,0)*VLOOKUP('Données projet'!$B$10,Paramètres!$A$1:$I$89,5,0)</f>
        <v>-9.7986685432260874E-13</v>
      </c>
      <c r="AK196" s="14" t="e">
        <f t="shared" si="164"/>
        <v>#NUM!</v>
      </c>
      <c r="AL196" s="22" t="e">
        <f t="shared" si="165"/>
        <v>#NUM!</v>
      </c>
      <c r="AM196" s="60" t="e">
        <f t="shared" ref="AM196:AM203" si="193">AL196+(AD196+AE196)*44/12</f>
        <v>#NUM!</v>
      </c>
      <c r="AN196" s="60">
        <f ca="1">AVERAGE(OFFSET($AM$3,0,0,'Données projet'!$E$10+1,1))-AVERAGE(OFFSET($H$3,0,0,'Données projet'!$E$10+1,1))</f>
        <v>350.3652766444938</v>
      </c>
      <c r="AO196" s="60">
        <f t="shared" si="144"/>
        <v>197.04549436738586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6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-9.6633812063373625E-13</v>
      </c>
      <c r="BE196" s="14">
        <f>BD196*VLOOKUP('Données projet'!$B$11,Paramètres!$A$1:$I$89,3,0)*VLOOKUP('Données projet'!$B$11,Paramètres!$A$1:$I$89,5,0)</f>
        <v>-9.3464223027694966E-13</v>
      </c>
      <c r="BF196" s="14" t="e">
        <f t="shared" si="167"/>
        <v>#NUM!</v>
      </c>
      <c r="BG196" s="22" t="e">
        <f t="shared" si="168"/>
        <v>#NUM!</v>
      </c>
      <c r="BH196" s="60" t="e">
        <f t="shared" ref="BH196:BH203" si="194">BG196+(AY196+AZ196)*44/12</f>
        <v>#NUM!</v>
      </c>
      <c r="BI196" s="60">
        <f ca="1">AVERAGE(OFFSET($BH$3,0,0,'Données projet'!$E$11+1,1))-AVERAGE(OFFSET($H$3,0,0,'Données projet'!$E$11+1,1))</f>
        <v>330.39429528665841</v>
      </c>
      <c r="BJ196" s="60">
        <f t="shared" si="146"/>
        <v>186.45728006007261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1.7053025658242404E-13</v>
      </c>
      <c r="BZ196" s="14">
        <f>BY196*VLOOKUP('Données projet'!$B$12,Paramètres!$A$1:$I$89,3,0)*VLOOKUP('Données projet'!$B$12,Paramètres!$A$1:$I$89,5,0)</f>
        <v>1.1439169611549005E-13</v>
      </c>
      <c r="CA196" s="14">
        <f t="shared" si="170"/>
        <v>1.6918016515029816E-12</v>
      </c>
      <c r="CB196" s="22">
        <f t="shared" si="171"/>
        <v>3.1457867471021712E-12</v>
      </c>
      <c r="CC196" s="60">
        <f t="shared" ref="CC196:CC203" si="195">CB196+(BT196+BU196)*44/12</f>
        <v>293.33333333333644</v>
      </c>
      <c r="CD196" s="60">
        <f ca="1">AVERAGE(OFFSET($CC$3,0,0,'Données projet'!$E$12+1,1))-AVERAGE(OFFSET($H$3,0,0,'Données projet'!$E$12+1,1))</f>
        <v>212.33913923444732</v>
      </c>
      <c r="CE196" s="60">
        <f t="shared" si="148"/>
        <v>183.51194426094372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-3.979039320256561E-13</v>
      </c>
      <c r="CU196" s="18">
        <f>CT196*VLOOKUP('Données projet'!$B$13,Paramètres!$A$1:$I$89,3,0)*VLOOKUP('Données projet'!$B$13,Paramètres!$A$1:$I$89,5,0)</f>
        <v>-3.4760887501761321E-13</v>
      </c>
      <c r="CV196" s="14" t="e">
        <f t="shared" si="173"/>
        <v>#NUM!</v>
      </c>
      <c r="CW196" s="22" t="e">
        <f t="shared" si="174"/>
        <v>#NUM!</v>
      </c>
      <c r="CX196" s="60" t="e">
        <f t="shared" ref="CX196:CX203" si="196">CW196+(CO196+CP196)*44/12</f>
        <v>#NUM!</v>
      </c>
      <c r="CY196" s="60">
        <f ca="1">AVERAGE(OFFSET($CX$3,0,0,'Données projet'!$E$13+1,1))-AVERAGE(OFFSET($H$3,0,0,'Données projet'!$E$13+1,1))</f>
        <v>228.0393346366489</v>
      </c>
      <c r="CZ196" s="60">
        <f t="shared" si="150"/>
        <v>238.591781509447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-9.6633812063373625E-13</v>
      </c>
      <c r="DP196" s="18">
        <f>DO196*VLOOKUP('Données projet'!$B$14,Paramètres!$A$1:$I$89,3,0)*VLOOKUP('Données projet'!$B$14,Paramètres!$A$1:$I$89,5,0)</f>
        <v>-8.7434273154940449E-13</v>
      </c>
      <c r="DQ196" s="14" t="e">
        <f t="shared" si="176"/>
        <v>#NUM!</v>
      </c>
      <c r="DR196" s="22" t="e">
        <f t="shared" si="177"/>
        <v>#NUM!</v>
      </c>
      <c r="DS196" s="60" t="e">
        <f t="shared" ref="DS196:DS203" si="197">DR196+(DJ196+DK196)*44/12</f>
        <v>#NUM!</v>
      </c>
      <c r="DT196" s="60">
        <f ca="1">AVERAGE(OFFSET($DS$3,0,0,'Données projet'!$E$14+1,1))-AVERAGE(OFFSET($H$3,0,0,'Données projet'!$E$14+1,1))</f>
        <v>303.73499739059076</v>
      </c>
      <c r="DU196" s="60">
        <f t="shared" si="152"/>
        <v>172.32171001882188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1.1368683772161603E-13</v>
      </c>
      <c r="EK196" s="18">
        <f>EJ196*VLOOKUP('Données projet'!$B$15,Paramètres!$A$1:$I$89,3,0)*VLOOKUP('Données projet'!$B$15,Paramètres!$A$1:$I$89,5,0)</f>
        <v>6.7984728957526396E-14</v>
      </c>
      <c r="EL196" s="14">
        <f t="shared" si="179"/>
        <v>1.0682447123141398E-12</v>
      </c>
      <c r="EM196" s="22">
        <f t="shared" si="180"/>
        <v>1.978932943548152E-12</v>
      </c>
      <c r="EN196" s="60">
        <f t="shared" ref="EN196:EN203" si="198">EM196+(EE196+EF196)*44/12</f>
        <v>293.3333333333353</v>
      </c>
      <c r="EO196" s="60">
        <f ca="1">AVERAGE(OFFSET($EN$3,0,0,'Données projet'!$E$15+1,1))-AVERAGE(OFFSET($H$3,0,0,'Données projet'!$E$15+1,1))</f>
        <v>269.94948820700841</v>
      </c>
      <c r="EP196" s="60">
        <f t="shared" si="154"/>
        <v>183.45158355135192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0.14878762615809313</v>
      </c>
      <c r="EX196" s="23">
        <f>EXP(-LN(2)/2)*EX195+(1-EXP(-LN(2)/2))/(LN(2)/2)*ER196*EU196*VLOOKUP('Données projet'!$B$15,Paramètres!$A$1:$I$89,3,0)*0.475*44/12</f>
        <v>1.6488565190123962E-24</v>
      </c>
      <c r="EY196" s="24">
        <f t="shared" si="181"/>
        <v>0.14878762615809313</v>
      </c>
      <c r="EZ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>
        <f>FE196*VLOOKUP('Données projet'!$B$16,Paramètres!$A$1:$I$89,3,0)*VLOOKUP('Données projet'!$B$16,Paramètres!$A$1:$I$89,5,0)</f>
        <v>0</v>
      </c>
      <c r="FG196" s="14" t="e">
        <f t="shared" si="182"/>
        <v>#NUM!</v>
      </c>
      <c r="FH196" s="22" t="e">
        <f t="shared" si="183"/>
        <v>#NUM!</v>
      </c>
      <c r="FI196" s="60" t="e">
        <f t="shared" ref="FI196:FI203" si="199">FH196+(EZ196+FA196)*44/12</f>
        <v>#NUM!</v>
      </c>
      <c r="FJ196" s="60">
        <f ca="1">AVERAGE(OFFSET($FI$3,0,0,'Données projet'!$E$16+1,1))-AVERAGE(OFFSET($H$3,0,0,'Données projet'!$E$16+1,1))</f>
        <v>111.24788725253484</v>
      </c>
      <c r="FK196" s="60">
        <f t="shared" si="156"/>
        <v>82.434879813357327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projet'!$B$16,Paramètres!$A$1:$I$89,3,0)*0.475*44/12</f>
        <v>0</v>
      </c>
      <c r="FR196" s="23">
        <f>EXP(-LN(2)/25)*FR195+(1-EXP(-LN(2)/25))/(LN(2)/25)*Calculateur!FM196*Calculateur!FO196*VLOOKUP('Données projet'!$B$16,Paramètres!$A$1:$I$89,3,0)*0.475*44/12</f>
        <v>0</v>
      </c>
      <c r="FS196" s="23">
        <f>EXP(-LN(2)/2)*FS195+(1-EXP(-LN(2)/2))/(LN(2)/2)*FM196*FP196*VLOOKUP('Données projet'!$B$16,Paramètres!$A$1:$I$89,3,0)*0.475*44/12</f>
        <v>0</v>
      </c>
      <c r="FT196" s="24">
        <f t="shared" si="184"/>
        <v>0</v>
      </c>
      <c r="FU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1.0231815394945443E-12</v>
      </c>
      <c r="GA196" s="18">
        <f>FZ196*VLOOKUP('Données projet'!$B$17,Paramètres!$A$1:$I$89,3,0)*VLOOKUP('Données projet'!$B$17,Paramètres!$A$1:$I$89,5,0)</f>
        <v>4.5224624045658859E-13</v>
      </c>
      <c r="GB196" s="14">
        <f t="shared" si="185"/>
        <v>5.6995607121061449E-12</v>
      </c>
      <c r="GC196" s="22">
        <f t="shared" si="186"/>
        <v>1.0714397109046761E-11</v>
      </c>
      <c r="GD196" s="60">
        <f t="shared" ref="GD196:GD203" si="200">GC196+(FU196+FV196)*44/12</f>
        <v>293.333333333344</v>
      </c>
      <c r="GE196" s="60">
        <f ca="1">AVERAGE(OFFSET($GD$3,0,0,'Données projet'!$E$17+1,1))-AVERAGE(OFFSET($H$3,0,0,'Données projet'!$E$17+1,1))</f>
        <v>323.56667371063662</v>
      </c>
      <c r="GF196" s="60">
        <f t="shared" si="158"/>
        <v>275.70373467723385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>
        <f>EXP(-LN(2)/35)*GL195+(1-EXP(-LN(2)/35))/(LN(2)/35)*GH196*GI196*VLOOKUP('Données projet'!$B$17,Paramètres!$A$1:$I$89,3,0)*0.475*44/12</f>
        <v>0</v>
      </c>
      <c r="GM196" s="23">
        <f>EXP(-LN(2)/25)*GM195+(1-EXP(-LN(2)/25))/(LN(2)/25)*Calculateur!GH196*Calculateur!GJ196*VLOOKUP('Données projet'!$B$17,Paramètres!$A$1:$I$89,3,0)*0.475*44/12</f>
        <v>0</v>
      </c>
      <c r="GN196" s="23">
        <f>EXP(-LN(2)/2)*GN195+(1-EXP(-LN(2)/2))/(LN(2)/2)*GH196*GK196*VLOOKUP('Données projet'!$B$17,Paramètres!$A$1:$I$89,3,0)*0.475*44/12</f>
        <v>0</v>
      </c>
      <c r="GO196" s="23">
        <f t="shared" si="187"/>
        <v>0</v>
      </c>
      <c r="GP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0" t="e">
        <f t="shared" ref="GY196:GY203" si="201">GX196+(GP196+GQ196)*44/12</f>
        <v>#N/A</v>
      </c>
      <c r="GZ196" s="60" t="e">
        <f ca="1">AVERAGE(OFFSET($GY$3,0,0,'Données projet'!$E$18+1,1))-AVERAGE(OFFSET($H$3,0,0,'Données projet'!$E$18+1,1))</f>
        <v>#N/A</v>
      </c>
      <c r="HA196" s="60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4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2">
        <f t="shared" ref="D197:D203" si="202">IFERROR(EXP(-1.0587+0.8836*LN(C197)+0.284),0)</f>
        <v>28.368547010555559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-1.1368683772161603E-13</v>
      </c>
      <c r="O197" s="14">
        <f>N197*VLOOKUP('Données projet'!$B$9,Paramètres!$A$1:$I$89,3,0)*VLOOKUP('Données projet'!$B$9,Paramètres!$A$1:$I$89,5,0)</f>
        <v>-6.7984728957526396E-14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0" t="e">
        <f t="shared" si="191"/>
        <v>#NUM!</v>
      </c>
      <c r="S197" s="60">
        <f ca="1">AVERAGE(OFFSET($R$3,0,0,'Données projet'!$E$9+1,1))-AVERAGE(OFFSET($H$3,0,0,'Données projet'!$E$9+1,1))</f>
        <v>235.63766249714581</v>
      </c>
      <c r="T197" s="60">
        <f t="shared" ref="T197:T203" si="204">$T$3</f>
        <v>231.3297293785277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0.44582312027261078</v>
      </c>
      <c r="AA197" s="23">
        <f>EXP(-LN(2)/25)*AA196+(1-EXP(-LN(2)/25))/(LN(2)/25)*Calculateur!V197*Calculateur!X197*VLOOKUP('Données projet'!$B$9,Paramètres!$A$1:$I$89,3,0)*0.475*44/12</f>
        <v>0.18323646534697605</v>
      </c>
      <c r="AB197" s="23">
        <f>EXP(-LN(2)/2)*AB196+(1-EXP(-LN(2)/2))/(LN(2)/2)*V197*Y197*VLOOKUP('Données projet'!$B$9,Paramètres!$A$1:$I$89,3,0)*0.475*44/12</f>
        <v>1.4708164900403005E-24</v>
      </c>
      <c r="AC197" s="24">
        <f t="shared" si="163"/>
        <v>0.62905958561958686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-9.6633812063373625E-13</v>
      </c>
      <c r="AJ197" s="14">
        <f>AI197*VLOOKUP('Données projet'!$B$10,Paramètres!$A$1:$I$89,3,0)*VLOOKUP('Données projet'!$B$10,Paramètres!$A$1:$I$89,5,0)</f>
        <v>-9.7986685432260874E-13</v>
      </c>
      <c r="AK197" s="14" t="e">
        <f t="shared" si="164"/>
        <v>#NUM!</v>
      </c>
      <c r="AL197" s="22" t="e">
        <f t="shared" si="165"/>
        <v>#NUM!</v>
      </c>
      <c r="AM197" s="60" t="e">
        <f t="shared" si="193"/>
        <v>#NUM!</v>
      </c>
      <c r="AN197" s="60">
        <f ca="1">AVERAGE(OFFSET($AM$3,0,0,'Données projet'!$E$10+1,1))-AVERAGE(OFFSET($H$3,0,0,'Données projet'!$E$10+1,1))</f>
        <v>350.3652766444938</v>
      </c>
      <c r="AO197" s="60">
        <f t="shared" ref="AO197:AO203" si="205">$AO$3</f>
        <v>197.04549436738586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6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-9.6633812063373625E-13</v>
      </c>
      <c r="BE197" s="14">
        <f>BD197*VLOOKUP('Données projet'!$B$11,Paramètres!$A$1:$I$89,3,0)*VLOOKUP('Données projet'!$B$11,Paramètres!$A$1:$I$89,5,0)</f>
        <v>-9.3464223027694966E-13</v>
      </c>
      <c r="BF197" s="14" t="e">
        <f t="shared" si="167"/>
        <v>#NUM!</v>
      </c>
      <c r="BG197" s="22" t="e">
        <f t="shared" si="168"/>
        <v>#NUM!</v>
      </c>
      <c r="BH197" s="60" t="e">
        <f t="shared" si="194"/>
        <v>#NUM!</v>
      </c>
      <c r="BI197" s="60">
        <f ca="1">AVERAGE(OFFSET($BH$3,0,0,'Données projet'!$E$11+1,1))-AVERAGE(OFFSET($H$3,0,0,'Données projet'!$E$11+1,1))</f>
        <v>330.39429528665841</v>
      </c>
      <c r="BJ197" s="60">
        <f t="shared" ref="BJ197:BJ203" si="206">$BJ$3</f>
        <v>186.45728006007261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1.7053025658242404E-13</v>
      </c>
      <c r="BZ197" s="14">
        <f>BY197*VLOOKUP('Données projet'!$B$12,Paramètres!$A$1:$I$89,3,0)*VLOOKUP('Données projet'!$B$12,Paramètres!$A$1:$I$89,5,0)</f>
        <v>1.1439169611549005E-13</v>
      </c>
      <c r="CA197" s="14">
        <f t="shared" si="170"/>
        <v>1.6918016515029816E-12</v>
      </c>
      <c r="CB197" s="22">
        <f t="shared" si="171"/>
        <v>3.1457867471021712E-12</v>
      </c>
      <c r="CC197" s="60">
        <f t="shared" si="195"/>
        <v>293.33333333333644</v>
      </c>
      <c r="CD197" s="60">
        <f ca="1">AVERAGE(OFFSET($CC$3,0,0,'Données projet'!$E$12+1,1))-AVERAGE(OFFSET($H$3,0,0,'Données projet'!$E$12+1,1))</f>
        <v>212.33913923444732</v>
      </c>
      <c r="CE197" s="60">
        <f t="shared" ref="CE197:CE203" si="207">$CE$3</f>
        <v>183.51194426094372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-3.979039320256561E-13</v>
      </c>
      <c r="CU197" s="18">
        <f>CT197*VLOOKUP('Données projet'!$B$13,Paramètres!$A$1:$I$89,3,0)*VLOOKUP('Données projet'!$B$13,Paramètres!$A$1:$I$89,5,0)</f>
        <v>-3.4760887501761321E-13</v>
      </c>
      <c r="CV197" s="14" t="e">
        <f t="shared" si="173"/>
        <v>#NUM!</v>
      </c>
      <c r="CW197" s="22" t="e">
        <f t="shared" si="174"/>
        <v>#NUM!</v>
      </c>
      <c r="CX197" s="60" t="e">
        <f t="shared" si="196"/>
        <v>#NUM!</v>
      </c>
      <c r="CY197" s="60">
        <f ca="1">AVERAGE(OFFSET($CX$3,0,0,'Données projet'!$E$13+1,1))-AVERAGE(OFFSET($H$3,0,0,'Données projet'!$E$13+1,1))</f>
        <v>228.0393346366489</v>
      </c>
      <c r="CZ197" s="60">
        <f t="shared" ref="CZ197:CZ203" si="208">$CZ$3</f>
        <v>238.591781509447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-9.6633812063373625E-13</v>
      </c>
      <c r="DP197" s="18">
        <f>DO197*VLOOKUP('Données projet'!$B$14,Paramètres!$A$1:$I$89,3,0)*VLOOKUP('Données projet'!$B$14,Paramètres!$A$1:$I$89,5,0)</f>
        <v>-8.7434273154940449E-13</v>
      </c>
      <c r="DQ197" s="14" t="e">
        <f t="shared" si="176"/>
        <v>#NUM!</v>
      </c>
      <c r="DR197" s="22" t="e">
        <f t="shared" si="177"/>
        <v>#NUM!</v>
      </c>
      <c r="DS197" s="60" t="e">
        <f t="shared" si="197"/>
        <v>#NUM!</v>
      </c>
      <c r="DT197" s="60">
        <f ca="1">AVERAGE(OFFSET($DS$3,0,0,'Données projet'!$E$14+1,1))-AVERAGE(OFFSET($H$3,0,0,'Données projet'!$E$14+1,1))</f>
        <v>303.73499739059076</v>
      </c>
      <c r="DU197" s="60">
        <f t="shared" ref="DU197:DU203" si="209">$DU$3</f>
        <v>172.32171001882188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1.1368683772161603E-13</v>
      </c>
      <c r="EK197" s="18">
        <f>EJ197*VLOOKUP('Données projet'!$B$15,Paramètres!$A$1:$I$89,3,0)*VLOOKUP('Données projet'!$B$15,Paramètres!$A$1:$I$89,5,0)</f>
        <v>6.7984728957526396E-14</v>
      </c>
      <c r="EL197" s="14">
        <f t="shared" si="179"/>
        <v>1.0682447123141398E-12</v>
      </c>
      <c r="EM197" s="22">
        <f t="shared" si="180"/>
        <v>1.978932943548152E-12</v>
      </c>
      <c r="EN197" s="60">
        <f t="shared" si="198"/>
        <v>293.3333333333353</v>
      </c>
      <c r="EO197" s="60">
        <f ca="1">AVERAGE(OFFSET($EN$3,0,0,'Données projet'!$E$15+1,1))-AVERAGE(OFFSET($H$3,0,0,'Données projet'!$E$15+1,1))</f>
        <v>269.94948820700841</v>
      </c>
      <c r="EP197" s="60">
        <f t="shared" ref="EP197:EP203" si="210">$EP$3</f>
        <v>183.45158355135192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0.14471902069639886</v>
      </c>
      <c r="EX197" s="23">
        <f>EXP(-LN(2)/2)*EX196+(1-EXP(-LN(2)/2))/(LN(2)/2)*ER197*EU197*VLOOKUP('Données projet'!$B$15,Paramètres!$A$1:$I$89,3,0)*0.475*44/12</f>
        <v>1.165917625797311E-24</v>
      </c>
      <c r="EY197" s="24">
        <f t="shared" si="181"/>
        <v>0.14471902069639886</v>
      </c>
      <c r="EZ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>
        <f>FE197*VLOOKUP('Données projet'!$B$16,Paramètres!$A$1:$I$89,3,0)*VLOOKUP('Données projet'!$B$16,Paramètres!$A$1:$I$89,5,0)</f>
        <v>0</v>
      </c>
      <c r="FG197" s="14" t="e">
        <f t="shared" si="182"/>
        <v>#NUM!</v>
      </c>
      <c r="FH197" s="22" t="e">
        <f t="shared" si="183"/>
        <v>#NUM!</v>
      </c>
      <c r="FI197" s="60" t="e">
        <f t="shared" si="199"/>
        <v>#NUM!</v>
      </c>
      <c r="FJ197" s="60">
        <f ca="1">AVERAGE(OFFSET($FI$3,0,0,'Données projet'!$E$16+1,1))-AVERAGE(OFFSET($H$3,0,0,'Données projet'!$E$16+1,1))</f>
        <v>111.24788725253484</v>
      </c>
      <c r="FK197" s="60">
        <f t="shared" ref="FK197:FK203" si="211">$FK$3</f>
        <v>82.434879813357327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projet'!$B$16,Paramètres!$A$1:$I$89,3,0)*0.475*44/12</f>
        <v>0</v>
      </c>
      <c r="FR197" s="23">
        <f>EXP(-LN(2)/25)*FR196+(1-EXP(-LN(2)/25))/(LN(2)/25)*Calculateur!FM197*Calculateur!FO197*VLOOKUP('Données projet'!$B$16,Paramètres!$A$1:$I$89,3,0)*0.475*44/12</f>
        <v>0</v>
      </c>
      <c r="FS197" s="23">
        <f>EXP(-LN(2)/2)*FS196+(1-EXP(-LN(2)/2))/(LN(2)/2)*FM197*FP197*VLOOKUP('Données projet'!$B$16,Paramètres!$A$1:$I$89,3,0)*0.475*44/12</f>
        <v>0</v>
      </c>
      <c r="FT197" s="24">
        <f t="shared" si="184"/>
        <v>0</v>
      </c>
      <c r="FU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1.0231815394945443E-12</v>
      </c>
      <c r="GA197" s="18">
        <f>FZ197*VLOOKUP('Données projet'!$B$17,Paramètres!$A$1:$I$89,3,0)*VLOOKUP('Données projet'!$B$17,Paramètres!$A$1:$I$89,5,0)</f>
        <v>4.5224624045658859E-13</v>
      </c>
      <c r="GB197" s="14">
        <f t="shared" si="185"/>
        <v>5.6995607121061449E-12</v>
      </c>
      <c r="GC197" s="22">
        <f t="shared" si="186"/>
        <v>1.0714397109046761E-11</v>
      </c>
      <c r="GD197" s="60">
        <f t="shared" si="200"/>
        <v>293.333333333344</v>
      </c>
      <c r="GE197" s="60">
        <f ca="1">AVERAGE(OFFSET($GD$3,0,0,'Données projet'!$E$17+1,1))-AVERAGE(OFFSET($H$3,0,0,'Données projet'!$E$17+1,1))</f>
        <v>323.56667371063662</v>
      </c>
      <c r="GF197" s="60">
        <f t="shared" ref="GF197:GF203" si="212">$GF$3</f>
        <v>275.70373467723385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>
        <f>EXP(-LN(2)/35)*GL196+(1-EXP(-LN(2)/35))/(LN(2)/35)*GH197*GI197*VLOOKUP('Données projet'!$B$17,Paramètres!$A$1:$I$89,3,0)*0.475*44/12</f>
        <v>0</v>
      </c>
      <c r="GM197" s="23">
        <f>EXP(-LN(2)/25)*GM196+(1-EXP(-LN(2)/25))/(LN(2)/25)*Calculateur!GH197*Calculateur!GJ197*VLOOKUP('Données projet'!$B$17,Paramètres!$A$1:$I$89,3,0)*0.475*44/12</f>
        <v>0</v>
      </c>
      <c r="GN197" s="23">
        <f>EXP(-LN(2)/2)*GN196+(1-EXP(-LN(2)/2))/(LN(2)/2)*GH197*GK197*VLOOKUP('Données projet'!$B$17,Paramètres!$A$1:$I$89,3,0)*0.475*44/12</f>
        <v>0</v>
      </c>
      <c r="GO197" s="23">
        <f t="shared" si="187"/>
        <v>0</v>
      </c>
      <c r="GP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0" t="e">
        <f t="shared" si="201"/>
        <v>#N/A</v>
      </c>
      <c r="GZ197" s="60" t="e">
        <f ca="1">AVERAGE(OFFSET($GY$3,0,0,'Données projet'!$E$18+1,1))-AVERAGE(OFFSET($H$3,0,0,'Données projet'!$E$18+1,1))</f>
        <v>#N/A</v>
      </c>
      <c r="HA197" s="60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4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2">
        <f t="shared" si="202"/>
        <v>28.497716817719009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-1.1368683772161603E-13</v>
      </c>
      <c r="O198" s="14">
        <f>N198*VLOOKUP('Données projet'!$B$9,Paramètres!$A$1:$I$89,3,0)*VLOOKUP('Données projet'!$B$9,Paramètres!$A$1:$I$89,5,0)</f>
        <v>-6.7984728957526396E-14</v>
      </c>
      <c r="P198" s="14" t="e">
        <f t="shared" si="203"/>
        <v>#NUM!</v>
      </c>
      <c r="Q198" s="22" t="e">
        <f t="shared" si="162"/>
        <v>#NUM!</v>
      </c>
      <c r="R198" s="60" t="e">
        <f t="shared" si="191"/>
        <v>#NUM!</v>
      </c>
      <c r="S198" s="60">
        <f ca="1">AVERAGE(OFFSET($R$3,0,0,'Données projet'!$E$9+1,1))-AVERAGE(OFFSET($H$3,0,0,'Données projet'!$E$9+1,1))</f>
        <v>235.63766249714581</v>
      </c>
      <c r="T198" s="60">
        <f t="shared" si="204"/>
        <v>231.3297293785277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0.43708080080931788</v>
      </c>
      <c r="AA198" s="23">
        <f>EXP(-LN(2)/25)*AA197+(1-EXP(-LN(2)/25))/(LN(2)/25)*Calculateur!V198*Calculateur!X198*VLOOKUP('Données projet'!$B$9,Paramètres!$A$1:$I$89,3,0)*0.475*44/12</f>
        <v>0.17822585456607606</v>
      </c>
      <c r="AB198" s="23">
        <f>EXP(-LN(2)/2)*AB197+(1-EXP(-LN(2)/2))/(LN(2)/2)*V198*Y198*VLOOKUP('Données projet'!$B$9,Paramètres!$A$1:$I$89,3,0)*0.475*44/12</f>
        <v>1.0400243139884926E-24</v>
      </c>
      <c r="AC198" s="24">
        <f t="shared" si="163"/>
        <v>0.61530665537539397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-9.6633812063373625E-13</v>
      </c>
      <c r="AJ198" s="14">
        <f>AI198*VLOOKUP('Données projet'!$B$10,Paramètres!$A$1:$I$89,3,0)*VLOOKUP('Données projet'!$B$10,Paramètres!$A$1:$I$89,5,0)</f>
        <v>-9.7986685432260874E-13</v>
      </c>
      <c r="AK198" s="14" t="e">
        <f t="shared" si="164"/>
        <v>#NUM!</v>
      </c>
      <c r="AL198" s="22" t="e">
        <f t="shared" si="165"/>
        <v>#NUM!</v>
      </c>
      <c r="AM198" s="60" t="e">
        <f t="shared" si="193"/>
        <v>#NUM!</v>
      </c>
      <c r="AN198" s="60">
        <f ca="1">AVERAGE(OFFSET($AM$3,0,0,'Données projet'!$E$10+1,1))-AVERAGE(OFFSET($H$3,0,0,'Données projet'!$E$10+1,1))</f>
        <v>350.3652766444938</v>
      </c>
      <c r="AO198" s="60">
        <f t="shared" si="205"/>
        <v>197.04549436738586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6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-9.6633812063373625E-13</v>
      </c>
      <c r="BE198" s="14">
        <f>BD198*VLOOKUP('Données projet'!$B$11,Paramètres!$A$1:$I$89,3,0)*VLOOKUP('Données projet'!$B$11,Paramètres!$A$1:$I$89,5,0)</f>
        <v>-9.3464223027694966E-13</v>
      </c>
      <c r="BF198" s="14" t="e">
        <f t="shared" si="167"/>
        <v>#NUM!</v>
      </c>
      <c r="BG198" s="22" t="e">
        <f t="shared" si="168"/>
        <v>#NUM!</v>
      </c>
      <c r="BH198" s="60" t="e">
        <f t="shared" si="194"/>
        <v>#NUM!</v>
      </c>
      <c r="BI198" s="60">
        <f ca="1">AVERAGE(OFFSET($BH$3,0,0,'Données projet'!$E$11+1,1))-AVERAGE(OFFSET($H$3,0,0,'Données projet'!$E$11+1,1))</f>
        <v>330.39429528665841</v>
      </c>
      <c r="BJ198" s="60">
        <f t="shared" si="206"/>
        <v>186.45728006007261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1.7053025658242404E-13</v>
      </c>
      <c r="BZ198" s="14">
        <f>BY198*VLOOKUP('Données projet'!$B$12,Paramètres!$A$1:$I$89,3,0)*VLOOKUP('Données projet'!$B$12,Paramètres!$A$1:$I$89,5,0)</f>
        <v>1.1439169611549005E-13</v>
      </c>
      <c r="CA198" s="14">
        <f t="shared" si="170"/>
        <v>1.6918016515029816E-12</v>
      </c>
      <c r="CB198" s="22">
        <f t="shared" si="171"/>
        <v>3.1457867471021712E-12</v>
      </c>
      <c r="CC198" s="60">
        <f t="shared" si="195"/>
        <v>293.33333333333644</v>
      </c>
      <c r="CD198" s="60">
        <f ca="1">AVERAGE(OFFSET($CC$3,0,0,'Données projet'!$E$12+1,1))-AVERAGE(OFFSET($H$3,0,0,'Données projet'!$E$12+1,1))</f>
        <v>212.33913923444732</v>
      </c>
      <c r="CE198" s="60">
        <f t="shared" si="207"/>
        <v>183.51194426094372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-3.979039320256561E-13</v>
      </c>
      <c r="CU198" s="18">
        <f>CT198*VLOOKUP('Données projet'!$B$13,Paramètres!$A$1:$I$89,3,0)*VLOOKUP('Données projet'!$B$13,Paramètres!$A$1:$I$89,5,0)</f>
        <v>-3.4760887501761321E-13</v>
      </c>
      <c r="CV198" s="14" t="e">
        <f t="shared" si="173"/>
        <v>#NUM!</v>
      </c>
      <c r="CW198" s="22" t="e">
        <f t="shared" si="174"/>
        <v>#NUM!</v>
      </c>
      <c r="CX198" s="60" t="e">
        <f t="shared" si="196"/>
        <v>#NUM!</v>
      </c>
      <c r="CY198" s="60">
        <f ca="1">AVERAGE(OFFSET($CX$3,0,0,'Données projet'!$E$13+1,1))-AVERAGE(OFFSET($H$3,0,0,'Données projet'!$E$13+1,1))</f>
        <v>228.0393346366489</v>
      </c>
      <c r="CZ198" s="60">
        <f t="shared" si="208"/>
        <v>238.591781509447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-9.6633812063373625E-13</v>
      </c>
      <c r="DP198" s="18">
        <f>DO198*VLOOKUP('Données projet'!$B$14,Paramètres!$A$1:$I$89,3,0)*VLOOKUP('Données projet'!$B$14,Paramètres!$A$1:$I$89,5,0)</f>
        <v>-8.7434273154940449E-13</v>
      </c>
      <c r="DQ198" s="14" t="e">
        <f t="shared" si="176"/>
        <v>#NUM!</v>
      </c>
      <c r="DR198" s="22" t="e">
        <f t="shared" si="177"/>
        <v>#NUM!</v>
      </c>
      <c r="DS198" s="60" t="e">
        <f t="shared" si="197"/>
        <v>#NUM!</v>
      </c>
      <c r="DT198" s="60">
        <f ca="1">AVERAGE(OFFSET($DS$3,0,0,'Données projet'!$E$14+1,1))-AVERAGE(OFFSET($H$3,0,0,'Données projet'!$E$14+1,1))</f>
        <v>303.73499739059076</v>
      </c>
      <c r="DU198" s="60">
        <f t="shared" si="209"/>
        <v>172.32171001882188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1.1368683772161603E-13</v>
      </c>
      <c r="EK198" s="18">
        <f>EJ198*VLOOKUP('Données projet'!$B$15,Paramètres!$A$1:$I$89,3,0)*VLOOKUP('Données projet'!$B$15,Paramètres!$A$1:$I$89,5,0)</f>
        <v>6.7984728957526396E-14</v>
      </c>
      <c r="EL198" s="14">
        <f t="shared" si="179"/>
        <v>1.0682447123141398E-12</v>
      </c>
      <c r="EM198" s="22">
        <f t="shared" si="180"/>
        <v>1.978932943548152E-12</v>
      </c>
      <c r="EN198" s="60">
        <f t="shared" si="198"/>
        <v>293.3333333333353</v>
      </c>
      <c r="EO198" s="60">
        <f ca="1">AVERAGE(OFFSET($EN$3,0,0,'Données projet'!$E$15+1,1))-AVERAGE(OFFSET($H$3,0,0,'Données projet'!$E$15+1,1))</f>
        <v>269.94948820700841</v>
      </c>
      <c r="EP198" s="60">
        <f t="shared" si="210"/>
        <v>183.45158355135192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0.14076167146501328</v>
      </c>
      <c r="EX198" s="23">
        <f>EXP(-LN(2)/2)*EX197+(1-EXP(-LN(2)/2))/(LN(2)/2)*ER198*EU198*VLOOKUP('Données projet'!$B$15,Paramètres!$A$1:$I$89,3,0)*0.475*44/12</f>
        <v>8.2442825950619821E-25</v>
      </c>
      <c r="EY198" s="24">
        <f t="shared" si="181"/>
        <v>0.14076167146501328</v>
      </c>
      <c r="EZ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>
        <f>FE198*VLOOKUP('Données projet'!$B$16,Paramètres!$A$1:$I$89,3,0)*VLOOKUP('Données projet'!$B$16,Paramètres!$A$1:$I$89,5,0)</f>
        <v>0</v>
      </c>
      <c r="FG198" s="14" t="e">
        <f t="shared" si="182"/>
        <v>#NUM!</v>
      </c>
      <c r="FH198" s="22" t="e">
        <f t="shared" si="183"/>
        <v>#NUM!</v>
      </c>
      <c r="FI198" s="60" t="e">
        <f t="shared" si="199"/>
        <v>#NUM!</v>
      </c>
      <c r="FJ198" s="60">
        <f ca="1">AVERAGE(OFFSET($FI$3,0,0,'Données projet'!$E$16+1,1))-AVERAGE(OFFSET($H$3,0,0,'Données projet'!$E$16+1,1))</f>
        <v>111.24788725253484</v>
      </c>
      <c r="FK198" s="60">
        <f t="shared" si="211"/>
        <v>82.434879813357327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projet'!$B$16,Paramètres!$A$1:$I$89,3,0)*0.475*44/12</f>
        <v>0</v>
      </c>
      <c r="FR198" s="23">
        <f>EXP(-LN(2)/25)*FR197+(1-EXP(-LN(2)/25))/(LN(2)/25)*Calculateur!FM198*Calculateur!FO198*VLOOKUP('Données projet'!$B$16,Paramètres!$A$1:$I$89,3,0)*0.475*44/12</f>
        <v>0</v>
      </c>
      <c r="FS198" s="23">
        <f>EXP(-LN(2)/2)*FS197+(1-EXP(-LN(2)/2))/(LN(2)/2)*FM198*FP198*VLOOKUP('Données projet'!$B$16,Paramètres!$A$1:$I$89,3,0)*0.475*44/12</f>
        <v>0</v>
      </c>
      <c r="FT198" s="24">
        <f t="shared" si="184"/>
        <v>0</v>
      </c>
      <c r="FU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1.0231815394945443E-12</v>
      </c>
      <c r="GA198" s="18">
        <f>FZ198*VLOOKUP('Données projet'!$B$17,Paramètres!$A$1:$I$89,3,0)*VLOOKUP('Données projet'!$B$17,Paramètres!$A$1:$I$89,5,0)</f>
        <v>4.5224624045658859E-13</v>
      </c>
      <c r="GB198" s="14">
        <f t="shared" si="185"/>
        <v>5.6995607121061449E-12</v>
      </c>
      <c r="GC198" s="22">
        <f t="shared" si="186"/>
        <v>1.0714397109046761E-11</v>
      </c>
      <c r="GD198" s="60">
        <f t="shared" si="200"/>
        <v>293.333333333344</v>
      </c>
      <c r="GE198" s="60">
        <f ca="1">AVERAGE(OFFSET($GD$3,0,0,'Données projet'!$E$17+1,1))-AVERAGE(OFFSET($H$3,0,0,'Données projet'!$E$17+1,1))</f>
        <v>323.56667371063662</v>
      </c>
      <c r="GF198" s="60">
        <f t="shared" si="212"/>
        <v>275.70373467723385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>
        <f>EXP(-LN(2)/35)*GL197+(1-EXP(-LN(2)/35))/(LN(2)/35)*GH198*GI198*VLOOKUP('Données projet'!$B$17,Paramètres!$A$1:$I$89,3,0)*0.475*44/12</f>
        <v>0</v>
      </c>
      <c r="GM198" s="23">
        <f>EXP(-LN(2)/25)*GM197+(1-EXP(-LN(2)/25))/(LN(2)/25)*Calculateur!GH198*Calculateur!GJ198*VLOOKUP('Données projet'!$B$17,Paramètres!$A$1:$I$89,3,0)*0.475*44/12</f>
        <v>0</v>
      </c>
      <c r="GN198" s="23">
        <f>EXP(-LN(2)/2)*GN197+(1-EXP(-LN(2)/2))/(LN(2)/2)*GH198*GK198*VLOOKUP('Données projet'!$B$17,Paramètres!$A$1:$I$89,3,0)*0.475*44/12</f>
        <v>0</v>
      </c>
      <c r="GO198" s="23">
        <f t="shared" si="187"/>
        <v>0</v>
      </c>
      <c r="GP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0" t="e">
        <f t="shared" si="201"/>
        <v>#N/A</v>
      </c>
      <c r="GZ198" s="60" t="e">
        <f ca="1">AVERAGE(OFFSET($GY$3,0,0,'Données projet'!$E$18+1,1))-AVERAGE(OFFSET($H$3,0,0,'Données projet'!$E$18+1,1))</f>
        <v>#N/A</v>
      </c>
      <c r="HA198" s="60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4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2">
        <f t="shared" si="202"/>
        <v>28.626809543094431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-1.1368683772161603E-13</v>
      </c>
      <c r="O199" s="14">
        <f>N199*VLOOKUP('Données projet'!$B$9,Paramètres!$A$1:$I$89,3,0)*VLOOKUP('Données projet'!$B$9,Paramètres!$A$1:$I$89,5,0)</f>
        <v>-6.7984728957526396E-14</v>
      </c>
      <c r="P199" s="14" t="e">
        <f t="shared" si="203"/>
        <v>#NUM!</v>
      </c>
      <c r="Q199" s="22" t="e">
        <f t="shared" si="162"/>
        <v>#NUM!</v>
      </c>
      <c r="R199" s="60" t="e">
        <f t="shared" si="191"/>
        <v>#NUM!</v>
      </c>
      <c r="S199" s="60">
        <f ca="1">AVERAGE(OFFSET($R$3,0,0,'Données projet'!$E$9+1,1))-AVERAGE(OFFSET($H$3,0,0,'Données projet'!$E$9+1,1))</f>
        <v>235.63766249714581</v>
      </c>
      <c r="T199" s="60">
        <f t="shared" si="204"/>
        <v>231.3297293785277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0.42850991289841178</v>
      </c>
      <c r="AA199" s="23">
        <f>EXP(-LN(2)/25)*AA198+(1-EXP(-LN(2)/25))/(LN(2)/25)*Calculateur!V199*Calculateur!X199*VLOOKUP('Données projet'!$B$9,Paramètres!$A$1:$I$89,3,0)*0.475*44/12</f>
        <v>0.17335225920047637</v>
      </c>
      <c r="AB199" s="23">
        <f>EXP(-LN(2)/2)*AB198+(1-EXP(-LN(2)/2))/(LN(2)/2)*V199*Y199*VLOOKUP('Données projet'!$B$9,Paramètres!$A$1:$I$89,3,0)*0.475*44/12</f>
        <v>7.3540824502015026E-25</v>
      </c>
      <c r="AC199" s="24">
        <f t="shared" si="163"/>
        <v>0.60186217209888815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-9.6633812063373625E-13</v>
      </c>
      <c r="AJ199" s="14">
        <f>AI199*VLOOKUP('Données projet'!$B$10,Paramètres!$A$1:$I$89,3,0)*VLOOKUP('Données projet'!$B$10,Paramètres!$A$1:$I$89,5,0)</f>
        <v>-9.7986685432260874E-13</v>
      </c>
      <c r="AK199" s="14" t="e">
        <f t="shared" si="164"/>
        <v>#NUM!</v>
      </c>
      <c r="AL199" s="22" t="e">
        <f t="shared" si="165"/>
        <v>#NUM!</v>
      </c>
      <c r="AM199" s="60" t="e">
        <f t="shared" si="193"/>
        <v>#NUM!</v>
      </c>
      <c r="AN199" s="60">
        <f ca="1">AVERAGE(OFFSET($AM$3,0,0,'Données projet'!$E$10+1,1))-AVERAGE(OFFSET($H$3,0,0,'Données projet'!$E$10+1,1))</f>
        <v>350.3652766444938</v>
      </c>
      <c r="AO199" s="60">
        <f t="shared" si="205"/>
        <v>197.04549436738586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6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-9.6633812063373625E-13</v>
      </c>
      <c r="BE199" s="14">
        <f>BD199*VLOOKUP('Données projet'!$B$11,Paramètres!$A$1:$I$89,3,0)*VLOOKUP('Données projet'!$B$11,Paramètres!$A$1:$I$89,5,0)</f>
        <v>-9.3464223027694966E-13</v>
      </c>
      <c r="BF199" s="14" t="e">
        <f t="shared" si="167"/>
        <v>#NUM!</v>
      </c>
      <c r="BG199" s="22" t="e">
        <f t="shared" si="168"/>
        <v>#NUM!</v>
      </c>
      <c r="BH199" s="60" t="e">
        <f t="shared" si="194"/>
        <v>#NUM!</v>
      </c>
      <c r="BI199" s="60">
        <f ca="1">AVERAGE(OFFSET($BH$3,0,0,'Données projet'!$E$11+1,1))-AVERAGE(OFFSET($H$3,0,0,'Données projet'!$E$11+1,1))</f>
        <v>330.39429528665841</v>
      </c>
      <c r="BJ199" s="60">
        <f t="shared" si="206"/>
        <v>186.45728006007261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1.7053025658242404E-13</v>
      </c>
      <c r="BZ199" s="14">
        <f>BY199*VLOOKUP('Données projet'!$B$12,Paramètres!$A$1:$I$89,3,0)*VLOOKUP('Données projet'!$B$12,Paramètres!$A$1:$I$89,5,0)</f>
        <v>1.1439169611549005E-13</v>
      </c>
      <c r="CA199" s="14">
        <f t="shared" si="170"/>
        <v>1.6918016515029816E-12</v>
      </c>
      <c r="CB199" s="22">
        <f t="shared" si="171"/>
        <v>3.1457867471021712E-12</v>
      </c>
      <c r="CC199" s="60">
        <f t="shared" si="195"/>
        <v>293.33333333333644</v>
      </c>
      <c r="CD199" s="60">
        <f ca="1">AVERAGE(OFFSET($CC$3,0,0,'Données projet'!$E$12+1,1))-AVERAGE(OFFSET($H$3,0,0,'Données projet'!$E$12+1,1))</f>
        <v>212.33913923444732</v>
      </c>
      <c r="CE199" s="60">
        <f t="shared" si="207"/>
        <v>183.51194426094372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-3.979039320256561E-13</v>
      </c>
      <c r="CU199" s="18">
        <f>CT199*VLOOKUP('Données projet'!$B$13,Paramètres!$A$1:$I$89,3,0)*VLOOKUP('Données projet'!$B$13,Paramètres!$A$1:$I$89,5,0)</f>
        <v>-3.4760887501761321E-13</v>
      </c>
      <c r="CV199" s="14" t="e">
        <f t="shared" si="173"/>
        <v>#NUM!</v>
      </c>
      <c r="CW199" s="22" t="e">
        <f t="shared" si="174"/>
        <v>#NUM!</v>
      </c>
      <c r="CX199" s="60" t="e">
        <f t="shared" si="196"/>
        <v>#NUM!</v>
      </c>
      <c r="CY199" s="60">
        <f ca="1">AVERAGE(OFFSET($CX$3,0,0,'Données projet'!$E$13+1,1))-AVERAGE(OFFSET($H$3,0,0,'Données projet'!$E$13+1,1))</f>
        <v>228.0393346366489</v>
      </c>
      <c r="CZ199" s="60">
        <f t="shared" si="208"/>
        <v>238.591781509447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-9.6633812063373625E-13</v>
      </c>
      <c r="DP199" s="18">
        <f>DO199*VLOOKUP('Données projet'!$B$14,Paramètres!$A$1:$I$89,3,0)*VLOOKUP('Données projet'!$B$14,Paramètres!$A$1:$I$89,5,0)</f>
        <v>-8.7434273154940449E-13</v>
      </c>
      <c r="DQ199" s="14" t="e">
        <f t="shared" si="176"/>
        <v>#NUM!</v>
      </c>
      <c r="DR199" s="22" t="e">
        <f t="shared" si="177"/>
        <v>#NUM!</v>
      </c>
      <c r="DS199" s="60" t="e">
        <f t="shared" si="197"/>
        <v>#NUM!</v>
      </c>
      <c r="DT199" s="60">
        <f ca="1">AVERAGE(OFFSET($DS$3,0,0,'Données projet'!$E$14+1,1))-AVERAGE(OFFSET($H$3,0,0,'Données projet'!$E$14+1,1))</f>
        <v>303.73499739059076</v>
      </c>
      <c r="DU199" s="60">
        <f t="shared" si="209"/>
        <v>172.32171001882188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1.1368683772161603E-13</v>
      </c>
      <c r="EK199" s="18">
        <f>EJ199*VLOOKUP('Données projet'!$B$15,Paramètres!$A$1:$I$89,3,0)*VLOOKUP('Données projet'!$B$15,Paramètres!$A$1:$I$89,5,0)</f>
        <v>6.7984728957526396E-14</v>
      </c>
      <c r="EL199" s="14">
        <f t="shared" si="179"/>
        <v>1.0682447123141398E-12</v>
      </c>
      <c r="EM199" s="22">
        <f t="shared" si="180"/>
        <v>1.978932943548152E-12</v>
      </c>
      <c r="EN199" s="60">
        <f t="shared" si="198"/>
        <v>293.3333333333353</v>
      </c>
      <c r="EO199" s="60">
        <f ca="1">AVERAGE(OFFSET($EN$3,0,0,'Données projet'!$E$15+1,1))-AVERAGE(OFFSET($H$3,0,0,'Données projet'!$E$15+1,1))</f>
        <v>269.94948820700841</v>
      </c>
      <c r="EP199" s="60">
        <f t="shared" si="210"/>
        <v>183.45158355135192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0.1369125361564679</v>
      </c>
      <c r="EX199" s="23">
        <f>EXP(-LN(2)/2)*EX198+(1-EXP(-LN(2)/2))/(LN(2)/2)*ER199*EU199*VLOOKUP('Données projet'!$B$15,Paramètres!$A$1:$I$89,3,0)*0.475*44/12</f>
        <v>5.8295881289865558E-25</v>
      </c>
      <c r="EY199" s="24">
        <f t="shared" si="181"/>
        <v>0.1369125361564679</v>
      </c>
      <c r="EZ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>
        <f>FE199*VLOOKUP('Données projet'!$B$16,Paramètres!$A$1:$I$89,3,0)*VLOOKUP('Données projet'!$B$16,Paramètres!$A$1:$I$89,5,0)</f>
        <v>0</v>
      </c>
      <c r="FG199" s="14" t="e">
        <f t="shared" si="182"/>
        <v>#NUM!</v>
      </c>
      <c r="FH199" s="22" t="e">
        <f t="shared" si="183"/>
        <v>#NUM!</v>
      </c>
      <c r="FI199" s="60" t="e">
        <f t="shared" si="199"/>
        <v>#NUM!</v>
      </c>
      <c r="FJ199" s="60">
        <f ca="1">AVERAGE(OFFSET($FI$3,0,0,'Données projet'!$E$16+1,1))-AVERAGE(OFFSET($H$3,0,0,'Données projet'!$E$16+1,1))</f>
        <v>111.24788725253484</v>
      </c>
      <c r="FK199" s="60">
        <f t="shared" si="211"/>
        <v>82.434879813357327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projet'!$B$16,Paramètres!$A$1:$I$89,3,0)*0.475*44/12</f>
        <v>0</v>
      </c>
      <c r="FR199" s="23">
        <f>EXP(-LN(2)/25)*FR198+(1-EXP(-LN(2)/25))/(LN(2)/25)*Calculateur!FM199*Calculateur!FO199*VLOOKUP('Données projet'!$B$16,Paramètres!$A$1:$I$89,3,0)*0.475*44/12</f>
        <v>0</v>
      </c>
      <c r="FS199" s="23">
        <f>EXP(-LN(2)/2)*FS198+(1-EXP(-LN(2)/2))/(LN(2)/2)*FM199*FP199*VLOOKUP('Données projet'!$B$16,Paramètres!$A$1:$I$89,3,0)*0.475*44/12</f>
        <v>0</v>
      </c>
      <c r="FT199" s="24">
        <f t="shared" si="184"/>
        <v>0</v>
      </c>
      <c r="FU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1.0231815394945443E-12</v>
      </c>
      <c r="GA199" s="18">
        <f>FZ199*VLOOKUP('Données projet'!$B$17,Paramètres!$A$1:$I$89,3,0)*VLOOKUP('Données projet'!$B$17,Paramètres!$A$1:$I$89,5,0)</f>
        <v>4.5224624045658859E-13</v>
      </c>
      <c r="GB199" s="14">
        <f t="shared" si="185"/>
        <v>5.6995607121061449E-12</v>
      </c>
      <c r="GC199" s="22">
        <f t="shared" si="186"/>
        <v>1.0714397109046761E-11</v>
      </c>
      <c r="GD199" s="60">
        <f t="shared" si="200"/>
        <v>293.333333333344</v>
      </c>
      <c r="GE199" s="60">
        <f ca="1">AVERAGE(OFFSET($GD$3,0,0,'Données projet'!$E$17+1,1))-AVERAGE(OFFSET($H$3,0,0,'Données projet'!$E$17+1,1))</f>
        <v>323.56667371063662</v>
      </c>
      <c r="GF199" s="60">
        <f t="shared" si="212"/>
        <v>275.70373467723385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>
        <f>EXP(-LN(2)/35)*GL198+(1-EXP(-LN(2)/35))/(LN(2)/35)*GH199*GI199*VLOOKUP('Données projet'!$B$17,Paramètres!$A$1:$I$89,3,0)*0.475*44/12</f>
        <v>0</v>
      </c>
      <c r="GM199" s="23">
        <f>EXP(-LN(2)/25)*GM198+(1-EXP(-LN(2)/25))/(LN(2)/25)*Calculateur!GH199*Calculateur!GJ199*VLOOKUP('Données projet'!$B$17,Paramètres!$A$1:$I$89,3,0)*0.475*44/12</f>
        <v>0</v>
      </c>
      <c r="GN199" s="23">
        <f>EXP(-LN(2)/2)*GN198+(1-EXP(-LN(2)/2))/(LN(2)/2)*GH199*GK199*VLOOKUP('Données projet'!$B$17,Paramètres!$A$1:$I$89,3,0)*0.475*44/12</f>
        <v>0</v>
      </c>
      <c r="GO199" s="23">
        <f t="shared" si="187"/>
        <v>0</v>
      </c>
      <c r="GP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0" t="e">
        <f t="shared" si="201"/>
        <v>#N/A</v>
      </c>
      <c r="GZ199" s="60" t="e">
        <f ca="1">AVERAGE(OFFSET($GY$3,0,0,'Données projet'!$E$18+1,1))-AVERAGE(OFFSET($H$3,0,0,'Données projet'!$E$18+1,1))</f>
        <v>#N/A</v>
      </c>
      <c r="HA199" s="60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4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2">
        <f t="shared" si="202"/>
        <v>28.755825625606846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-1.1368683772161603E-13</v>
      </c>
      <c r="O200" s="14">
        <f>N200*VLOOKUP('Données projet'!$B$9,Paramètres!$A$1:$I$89,3,0)*VLOOKUP('Données projet'!$B$9,Paramètres!$A$1:$I$89,5,0)</f>
        <v>-6.7984728957526396E-14</v>
      </c>
      <c r="P200" s="14" t="e">
        <f t="shared" si="203"/>
        <v>#NUM!</v>
      </c>
      <c r="Q200" s="22" t="e">
        <f t="shared" si="162"/>
        <v>#NUM!</v>
      </c>
      <c r="R200" s="60" t="e">
        <f t="shared" si="191"/>
        <v>#NUM!</v>
      </c>
      <c r="S200" s="60">
        <f ca="1">AVERAGE(OFFSET($R$3,0,0,'Données projet'!$E$9+1,1))-AVERAGE(OFFSET($H$3,0,0,'Données projet'!$E$9+1,1))</f>
        <v>235.63766249714581</v>
      </c>
      <c r="T200" s="60">
        <f t="shared" si="204"/>
        <v>231.3297293785277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0.4201070948717131</v>
      </c>
      <c r="AA200" s="23">
        <f>EXP(-LN(2)/25)*AA199+(1-EXP(-LN(2)/25))/(LN(2)/25)*Calculateur!V200*Calculateur!X200*VLOOKUP('Données projet'!$B$9,Paramètres!$A$1:$I$89,3,0)*0.475*44/12</f>
        <v>0.16861193255644022</v>
      </c>
      <c r="AB200" s="23">
        <f>EXP(-LN(2)/2)*AB199+(1-EXP(-LN(2)/2))/(LN(2)/2)*V200*Y200*VLOOKUP('Données projet'!$B$9,Paramètres!$A$1:$I$89,3,0)*0.475*44/12</f>
        <v>5.2001215699424631E-25</v>
      </c>
      <c r="AC200" s="24">
        <f t="shared" si="163"/>
        <v>0.5887190274281533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-9.6633812063373625E-13</v>
      </c>
      <c r="AJ200" s="14">
        <f>AI200*VLOOKUP('Données projet'!$B$10,Paramètres!$A$1:$I$89,3,0)*VLOOKUP('Données projet'!$B$10,Paramètres!$A$1:$I$89,5,0)</f>
        <v>-9.7986685432260874E-13</v>
      </c>
      <c r="AK200" s="14" t="e">
        <f t="shared" si="164"/>
        <v>#NUM!</v>
      </c>
      <c r="AL200" s="22" t="e">
        <f t="shared" si="165"/>
        <v>#NUM!</v>
      </c>
      <c r="AM200" s="60" t="e">
        <f t="shared" si="193"/>
        <v>#NUM!</v>
      </c>
      <c r="AN200" s="60">
        <f ca="1">AVERAGE(OFFSET($AM$3,0,0,'Données projet'!$E$10+1,1))-AVERAGE(OFFSET($H$3,0,0,'Données projet'!$E$10+1,1))</f>
        <v>350.3652766444938</v>
      </c>
      <c r="AO200" s="60">
        <f t="shared" si="205"/>
        <v>197.04549436738586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6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-9.6633812063373625E-13</v>
      </c>
      <c r="BE200" s="14">
        <f>BD200*VLOOKUP('Données projet'!$B$11,Paramètres!$A$1:$I$89,3,0)*VLOOKUP('Données projet'!$B$11,Paramètres!$A$1:$I$89,5,0)</f>
        <v>-9.3464223027694966E-13</v>
      </c>
      <c r="BF200" s="14" t="e">
        <f t="shared" si="167"/>
        <v>#NUM!</v>
      </c>
      <c r="BG200" s="22" t="e">
        <f t="shared" si="168"/>
        <v>#NUM!</v>
      </c>
      <c r="BH200" s="60" t="e">
        <f t="shared" si="194"/>
        <v>#NUM!</v>
      </c>
      <c r="BI200" s="60">
        <f ca="1">AVERAGE(OFFSET($BH$3,0,0,'Données projet'!$E$11+1,1))-AVERAGE(OFFSET($H$3,0,0,'Données projet'!$E$11+1,1))</f>
        <v>330.39429528665841</v>
      </c>
      <c r="BJ200" s="60">
        <f t="shared" si="206"/>
        <v>186.45728006007261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1.7053025658242404E-13</v>
      </c>
      <c r="BZ200" s="14">
        <f>BY200*VLOOKUP('Données projet'!$B$12,Paramètres!$A$1:$I$89,3,0)*VLOOKUP('Données projet'!$B$12,Paramètres!$A$1:$I$89,5,0)</f>
        <v>1.1439169611549005E-13</v>
      </c>
      <c r="CA200" s="14">
        <f t="shared" si="170"/>
        <v>1.6918016515029816E-12</v>
      </c>
      <c r="CB200" s="22">
        <f t="shared" si="171"/>
        <v>3.1457867471021712E-12</v>
      </c>
      <c r="CC200" s="60">
        <f t="shared" si="195"/>
        <v>293.33333333333644</v>
      </c>
      <c r="CD200" s="60">
        <f ca="1">AVERAGE(OFFSET($CC$3,0,0,'Données projet'!$E$12+1,1))-AVERAGE(OFFSET($H$3,0,0,'Données projet'!$E$12+1,1))</f>
        <v>212.33913923444732</v>
      </c>
      <c r="CE200" s="60">
        <f t="shared" si="207"/>
        <v>183.51194426094372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-3.979039320256561E-13</v>
      </c>
      <c r="CU200" s="18">
        <f>CT200*VLOOKUP('Données projet'!$B$13,Paramètres!$A$1:$I$89,3,0)*VLOOKUP('Données projet'!$B$13,Paramètres!$A$1:$I$89,5,0)</f>
        <v>-3.4760887501761321E-13</v>
      </c>
      <c r="CV200" s="14" t="e">
        <f t="shared" si="173"/>
        <v>#NUM!</v>
      </c>
      <c r="CW200" s="22" t="e">
        <f t="shared" si="174"/>
        <v>#NUM!</v>
      </c>
      <c r="CX200" s="60" t="e">
        <f t="shared" si="196"/>
        <v>#NUM!</v>
      </c>
      <c r="CY200" s="60">
        <f ca="1">AVERAGE(OFFSET($CX$3,0,0,'Données projet'!$E$13+1,1))-AVERAGE(OFFSET($H$3,0,0,'Données projet'!$E$13+1,1))</f>
        <v>228.0393346366489</v>
      </c>
      <c r="CZ200" s="60">
        <f t="shared" si="208"/>
        <v>238.591781509447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-9.6633812063373625E-13</v>
      </c>
      <c r="DP200" s="18">
        <f>DO200*VLOOKUP('Données projet'!$B$14,Paramètres!$A$1:$I$89,3,0)*VLOOKUP('Données projet'!$B$14,Paramètres!$A$1:$I$89,5,0)</f>
        <v>-8.7434273154940449E-13</v>
      </c>
      <c r="DQ200" s="14" t="e">
        <f t="shared" si="176"/>
        <v>#NUM!</v>
      </c>
      <c r="DR200" s="22" t="e">
        <f t="shared" si="177"/>
        <v>#NUM!</v>
      </c>
      <c r="DS200" s="60" t="e">
        <f t="shared" si="197"/>
        <v>#NUM!</v>
      </c>
      <c r="DT200" s="60">
        <f ca="1">AVERAGE(OFFSET($DS$3,0,0,'Données projet'!$E$14+1,1))-AVERAGE(OFFSET($H$3,0,0,'Données projet'!$E$14+1,1))</f>
        <v>303.73499739059076</v>
      </c>
      <c r="DU200" s="60">
        <f t="shared" si="209"/>
        <v>172.32171001882188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1.1368683772161603E-13</v>
      </c>
      <c r="EK200" s="18">
        <f>EJ200*VLOOKUP('Données projet'!$B$15,Paramètres!$A$1:$I$89,3,0)*VLOOKUP('Données projet'!$B$15,Paramètres!$A$1:$I$89,5,0)</f>
        <v>6.7984728957526396E-14</v>
      </c>
      <c r="EL200" s="14">
        <f t="shared" si="179"/>
        <v>1.0682447123141398E-12</v>
      </c>
      <c r="EM200" s="22">
        <f t="shared" si="180"/>
        <v>1.978932943548152E-12</v>
      </c>
      <c r="EN200" s="60">
        <f t="shared" si="198"/>
        <v>293.3333333333353</v>
      </c>
      <c r="EO200" s="60">
        <f ca="1">AVERAGE(OFFSET($EN$3,0,0,'Données projet'!$E$15+1,1))-AVERAGE(OFFSET($H$3,0,0,'Données projet'!$E$15+1,1))</f>
        <v>269.94948820700841</v>
      </c>
      <c r="EP200" s="60">
        <f t="shared" si="210"/>
        <v>183.45158355135192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0.13316865565535191</v>
      </c>
      <c r="EX200" s="23">
        <f>EXP(-LN(2)/2)*EX199+(1-EXP(-LN(2)/2))/(LN(2)/2)*ER200*EU200*VLOOKUP('Données projet'!$B$15,Paramètres!$A$1:$I$89,3,0)*0.475*44/12</f>
        <v>4.122141297530992E-25</v>
      </c>
      <c r="EY200" s="24">
        <f t="shared" si="181"/>
        <v>0.13316865565535191</v>
      </c>
      <c r="EZ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>
        <f>FE200*VLOOKUP('Données projet'!$B$16,Paramètres!$A$1:$I$89,3,0)*VLOOKUP('Données projet'!$B$16,Paramètres!$A$1:$I$89,5,0)</f>
        <v>0</v>
      </c>
      <c r="FG200" s="14" t="e">
        <f t="shared" si="182"/>
        <v>#NUM!</v>
      </c>
      <c r="FH200" s="22" t="e">
        <f t="shared" si="183"/>
        <v>#NUM!</v>
      </c>
      <c r="FI200" s="60" t="e">
        <f t="shared" si="199"/>
        <v>#NUM!</v>
      </c>
      <c r="FJ200" s="60">
        <f ca="1">AVERAGE(OFFSET($FI$3,0,0,'Données projet'!$E$16+1,1))-AVERAGE(OFFSET($H$3,0,0,'Données projet'!$E$16+1,1))</f>
        <v>111.24788725253484</v>
      </c>
      <c r="FK200" s="60">
        <f t="shared" si="211"/>
        <v>82.434879813357327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projet'!$B$16,Paramètres!$A$1:$I$89,3,0)*0.475*44/12</f>
        <v>0</v>
      </c>
      <c r="FR200" s="23">
        <f>EXP(-LN(2)/25)*FR199+(1-EXP(-LN(2)/25))/(LN(2)/25)*Calculateur!FM200*Calculateur!FO200*VLOOKUP('Données projet'!$B$16,Paramètres!$A$1:$I$89,3,0)*0.475*44/12</f>
        <v>0</v>
      </c>
      <c r="FS200" s="23">
        <f>EXP(-LN(2)/2)*FS199+(1-EXP(-LN(2)/2))/(LN(2)/2)*FM200*FP200*VLOOKUP('Données projet'!$B$16,Paramètres!$A$1:$I$89,3,0)*0.475*44/12</f>
        <v>0</v>
      </c>
      <c r="FT200" s="24">
        <f t="shared" si="184"/>
        <v>0</v>
      </c>
      <c r="FU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1.0231815394945443E-12</v>
      </c>
      <c r="GA200" s="18">
        <f>FZ200*VLOOKUP('Données projet'!$B$17,Paramètres!$A$1:$I$89,3,0)*VLOOKUP('Données projet'!$B$17,Paramètres!$A$1:$I$89,5,0)</f>
        <v>4.5224624045658859E-13</v>
      </c>
      <c r="GB200" s="14">
        <f t="shared" si="185"/>
        <v>5.6995607121061449E-12</v>
      </c>
      <c r="GC200" s="22">
        <f t="shared" si="186"/>
        <v>1.0714397109046761E-11</v>
      </c>
      <c r="GD200" s="60">
        <f t="shared" si="200"/>
        <v>293.333333333344</v>
      </c>
      <c r="GE200" s="60">
        <f ca="1">AVERAGE(OFFSET($GD$3,0,0,'Données projet'!$E$17+1,1))-AVERAGE(OFFSET($H$3,0,0,'Données projet'!$E$17+1,1))</f>
        <v>323.56667371063662</v>
      </c>
      <c r="GF200" s="60">
        <f t="shared" si="212"/>
        <v>275.70373467723385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>
        <f>EXP(-LN(2)/35)*GL199+(1-EXP(-LN(2)/35))/(LN(2)/35)*GH200*GI200*VLOOKUP('Données projet'!$B$17,Paramètres!$A$1:$I$89,3,0)*0.475*44/12</f>
        <v>0</v>
      </c>
      <c r="GM200" s="23">
        <f>EXP(-LN(2)/25)*GM199+(1-EXP(-LN(2)/25))/(LN(2)/25)*Calculateur!GH200*Calculateur!GJ200*VLOOKUP('Données projet'!$B$17,Paramètres!$A$1:$I$89,3,0)*0.475*44/12</f>
        <v>0</v>
      </c>
      <c r="GN200" s="23">
        <f>EXP(-LN(2)/2)*GN199+(1-EXP(-LN(2)/2))/(LN(2)/2)*GH200*GK200*VLOOKUP('Données projet'!$B$17,Paramètres!$A$1:$I$89,3,0)*0.475*44/12</f>
        <v>0</v>
      </c>
      <c r="GO200" s="23">
        <f t="shared" si="187"/>
        <v>0</v>
      </c>
      <c r="GP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0" t="e">
        <f t="shared" si="201"/>
        <v>#N/A</v>
      </c>
      <c r="GZ200" s="60" t="e">
        <f ca="1">AVERAGE(OFFSET($GY$3,0,0,'Données projet'!$E$18+1,1))-AVERAGE(OFFSET($H$3,0,0,'Données projet'!$E$18+1,1))</f>
        <v>#N/A</v>
      </c>
      <c r="HA200" s="60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4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2">
        <f t="shared" si="202"/>
        <v>28.884765499467239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-1.1368683772161603E-13</v>
      </c>
      <c r="O201" s="14">
        <f>N201*VLOOKUP('Données projet'!$B$9,Paramètres!$A$1:$I$89,3,0)*VLOOKUP('Données projet'!$B$9,Paramètres!$A$1:$I$89,5,0)</f>
        <v>-6.7984728957526396E-14</v>
      </c>
      <c r="P201" s="14" t="e">
        <f t="shared" si="203"/>
        <v>#NUM!</v>
      </c>
      <c r="Q201" s="22" t="e">
        <f t="shared" si="162"/>
        <v>#NUM!</v>
      </c>
      <c r="R201" s="60" t="e">
        <f t="shared" si="191"/>
        <v>#NUM!</v>
      </c>
      <c r="S201" s="60">
        <f ca="1">AVERAGE(OFFSET($R$3,0,0,'Données projet'!$E$9+1,1))-AVERAGE(OFFSET($H$3,0,0,'Données projet'!$E$9+1,1))</f>
        <v>235.63766249714581</v>
      </c>
      <c r="T201" s="60">
        <f t="shared" si="204"/>
        <v>231.3297293785277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0.41186905098130511</v>
      </c>
      <c r="AA201" s="23">
        <f>EXP(-LN(2)/25)*AA200+(1-EXP(-LN(2)/25))/(LN(2)/25)*Calculateur!V201*Calculateur!X201*VLOOKUP('Données projet'!$B$9,Paramètres!$A$1:$I$89,3,0)*0.475*44/12</f>
        <v>0.16400123039376818</v>
      </c>
      <c r="AB201" s="23">
        <f>EXP(-LN(2)/2)*AB200+(1-EXP(-LN(2)/2))/(LN(2)/2)*V201*Y201*VLOOKUP('Données projet'!$B$9,Paramètres!$A$1:$I$89,3,0)*0.475*44/12</f>
        <v>3.6770412251007513E-25</v>
      </c>
      <c r="AC201" s="24">
        <f t="shared" si="163"/>
        <v>0.57587028137507335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-9.6633812063373625E-13</v>
      </c>
      <c r="AJ201" s="14">
        <f>AI201*VLOOKUP('Données projet'!$B$10,Paramètres!$A$1:$I$89,3,0)*VLOOKUP('Données projet'!$B$10,Paramètres!$A$1:$I$89,5,0)</f>
        <v>-9.7986685432260874E-13</v>
      </c>
      <c r="AK201" s="14" t="e">
        <f t="shared" si="164"/>
        <v>#NUM!</v>
      </c>
      <c r="AL201" s="22" t="e">
        <f t="shared" si="165"/>
        <v>#NUM!</v>
      </c>
      <c r="AM201" s="60" t="e">
        <f t="shared" si="193"/>
        <v>#NUM!</v>
      </c>
      <c r="AN201" s="60">
        <f ca="1">AVERAGE(OFFSET($AM$3,0,0,'Données projet'!$E$10+1,1))-AVERAGE(OFFSET($H$3,0,0,'Données projet'!$E$10+1,1))</f>
        <v>350.3652766444938</v>
      </c>
      <c r="AO201" s="60">
        <f t="shared" si="205"/>
        <v>197.04549436738586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6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-9.6633812063373625E-13</v>
      </c>
      <c r="BE201" s="14">
        <f>BD201*VLOOKUP('Données projet'!$B$11,Paramètres!$A$1:$I$89,3,0)*VLOOKUP('Données projet'!$B$11,Paramètres!$A$1:$I$89,5,0)</f>
        <v>-9.3464223027694966E-13</v>
      </c>
      <c r="BF201" s="14" t="e">
        <f t="shared" si="167"/>
        <v>#NUM!</v>
      </c>
      <c r="BG201" s="22" t="e">
        <f t="shared" si="168"/>
        <v>#NUM!</v>
      </c>
      <c r="BH201" s="60" t="e">
        <f t="shared" si="194"/>
        <v>#NUM!</v>
      </c>
      <c r="BI201" s="60">
        <f ca="1">AVERAGE(OFFSET($BH$3,0,0,'Données projet'!$E$11+1,1))-AVERAGE(OFFSET($H$3,0,0,'Données projet'!$E$11+1,1))</f>
        <v>330.39429528665841</v>
      </c>
      <c r="BJ201" s="60">
        <f t="shared" si="206"/>
        <v>186.45728006007261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1.7053025658242404E-13</v>
      </c>
      <c r="BZ201" s="14">
        <f>BY201*VLOOKUP('Données projet'!$B$12,Paramètres!$A$1:$I$89,3,0)*VLOOKUP('Données projet'!$B$12,Paramètres!$A$1:$I$89,5,0)</f>
        <v>1.1439169611549005E-13</v>
      </c>
      <c r="CA201" s="14">
        <f t="shared" si="170"/>
        <v>1.6918016515029816E-12</v>
      </c>
      <c r="CB201" s="22">
        <f t="shared" si="171"/>
        <v>3.1457867471021712E-12</v>
      </c>
      <c r="CC201" s="60">
        <f t="shared" si="195"/>
        <v>293.33333333333644</v>
      </c>
      <c r="CD201" s="60">
        <f ca="1">AVERAGE(OFFSET($CC$3,0,0,'Données projet'!$E$12+1,1))-AVERAGE(OFFSET($H$3,0,0,'Données projet'!$E$12+1,1))</f>
        <v>212.33913923444732</v>
      </c>
      <c r="CE201" s="60">
        <f t="shared" si="207"/>
        <v>183.51194426094372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-3.979039320256561E-13</v>
      </c>
      <c r="CU201" s="18">
        <f>CT201*VLOOKUP('Données projet'!$B$13,Paramètres!$A$1:$I$89,3,0)*VLOOKUP('Données projet'!$B$13,Paramètres!$A$1:$I$89,5,0)</f>
        <v>-3.4760887501761321E-13</v>
      </c>
      <c r="CV201" s="14" t="e">
        <f t="shared" si="173"/>
        <v>#NUM!</v>
      </c>
      <c r="CW201" s="22" t="e">
        <f t="shared" si="174"/>
        <v>#NUM!</v>
      </c>
      <c r="CX201" s="60" t="e">
        <f t="shared" si="196"/>
        <v>#NUM!</v>
      </c>
      <c r="CY201" s="60">
        <f ca="1">AVERAGE(OFFSET($CX$3,0,0,'Données projet'!$E$13+1,1))-AVERAGE(OFFSET($H$3,0,0,'Données projet'!$E$13+1,1))</f>
        <v>228.0393346366489</v>
      </c>
      <c r="CZ201" s="60">
        <f t="shared" si="208"/>
        <v>238.591781509447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-9.6633812063373625E-13</v>
      </c>
      <c r="DP201" s="18">
        <f>DO201*VLOOKUP('Données projet'!$B$14,Paramètres!$A$1:$I$89,3,0)*VLOOKUP('Données projet'!$B$14,Paramètres!$A$1:$I$89,5,0)</f>
        <v>-8.7434273154940449E-13</v>
      </c>
      <c r="DQ201" s="14" t="e">
        <f t="shared" si="176"/>
        <v>#NUM!</v>
      </c>
      <c r="DR201" s="22" t="e">
        <f t="shared" si="177"/>
        <v>#NUM!</v>
      </c>
      <c r="DS201" s="60" t="e">
        <f t="shared" si="197"/>
        <v>#NUM!</v>
      </c>
      <c r="DT201" s="60">
        <f ca="1">AVERAGE(OFFSET($DS$3,0,0,'Données projet'!$E$14+1,1))-AVERAGE(OFFSET($H$3,0,0,'Données projet'!$E$14+1,1))</f>
        <v>303.73499739059076</v>
      </c>
      <c r="DU201" s="60">
        <f t="shared" si="209"/>
        <v>172.32171001882188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1.1368683772161603E-13</v>
      </c>
      <c r="EK201" s="18">
        <f>EJ201*VLOOKUP('Données projet'!$B$15,Paramètres!$A$1:$I$89,3,0)*VLOOKUP('Données projet'!$B$15,Paramètres!$A$1:$I$89,5,0)</f>
        <v>6.7984728957526396E-14</v>
      </c>
      <c r="EL201" s="14">
        <f t="shared" si="179"/>
        <v>1.0682447123141398E-12</v>
      </c>
      <c r="EM201" s="22">
        <f t="shared" si="180"/>
        <v>1.978932943548152E-12</v>
      </c>
      <c r="EN201" s="60">
        <f t="shared" si="198"/>
        <v>293.3333333333353</v>
      </c>
      <c r="EO201" s="60">
        <f ca="1">AVERAGE(OFFSET($EN$3,0,0,'Données projet'!$E$15+1,1))-AVERAGE(OFFSET($H$3,0,0,'Données projet'!$E$15+1,1))</f>
        <v>269.94948820700841</v>
      </c>
      <c r="EP201" s="60">
        <f t="shared" si="210"/>
        <v>183.45158355135192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0.12952715176342108</v>
      </c>
      <c r="EX201" s="23">
        <f>EXP(-LN(2)/2)*EX200+(1-EXP(-LN(2)/2))/(LN(2)/2)*ER201*EU201*VLOOKUP('Données projet'!$B$15,Paramètres!$A$1:$I$89,3,0)*0.475*44/12</f>
        <v>2.9147940644932783E-25</v>
      </c>
      <c r="EY201" s="24">
        <f t="shared" si="181"/>
        <v>0.12952715176342108</v>
      </c>
      <c r="EZ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>
        <f>FE201*VLOOKUP('Données projet'!$B$16,Paramètres!$A$1:$I$89,3,0)*VLOOKUP('Données projet'!$B$16,Paramètres!$A$1:$I$89,5,0)</f>
        <v>0</v>
      </c>
      <c r="FG201" s="14" t="e">
        <f t="shared" si="182"/>
        <v>#NUM!</v>
      </c>
      <c r="FH201" s="22" t="e">
        <f t="shared" si="183"/>
        <v>#NUM!</v>
      </c>
      <c r="FI201" s="60" t="e">
        <f t="shared" si="199"/>
        <v>#NUM!</v>
      </c>
      <c r="FJ201" s="60">
        <f ca="1">AVERAGE(OFFSET($FI$3,0,0,'Données projet'!$E$16+1,1))-AVERAGE(OFFSET($H$3,0,0,'Données projet'!$E$16+1,1))</f>
        <v>111.24788725253484</v>
      </c>
      <c r="FK201" s="60">
        <f t="shared" si="211"/>
        <v>82.434879813357327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projet'!$B$16,Paramètres!$A$1:$I$89,3,0)*0.475*44/12</f>
        <v>0</v>
      </c>
      <c r="FR201" s="23">
        <f>EXP(-LN(2)/25)*FR200+(1-EXP(-LN(2)/25))/(LN(2)/25)*Calculateur!FM201*Calculateur!FO201*VLOOKUP('Données projet'!$B$16,Paramètres!$A$1:$I$89,3,0)*0.475*44/12</f>
        <v>0</v>
      </c>
      <c r="FS201" s="23">
        <f>EXP(-LN(2)/2)*FS200+(1-EXP(-LN(2)/2))/(LN(2)/2)*FM201*FP201*VLOOKUP('Données projet'!$B$16,Paramètres!$A$1:$I$89,3,0)*0.475*44/12</f>
        <v>0</v>
      </c>
      <c r="FT201" s="24">
        <f t="shared" si="184"/>
        <v>0</v>
      </c>
      <c r="FU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1.0231815394945443E-12</v>
      </c>
      <c r="GA201" s="18">
        <f>FZ201*VLOOKUP('Données projet'!$B$17,Paramètres!$A$1:$I$89,3,0)*VLOOKUP('Données projet'!$B$17,Paramètres!$A$1:$I$89,5,0)</f>
        <v>4.5224624045658859E-13</v>
      </c>
      <c r="GB201" s="14">
        <f t="shared" si="185"/>
        <v>5.6995607121061449E-12</v>
      </c>
      <c r="GC201" s="22">
        <f t="shared" si="186"/>
        <v>1.0714397109046761E-11</v>
      </c>
      <c r="GD201" s="60">
        <f t="shared" si="200"/>
        <v>293.333333333344</v>
      </c>
      <c r="GE201" s="60">
        <f ca="1">AVERAGE(OFFSET($GD$3,0,0,'Données projet'!$E$17+1,1))-AVERAGE(OFFSET($H$3,0,0,'Données projet'!$E$17+1,1))</f>
        <v>323.56667371063662</v>
      </c>
      <c r="GF201" s="60">
        <f t="shared" si="212"/>
        <v>275.70373467723385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>
        <f>EXP(-LN(2)/35)*GL200+(1-EXP(-LN(2)/35))/(LN(2)/35)*GH201*GI201*VLOOKUP('Données projet'!$B$17,Paramètres!$A$1:$I$89,3,0)*0.475*44/12</f>
        <v>0</v>
      </c>
      <c r="GM201" s="23">
        <f>EXP(-LN(2)/25)*GM200+(1-EXP(-LN(2)/25))/(LN(2)/25)*Calculateur!GH201*Calculateur!GJ201*VLOOKUP('Données projet'!$B$17,Paramètres!$A$1:$I$89,3,0)*0.475*44/12</f>
        <v>0</v>
      </c>
      <c r="GN201" s="23">
        <f>EXP(-LN(2)/2)*GN200+(1-EXP(-LN(2)/2))/(LN(2)/2)*GH201*GK201*VLOOKUP('Données projet'!$B$17,Paramètres!$A$1:$I$89,3,0)*0.475*44/12</f>
        <v>0</v>
      </c>
      <c r="GO201" s="23">
        <f t="shared" si="187"/>
        <v>0</v>
      </c>
      <c r="GP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0" t="e">
        <f t="shared" si="201"/>
        <v>#N/A</v>
      </c>
      <c r="GZ201" s="60" t="e">
        <f ca="1">AVERAGE(OFFSET($GY$3,0,0,'Données projet'!$E$18+1,1))-AVERAGE(OFFSET($H$3,0,0,'Données projet'!$E$18+1,1))</f>
        <v>#N/A</v>
      </c>
      <c r="HA201" s="60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4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2">
        <f t="shared" si="202"/>
        <v>29.013629594246641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-1.1368683772161603E-13</v>
      </c>
      <c r="O202" s="14">
        <f>N202*VLOOKUP('Données projet'!$B$9,Paramètres!$A$1:$I$89,3,0)*VLOOKUP('Données projet'!$B$9,Paramètres!$A$1:$I$89,5,0)</f>
        <v>-6.7984728957526396E-14</v>
      </c>
      <c r="P202" s="14" t="e">
        <f t="shared" si="203"/>
        <v>#NUM!</v>
      </c>
      <c r="Q202" s="22" t="e">
        <f t="shared" si="162"/>
        <v>#NUM!</v>
      </c>
      <c r="R202" s="60" t="e">
        <f t="shared" si="191"/>
        <v>#NUM!</v>
      </c>
      <c r="S202" s="60">
        <f ca="1">AVERAGE(OFFSET($R$3,0,0,'Données projet'!$E$9+1,1))-AVERAGE(OFFSET($H$3,0,0,'Données projet'!$E$9+1,1))</f>
        <v>235.63766249714581</v>
      </c>
      <c r="T202" s="60">
        <f t="shared" si="204"/>
        <v>231.3297293785277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0.40379255010687737</v>
      </c>
      <c r="AA202" s="23">
        <f>EXP(-LN(2)/25)*AA201+(1-EXP(-LN(2)/25))/(LN(2)/25)*Calculateur!V202*Calculateur!X202*VLOOKUP('Données projet'!$B$9,Paramètres!$A$1:$I$89,3,0)*0.475*44/12</f>
        <v>0.15951660812420071</v>
      </c>
      <c r="AB202" s="23">
        <f>EXP(-LN(2)/2)*AB201+(1-EXP(-LN(2)/2))/(LN(2)/2)*V202*Y202*VLOOKUP('Données projet'!$B$9,Paramètres!$A$1:$I$89,3,0)*0.475*44/12</f>
        <v>2.6000607849712316E-25</v>
      </c>
      <c r="AC202" s="24">
        <f t="shared" si="163"/>
        <v>0.56330915823107808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-9.6633812063373625E-13</v>
      </c>
      <c r="AJ202" s="14">
        <f>AI202*VLOOKUP('Données projet'!$B$10,Paramètres!$A$1:$I$89,3,0)*VLOOKUP('Données projet'!$B$10,Paramètres!$A$1:$I$89,5,0)</f>
        <v>-9.7986685432260874E-13</v>
      </c>
      <c r="AK202" s="14" t="e">
        <f t="shared" si="164"/>
        <v>#NUM!</v>
      </c>
      <c r="AL202" s="22" t="e">
        <f t="shared" si="165"/>
        <v>#NUM!</v>
      </c>
      <c r="AM202" s="60" t="e">
        <f t="shared" si="193"/>
        <v>#NUM!</v>
      </c>
      <c r="AN202" s="60">
        <f ca="1">AVERAGE(OFFSET($AM$3,0,0,'Données projet'!$E$10+1,1))-AVERAGE(OFFSET($H$3,0,0,'Données projet'!$E$10+1,1))</f>
        <v>350.3652766444938</v>
      </c>
      <c r="AO202" s="60">
        <f t="shared" si="205"/>
        <v>197.04549436738586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6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-9.6633812063373625E-13</v>
      </c>
      <c r="BE202" s="14">
        <f>BD202*VLOOKUP('Données projet'!$B$11,Paramètres!$A$1:$I$89,3,0)*VLOOKUP('Données projet'!$B$11,Paramètres!$A$1:$I$89,5,0)</f>
        <v>-9.3464223027694966E-13</v>
      </c>
      <c r="BF202" s="14" t="e">
        <f t="shared" si="167"/>
        <v>#NUM!</v>
      </c>
      <c r="BG202" s="22" t="e">
        <f t="shared" si="168"/>
        <v>#NUM!</v>
      </c>
      <c r="BH202" s="60" t="e">
        <f t="shared" si="194"/>
        <v>#NUM!</v>
      </c>
      <c r="BI202" s="60">
        <f ca="1">AVERAGE(OFFSET($BH$3,0,0,'Données projet'!$E$11+1,1))-AVERAGE(OFFSET($H$3,0,0,'Données projet'!$E$11+1,1))</f>
        <v>330.39429528665841</v>
      </c>
      <c r="BJ202" s="60">
        <f t="shared" si="206"/>
        <v>186.45728006007261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1.7053025658242404E-13</v>
      </c>
      <c r="BZ202" s="14">
        <f>BY202*VLOOKUP('Données projet'!$B$12,Paramètres!$A$1:$I$89,3,0)*VLOOKUP('Données projet'!$B$12,Paramètres!$A$1:$I$89,5,0)</f>
        <v>1.1439169611549005E-13</v>
      </c>
      <c r="CA202" s="14">
        <f t="shared" si="170"/>
        <v>1.6918016515029816E-12</v>
      </c>
      <c r="CB202" s="22">
        <f t="shared" si="171"/>
        <v>3.1457867471021712E-12</v>
      </c>
      <c r="CC202" s="60">
        <f t="shared" si="195"/>
        <v>293.33333333333644</v>
      </c>
      <c r="CD202" s="60">
        <f ca="1">AVERAGE(OFFSET($CC$3,0,0,'Données projet'!$E$12+1,1))-AVERAGE(OFFSET($H$3,0,0,'Données projet'!$E$12+1,1))</f>
        <v>212.33913923444732</v>
      </c>
      <c r="CE202" s="60">
        <f t="shared" si="207"/>
        <v>183.51194426094372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-3.979039320256561E-13</v>
      </c>
      <c r="CU202" s="18">
        <f>CT202*VLOOKUP('Données projet'!$B$13,Paramètres!$A$1:$I$89,3,0)*VLOOKUP('Données projet'!$B$13,Paramètres!$A$1:$I$89,5,0)</f>
        <v>-3.4760887501761321E-13</v>
      </c>
      <c r="CV202" s="14" t="e">
        <f t="shared" si="173"/>
        <v>#NUM!</v>
      </c>
      <c r="CW202" s="22" t="e">
        <f t="shared" si="174"/>
        <v>#NUM!</v>
      </c>
      <c r="CX202" s="60" t="e">
        <f t="shared" si="196"/>
        <v>#NUM!</v>
      </c>
      <c r="CY202" s="60">
        <f ca="1">AVERAGE(OFFSET($CX$3,0,0,'Données projet'!$E$13+1,1))-AVERAGE(OFFSET($H$3,0,0,'Données projet'!$E$13+1,1))</f>
        <v>228.0393346366489</v>
      </c>
      <c r="CZ202" s="60">
        <f t="shared" si="208"/>
        <v>238.591781509447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-9.6633812063373625E-13</v>
      </c>
      <c r="DP202" s="18">
        <f>DO202*VLOOKUP('Données projet'!$B$14,Paramètres!$A$1:$I$89,3,0)*VLOOKUP('Données projet'!$B$14,Paramètres!$A$1:$I$89,5,0)</f>
        <v>-8.7434273154940449E-13</v>
      </c>
      <c r="DQ202" s="14" t="e">
        <f t="shared" si="176"/>
        <v>#NUM!</v>
      </c>
      <c r="DR202" s="22" t="e">
        <f t="shared" si="177"/>
        <v>#NUM!</v>
      </c>
      <c r="DS202" s="60" t="e">
        <f t="shared" si="197"/>
        <v>#NUM!</v>
      </c>
      <c r="DT202" s="60">
        <f ca="1">AVERAGE(OFFSET($DS$3,0,0,'Données projet'!$E$14+1,1))-AVERAGE(OFFSET($H$3,0,0,'Données projet'!$E$14+1,1))</f>
        <v>303.73499739059076</v>
      </c>
      <c r="DU202" s="60">
        <f t="shared" si="209"/>
        <v>172.32171001882188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1.1368683772161603E-13</v>
      </c>
      <c r="EK202" s="18">
        <f>EJ202*VLOOKUP('Données projet'!$B$15,Paramètres!$A$1:$I$89,3,0)*VLOOKUP('Données projet'!$B$15,Paramètres!$A$1:$I$89,5,0)</f>
        <v>6.7984728957526396E-14</v>
      </c>
      <c r="EL202" s="14">
        <f t="shared" si="179"/>
        <v>1.0682447123141398E-12</v>
      </c>
      <c r="EM202" s="22">
        <f t="shared" si="180"/>
        <v>1.978932943548152E-12</v>
      </c>
      <c r="EN202" s="60">
        <f t="shared" si="198"/>
        <v>293.3333333333353</v>
      </c>
      <c r="EO202" s="60">
        <f ca="1">AVERAGE(OFFSET($EN$3,0,0,'Données projet'!$E$15+1,1))-AVERAGE(OFFSET($H$3,0,0,'Données projet'!$E$15+1,1))</f>
        <v>269.94948820700841</v>
      </c>
      <c r="EP202" s="60">
        <f t="shared" si="210"/>
        <v>183.45158355135192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0.12598522498691347</v>
      </c>
      <c r="EX202" s="23">
        <f>EXP(-LN(2)/2)*EX201+(1-EXP(-LN(2)/2))/(LN(2)/2)*ER202*EU202*VLOOKUP('Données projet'!$B$15,Paramètres!$A$1:$I$89,3,0)*0.475*44/12</f>
        <v>2.0610706487654962E-25</v>
      </c>
      <c r="EY202" s="24">
        <f t="shared" si="181"/>
        <v>0.12598522498691347</v>
      </c>
      <c r="EZ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>
        <f>FE202*VLOOKUP('Données projet'!$B$16,Paramètres!$A$1:$I$89,3,0)*VLOOKUP('Données projet'!$B$16,Paramètres!$A$1:$I$89,5,0)</f>
        <v>0</v>
      </c>
      <c r="FG202" s="14" t="e">
        <f t="shared" si="182"/>
        <v>#NUM!</v>
      </c>
      <c r="FH202" s="22" t="e">
        <f t="shared" si="183"/>
        <v>#NUM!</v>
      </c>
      <c r="FI202" s="60" t="e">
        <f t="shared" si="199"/>
        <v>#NUM!</v>
      </c>
      <c r="FJ202" s="60">
        <f ca="1">AVERAGE(OFFSET($FI$3,0,0,'Données projet'!$E$16+1,1))-AVERAGE(OFFSET($H$3,0,0,'Données projet'!$E$16+1,1))</f>
        <v>111.24788725253484</v>
      </c>
      <c r="FK202" s="60">
        <f t="shared" si="211"/>
        <v>82.434879813357327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projet'!$B$16,Paramètres!$A$1:$I$89,3,0)*0.475*44/12</f>
        <v>0</v>
      </c>
      <c r="FR202" s="23">
        <f>EXP(-LN(2)/25)*FR201+(1-EXP(-LN(2)/25))/(LN(2)/25)*Calculateur!FM202*Calculateur!FO202*VLOOKUP('Données projet'!$B$16,Paramètres!$A$1:$I$89,3,0)*0.475*44/12</f>
        <v>0</v>
      </c>
      <c r="FS202" s="23">
        <f>EXP(-LN(2)/2)*FS201+(1-EXP(-LN(2)/2))/(LN(2)/2)*FM202*FP202*VLOOKUP('Données projet'!$B$16,Paramètres!$A$1:$I$89,3,0)*0.475*44/12</f>
        <v>0</v>
      </c>
      <c r="FT202" s="24">
        <f t="shared" si="184"/>
        <v>0</v>
      </c>
      <c r="FU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1.0231815394945443E-12</v>
      </c>
      <c r="GA202" s="18">
        <f>FZ202*VLOOKUP('Données projet'!$B$17,Paramètres!$A$1:$I$89,3,0)*VLOOKUP('Données projet'!$B$17,Paramètres!$A$1:$I$89,5,0)</f>
        <v>4.5224624045658859E-13</v>
      </c>
      <c r="GB202" s="14">
        <f t="shared" si="185"/>
        <v>5.6995607121061449E-12</v>
      </c>
      <c r="GC202" s="22">
        <f t="shared" si="186"/>
        <v>1.0714397109046761E-11</v>
      </c>
      <c r="GD202" s="60">
        <f t="shared" si="200"/>
        <v>293.333333333344</v>
      </c>
      <c r="GE202" s="60">
        <f ca="1">AVERAGE(OFFSET($GD$3,0,0,'Données projet'!$E$17+1,1))-AVERAGE(OFFSET($H$3,0,0,'Données projet'!$E$17+1,1))</f>
        <v>323.56667371063662</v>
      </c>
      <c r="GF202" s="60">
        <f t="shared" si="212"/>
        <v>275.70373467723385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>
        <f>EXP(-LN(2)/35)*GL201+(1-EXP(-LN(2)/35))/(LN(2)/35)*GH202*GI202*VLOOKUP('Données projet'!$B$17,Paramètres!$A$1:$I$89,3,0)*0.475*44/12</f>
        <v>0</v>
      </c>
      <c r="GM202" s="23">
        <f>EXP(-LN(2)/25)*GM201+(1-EXP(-LN(2)/25))/(LN(2)/25)*Calculateur!GH202*Calculateur!GJ202*VLOOKUP('Données projet'!$B$17,Paramètres!$A$1:$I$89,3,0)*0.475*44/12</f>
        <v>0</v>
      </c>
      <c r="GN202" s="23">
        <f>EXP(-LN(2)/2)*GN201+(1-EXP(-LN(2)/2))/(LN(2)/2)*GH202*GK202*VLOOKUP('Données projet'!$B$17,Paramètres!$A$1:$I$89,3,0)*0.475*44/12</f>
        <v>0</v>
      </c>
      <c r="GO202" s="23">
        <f t="shared" si="187"/>
        <v>0</v>
      </c>
      <c r="GP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0" t="e">
        <f t="shared" si="201"/>
        <v>#N/A</v>
      </c>
      <c r="GZ202" s="60" t="e">
        <f ca="1">AVERAGE(OFFSET($GY$3,0,0,'Données projet'!$E$18+1,1))-AVERAGE(OFFSET($H$3,0,0,'Données projet'!$E$18+1,1))</f>
        <v>#N/A</v>
      </c>
      <c r="HA202" s="60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4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2">
        <f t="shared" si="202"/>
        <v>29.142418334948719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-1.1368683772161603E-13</v>
      </c>
      <c r="O203" s="14">
        <f>N203*VLOOKUP('Données projet'!$B$9,Paramètres!$A$1:$I$89,3,0)*VLOOKUP('Données projet'!$B$9,Paramètres!$A$1:$I$89,5,0)</f>
        <v>-6.7984728957526396E-14</v>
      </c>
      <c r="P203" s="14" t="e">
        <f t="shared" si="203"/>
        <v>#NUM!</v>
      </c>
      <c r="Q203" s="22" t="e">
        <f t="shared" si="162"/>
        <v>#NUM!</v>
      </c>
      <c r="R203" s="60" t="e">
        <f t="shared" si="191"/>
        <v>#NUM!</v>
      </c>
      <c r="S203" s="60">
        <f ca="1">AVERAGE(OFFSET($R$3,0,0,'Données projet'!$E$9+1,1))-AVERAGE(OFFSET($H$3,0,0,'Données projet'!$E$9+1,1))</f>
        <v>235.63766249714581</v>
      </c>
      <c r="T203" s="60">
        <f t="shared" si="204"/>
        <v>231.3297293785277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0.39587442448841803</v>
      </c>
      <c r="AA203" s="23">
        <f>EXP(-LN(2)/25)*AA202+(1-EXP(-LN(2)/25))/(LN(2)/25)*Calculateur!V203*Calculateur!X203*VLOOKUP('Données projet'!$B$9,Paramètres!$A$1:$I$89,3,0)*0.475*44/12</f>
        <v>0.15515461808643061</v>
      </c>
      <c r="AB203" s="23">
        <f>EXP(-LN(2)/2)*AB202+(1-EXP(-LN(2)/2))/(LN(2)/2)*V203*Y203*VLOOKUP('Données projet'!$B$9,Paramètres!$A$1:$I$89,3,0)*0.475*44/12</f>
        <v>1.8385206125503757E-25</v>
      </c>
      <c r="AC203" s="24">
        <f t="shared" si="163"/>
        <v>0.55102904257484864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-9.6633812063373625E-13</v>
      </c>
      <c r="AJ203" s="14">
        <f>AI203*VLOOKUP('Données projet'!$B$10,Paramètres!$A$1:$I$89,3,0)*VLOOKUP('Données projet'!$B$10,Paramètres!$A$1:$I$89,5,0)</f>
        <v>-9.7986685432260874E-13</v>
      </c>
      <c r="AK203" s="14" t="e">
        <f t="shared" si="164"/>
        <v>#NUM!</v>
      </c>
      <c r="AL203" s="22" t="e">
        <f t="shared" si="165"/>
        <v>#NUM!</v>
      </c>
      <c r="AM203" s="60" t="e">
        <f t="shared" si="193"/>
        <v>#NUM!</v>
      </c>
      <c r="AN203" s="60">
        <f ca="1">AVERAGE(OFFSET($AM$3,0,0,'Données projet'!$E$10+1,1))-AVERAGE(OFFSET($H$3,0,0,'Données projet'!$E$10+1,1))</f>
        <v>350.3652766444938</v>
      </c>
      <c r="AO203" s="60">
        <f t="shared" si="205"/>
        <v>197.04549436738586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6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-9.6633812063373625E-13</v>
      </c>
      <c r="BE203" s="14">
        <f>BD203*VLOOKUP('Données projet'!$B$11,Paramètres!$A$1:$I$89,3,0)*VLOOKUP('Données projet'!$B$11,Paramètres!$A$1:$I$89,5,0)</f>
        <v>-9.3464223027694966E-13</v>
      </c>
      <c r="BF203" s="14" t="e">
        <f t="shared" si="167"/>
        <v>#NUM!</v>
      </c>
      <c r="BG203" s="22" t="e">
        <f t="shared" si="168"/>
        <v>#NUM!</v>
      </c>
      <c r="BH203" s="60" t="e">
        <f t="shared" si="194"/>
        <v>#NUM!</v>
      </c>
      <c r="BI203" s="60">
        <f ca="1">AVERAGE(OFFSET($BH$3,0,0,'Données projet'!$E$11+1,1))-AVERAGE(OFFSET($H$3,0,0,'Données projet'!$E$11+1,1))</f>
        <v>330.39429528665841</v>
      </c>
      <c r="BJ203" s="60">
        <f t="shared" si="206"/>
        <v>186.45728006007261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1.7053025658242404E-13</v>
      </c>
      <c r="BZ203" s="14">
        <f>BY203*VLOOKUP('Données projet'!$B$12,Paramètres!$A$1:$I$89,3,0)*VLOOKUP('Données projet'!$B$12,Paramètres!$A$1:$I$89,5,0)</f>
        <v>1.1439169611549005E-13</v>
      </c>
      <c r="CA203" s="14">
        <f t="shared" si="170"/>
        <v>1.6918016515029816E-12</v>
      </c>
      <c r="CB203" s="22">
        <f t="shared" si="171"/>
        <v>3.1457867471021712E-12</v>
      </c>
      <c r="CC203" s="60">
        <f t="shared" si="195"/>
        <v>293.33333333333644</v>
      </c>
      <c r="CD203" s="60">
        <f ca="1">AVERAGE(OFFSET($CC$3,0,0,'Données projet'!$E$12+1,1))-AVERAGE(OFFSET($H$3,0,0,'Données projet'!$E$12+1,1))</f>
        <v>212.33913923444732</v>
      </c>
      <c r="CE203" s="60">
        <f t="shared" si="207"/>
        <v>183.51194426094372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-3.979039320256561E-13</v>
      </c>
      <c r="CU203" s="18">
        <f>CT203*VLOOKUP('Données projet'!$B$13,Paramètres!$A$1:$I$89,3,0)*VLOOKUP('Données projet'!$B$13,Paramètres!$A$1:$I$89,5,0)</f>
        <v>-3.4760887501761321E-13</v>
      </c>
      <c r="CV203" s="14" t="e">
        <f t="shared" si="173"/>
        <v>#NUM!</v>
      </c>
      <c r="CW203" s="22" t="e">
        <f t="shared" si="174"/>
        <v>#NUM!</v>
      </c>
      <c r="CX203" s="60" t="e">
        <f t="shared" si="196"/>
        <v>#NUM!</v>
      </c>
      <c r="CY203" s="60">
        <f ca="1">AVERAGE(OFFSET($CX$3,0,0,'Données projet'!$E$13+1,1))-AVERAGE(OFFSET($H$3,0,0,'Données projet'!$E$13+1,1))</f>
        <v>228.0393346366489</v>
      </c>
      <c r="CZ203" s="60">
        <f t="shared" si="208"/>
        <v>238.591781509447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-9.6633812063373625E-13</v>
      </c>
      <c r="DP203" s="18">
        <f>DO203*VLOOKUP('Données projet'!$B$14,Paramètres!$A$1:$I$89,3,0)*VLOOKUP('Données projet'!$B$14,Paramètres!$A$1:$I$89,5,0)</f>
        <v>-8.7434273154940449E-13</v>
      </c>
      <c r="DQ203" s="14" t="e">
        <f t="shared" si="176"/>
        <v>#NUM!</v>
      </c>
      <c r="DR203" s="22" t="e">
        <f t="shared" si="177"/>
        <v>#NUM!</v>
      </c>
      <c r="DS203" s="60" t="e">
        <f t="shared" si="197"/>
        <v>#NUM!</v>
      </c>
      <c r="DT203" s="60">
        <f ca="1">AVERAGE(OFFSET($DS$3,0,0,'Données projet'!$E$14+1,1))-AVERAGE(OFFSET($H$3,0,0,'Données projet'!$E$14+1,1))</f>
        <v>303.73499739059076</v>
      </c>
      <c r="DU203" s="60">
        <f t="shared" si="209"/>
        <v>172.32171001882188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1.1368683772161603E-13</v>
      </c>
      <c r="EK203" s="18">
        <f>EJ203*VLOOKUP('Données projet'!$B$15,Paramètres!$A$1:$I$89,3,0)*VLOOKUP('Données projet'!$B$15,Paramètres!$A$1:$I$89,5,0)</f>
        <v>6.7984728957526396E-14</v>
      </c>
      <c r="EL203" s="14">
        <f t="shared" si="179"/>
        <v>1.0682447123141398E-12</v>
      </c>
      <c r="EM203" s="22">
        <f t="shared" si="180"/>
        <v>1.978932943548152E-12</v>
      </c>
      <c r="EN203" s="60">
        <f t="shared" si="198"/>
        <v>293.3333333333353</v>
      </c>
      <c r="EO203" s="60">
        <f ca="1">AVERAGE(OFFSET($EN$3,0,0,'Données projet'!$E$15+1,1))-AVERAGE(OFFSET($H$3,0,0,'Données projet'!$E$15+1,1))</f>
        <v>269.94948820700841</v>
      </c>
      <c r="EP203" s="60">
        <f t="shared" si="210"/>
        <v>183.45158355135192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0.12254015238437128</v>
      </c>
      <c r="EX203" s="23">
        <f>EXP(-LN(2)/2)*EX202+(1-EXP(-LN(2)/2))/(LN(2)/2)*ER203*EU203*VLOOKUP('Données projet'!$B$15,Paramètres!$A$1:$I$89,3,0)*0.475*44/12</f>
        <v>1.4573970322466394E-25</v>
      </c>
      <c r="EY203" s="24">
        <f t="shared" si="181"/>
        <v>0.12254015238437128</v>
      </c>
      <c r="EZ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>
        <f>FE203*VLOOKUP('Données projet'!$B$16,Paramètres!$A$1:$I$89,3,0)*VLOOKUP('Données projet'!$B$16,Paramètres!$A$1:$I$89,5,0)</f>
        <v>0</v>
      </c>
      <c r="FG203" s="14" t="e">
        <f t="shared" si="182"/>
        <v>#NUM!</v>
      </c>
      <c r="FH203" s="22" t="e">
        <f t="shared" si="183"/>
        <v>#NUM!</v>
      </c>
      <c r="FI203" s="60" t="e">
        <f t="shared" si="199"/>
        <v>#NUM!</v>
      </c>
      <c r="FJ203" s="60">
        <f ca="1">AVERAGE(OFFSET($FI$3,0,0,'Données projet'!$E$16+1,1))-AVERAGE(OFFSET($H$3,0,0,'Données projet'!$E$16+1,1))</f>
        <v>111.24788725253484</v>
      </c>
      <c r="FK203" s="60">
        <f t="shared" si="211"/>
        <v>82.434879813357327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projet'!$B$16,Paramètres!$A$1:$I$89,3,0)*0.475*44/12</f>
        <v>0</v>
      </c>
      <c r="FR203" s="23">
        <f>EXP(-LN(2)/25)*FR202+(1-EXP(-LN(2)/25))/(LN(2)/25)*Calculateur!FM203*Calculateur!FO203*VLOOKUP('Données projet'!$B$16,Paramètres!$A$1:$I$89,3,0)*0.475*44/12</f>
        <v>0</v>
      </c>
      <c r="FS203" s="23">
        <f>EXP(-LN(2)/2)*FS202+(1-EXP(-LN(2)/2))/(LN(2)/2)*FM203*FP203*VLOOKUP('Données projet'!$B$16,Paramètres!$A$1:$I$89,3,0)*0.475*44/12</f>
        <v>0</v>
      </c>
      <c r="FT203" s="24">
        <f t="shared" si="184"/>
        <v>0</v>
      </c>
      <c r="FU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1.0231815394945443E-12</v>
      </c>
      <c r="GA203" s="18">
        <f>FZ203*VLOOKUP('Données projet'!$B$17,Paramètres!$A$1:$I$89,3,0)*VLOOKUP('Données projet'!$B$17,Paramètres!$A$1:$I$89,5,0)</f>
        <v>4.5224624045658859E-13</v>
      </c>
      <c r="GB203" s="14">
        <f t="shared" si="185"/>
        <v>5.6995607121061449E-12</v>
      </c>
      <c r="GC203" s="22">
        <f t="shared" si="186"/>
        <v>1.0714397109046761E-11</v>
      </c>
      <c r="GD203" s="60">
        <f t="shared" si="200"/>
        <v>293.333333333344</v>
      </c>
      <c r="GE203" s="60">
        <f ca="1">AVERAGE(OFFSET($GD$3,0,0,'Données projet'!$E$17+1,1))-AVERAGE(OFFSET($H$3,0,0,'Données projet'!$E$17+1,1))</f>
        <v>323.56667371063662</v>
      </c>
      <c r="GF203" s="60">
        <f t="shared" si="212"/>
        <v>275.70373467723385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>
        <f>EXP(-LN(2)/35)*GL202+(1-EXP(-LN(2)/35))/(LN(2)/35)*GH203*GI203*VLOOKUP('Données projet'!$B$17,Paramètres!$A$1:$I$89,3,0)*0.475*44/12</f>
        <v>0</v>
      </c>
      <c r="GM203" s="23">
        <f>EXP(-LN(2)/25)*GM202+(1-EXP(-LN(2)/25))/(LN(2)/25)*Calculateur!GH203*Calculateur!GJ203*VLOOKUP('Données projet'!$B$17,Paramètres!$A$1:$I$89,3,0)*0.475*44/12</f>
        <v>0</v>
      </c>
      <c r="GN203" s="23">
        <f>EXP(-LN(2)/2)*GN202+(1-EXP(-LN(2)/2))/(LN(2)/2)*GH203*GK203*VLOOKUP('Données projet'!$B$17,Paramètres!$A$1:$I$89,3,0)*0.475*44/12</f>
        <v>0</v>
      </c>
      <c r="GO203" s="23">
        <f t="shared" si="187"/>
        <v>0</v>
      </c>
      <c r="GP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0" t="e">
        <f t="shared" si="201"/>
        <v>#N/A</v>
      </c>
      <c r="GZ203" s="60" t="e">
        <f ca="1">AVERAGE(OFFSET($GY$3,0,0,'Données projet'!$E$18+1,1))-AVERAGE(OFFSET($H$3,0,0,'Données projet'!$E$18+1,1))</f>
        <v>#N/A</v>
      </c>
      <c r="HA203" s="60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0"/>
      <c r="C204" s="78"/>
      <c r="D204" s="79"/>
      <c r="E204" s="79"/>
      <c r="F204" s="79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8"/>
      <c r="I204" s="78"/>
      <c r="J204" s="78"/>
      <c r="K204" s="87" t="s">
        <v>293</v>
      </c>
      <c r="L204" s="81"/>
      <c r="M204" s="81"/>
      <c r="N204" s="81"/>
      <c r="O204" s="78"/>
      <c r="P204" s="78"/>
      <c r="Q204" s="79"/>
      <c r="R204" s="82"/>
      <c r="S204" s="82"/>
      <c r="T204" s="82"/>
      <c r="U204" s="81"/>
      <c r="V204" s="81"/>
      <c r="W204" s="83"/>
      <c r="X204" s="83"/>
      <c r="Y204" s="83"/>
      <c r="Z204" s="78"/>
      <c r="AA204" s="78"/>
      <c r="AB204" s="78"/>
      <c r="AC204" s="78"/>
      <c r="AD204" s="78"/>
      <c r="AE204" s="78"/>
      <c r="AF204" s="84" t="s">
        <v>293</v>
      </c>
      <c r="BA204" s="84" t="s">
        <v>293</v>
      </c>
      <c r="BV204" s="84" t="s">
        <v>293</v>
      </c>
      <c r="CQ204" s="84" t="s">
        <v>293</v>
      </c>
      <c r="DL204" s="84" t="s">
        <v>293</v>
      </c>
      <c r="EG204" s="84" t="s">
        <v>293</v>
      </c>
      <c r="FB204" s="84" t="s">
        <v>293</v>
      </c>
      <c r="FW204" s="84" t="s">
        <v>293</v>
      </c>
      <c r="GR204" s="84" t="s">
        <v>293</v>
      </c>
    </row>
    <row r="205" spans="1:218" ht="15" thickBot="1" x14ac:dyDescent="0.35">
      <c r="B205" s="80"/>
      <c r="C205" s="78"/>
      <c r="D205" s="79"/>
      <c r="E205" s="79"/>
      <c r="F205" s="79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8"/>
      <c r="I205" s="78"/>
      <c r="J205" s="78"/>
      <c r="K205" s="85">
        <f>EXP(LN('Données projet'!B36)/'Données projet'!A36)</f>
        <v>1.3267648858502221</v>
      </c>
      <c r="L205" s="81"/>
      <c r="M205" s="81"/>
      <c r="N205" s="81"/>
      <c r="O205" s="78"/>
      <c r="P205" s="78"/>
      <c r="Q205" s="79"/>
      <c r="R205" s="82"/>
      <c r="S205" s="82"/>
      <c r="T205" s="82"/>
      <c r="U205" s="81"/>
      <c r="V205" s="81"/>
      <c r="W205" s="83"/>
      <c r="X205" s="83"/>
      <c r="Y205" s="83"/>
      <c r="Z205" s="78"/>
      <c r="AA205" s="78"/>
      <c r="AB205" s="78"/>
      <c r="AC205" s="78"/>
      <c r="AD205" s="78"/>
      <c r="AE205" s="78"/>
      <c r="AF205" s="86">
        <f>EXP(LN('Données projet'!B62)/'Données projet'!A62)</f>
        <v>1.2054868146447177</v>
      </c>
      <c r="BA205" s="85">
        <f>EXP(LN('Données projet'!B88)/'Données projet'!A88)</f>
        <v>1.2054868146447177</v>
      </c>
      <c r="BV205" s="85">
        <f>EXP(LN('Données projet'!B114)/'Données projet'!A114)</f>
        <v>1.2979700365523266</v>
      </c>
      <c r="CQ205" s="85">
        <f>EXP(LN('Données projet'!B140)/'Données projet'!A140)</f>
        <v>1.2613966317002558</v>
      </c>
      <c r="DL205" s="85">
        <f>EXP(LN('Données projet'!B166)/'Données projet'!A166)</f>
        <v>1.2054868146447177</v>
      </c>
      <c r="EG205" s="85">
        <f>EXP(LN('Données projet'!B192)/'Données projet'!A192)</f>
        <v>1.2474449991725556</v>
      </c>
      <c r="FB205" s="85">
        <f>EXP(LN('Données projet'!B218)/'Données projet'!A218)</f>
        <v>1.1616814187717481</v>
      </c>
      <c r="FW205" s="85">
        <f>EXP(LN('Données projet'!B244)/'Données projet'!A244)</f>
        <v>1.274746203751338</v>
      </c>
      <c r="GR205" s="85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36" workbookViewId="0">
      <selection activeCell="C49" sqref="C49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17" t="s">
        <v>0</v>
      </c>
      <c r="B1" s="118" t="s">
        <v>106</v>
      </c>
      <c r="C1" s="119" t="s">
        <v>144</v>
      </c>
      <c r="D1" s="118" t="s">
        <v>100</v>
      </c>
      <c r="E1" s="119" t="s">
        <v>145</v>
      </c>
      <c r="F1" s="119" t="s">
        <v>100</v>
      </c>
      <c r="G1" s="119" t="s">
        <v>146</v>
      </c>
      <c r="H1" s="119" t="s">
        <v>100</v>
      </c>
      <c r="I1" s="120" t="s">
        <v>147</v>
      </c>
      <c r="J1" s="97"/>
      <c r="K1" s="97"/>
      <c r="L1" s="97"/>
      <c r="M1" s="97"/>
      <c r="N1" s="97"/>
    </row>
    <row r="2" spans="1:16" x14ac:dyDescent="0.3">
      <c r="A2" s="121" t="s">
        <v>1</v>
      </c>
      <c r="B2" s="122" t="s">
        <v>53</v>
      </c>
      <c r="C2" s="123">
        <v>0.62</v>
      </c>
      <c r="D2" s="123" t="s">
        <v>161</v>
      </c>
      <c r="E2" s="123">
        <v>1.56</v>
      </c>
      <c r="F2" s="123" t="s">
        <v>274</v>
      </c>
      <c r="G2" s="124">
        <v>0.43</v>
      </c>
      <c r="H2" s="125" t="s">
        <v>278</v>
      </c>
      <c r="I2" s="126">
        <v>0.25</v>
      </c>
      <c r="J2" s="97"/>
      <c r="K2" s="97"/>
      <c r="L2" s="97"/>
      <c r="M2" s="97"/>
      <c r="N2" s="97"/>
      <c r="O2" s="313" t="s">
        <v>238</v>
      </c>
      <c r="P2" s="127">
        <v>0</v>
      </c>
    </row>
    <row r="3" spans="1:16" ht="15" thickBot="1" x14ac:dyDescent="0.35">
      <c r="A3" s="128" t="s">
        <v>2</v>
      </c>
      <c r="B3" s="129" t="s">
        <v>54</v>
      </c>
      <c r="C3" s="130">
        <v>0.64</v>
      </c>
      <c r="D3" s="130" t="s">
        <v>161</v>
      </c>
      <c r="E3" s="130">
        <v>1.56</v>
      </c>
      <c r="F3" s="131" t="s">
        <v>274</v>
      </c>
      <c r="G3" s="132">
        <v>0.43</v>
      </c>
      <c r="H3" s="130" t="s">
        <v>278</v>
      </c>
      <c r="I3" s="133">
        <v>0.25</v>
      </c>
      <c r="J3" s="97"/>
      <c r="K3" s="97"/>
      <c r="L3" s="97"/>
      <c r="M3" s="97"/>
      <c r="N3" s="97"/>
      <c r="O3" s="314"/>
      <c r="P3" s="134">
        <v>0.2</v>
      </c>
    </row>
    <row r="4" spans="1:16" ht="15" thickBot="1" x14ac:dyDescent="0.35">
      <c r="A4" s="128" t="s">
        <v>98</v>
      </c>
      <c r="B4" s="129" t="s">
        <v>99</v>
      </c>
      <c r="C4" s="130">
        <v>0.42</v>
      </c>
      <c r="D4" s="130" t="s">
        <v>161</v>
      </c>
      <c r="E4" s="130">
        <v>1.56</v>
      </c>
      <c r="F4" s="131" t="s">
        <v>274</v>
      </c>
      <c r="G4" s="132">
        <v>0.43</v>
      </c>
      <c r="H4" s="130" t="s">
        <v>278</v>
      </c>
      <c r="I4" s="133">
        <v>0.25</v>
      </c>
      <c r="J4" s="97"/>
      <c r="K4" s="97"/>
      <c r="L4" s="97"/>
      <c r="M4" s="97"/>
      <c r="N4" s="97"/>
    </row>
    <row r="5" spans="1:16" x14ac:dyDescent="0.3">
      <c r="A5" s="128" t="s">
        <v>4</v>
      </c>
      <c r="B5" s="129" t="s">
        <v>55</v>
      </c>
      <c r="C5" s="130">
        <v>0.42</v>
      </c>
      <c r="D5" s="130" t="s">
        <v>161</v>
      </c>
      <c r="E5" s="130">
        <v>1.56</v>
      </c>
      <c r="F5" s="131" t="s">
        <v>274</v>
      </c>
      <c r="G5" s="132">
        <v>0.43</v>
      </c>
      <c r="H5" s="130" t="s">
        <v>278</v>
      </c>
      <c r="I5" s="133">
        <v>0.25</v>
      </c>
      <c r="J5" s="97"/>
      <c r="K5" s="97"/>
      <c r="L5" s="97"/>
      <c r="M5" s="97"/>
      <c r="N5" s="97"/>
      <c r="O5" s="313" t="s">
        <v>237</v>
      </c>
      <c r="P5" s="127">
        <v>0</v>
      </c>
    </row>
    <row r="6" spans="1:16" x14ac:dyDescent="0.3">
      <c r="A6" s="128" t="s">
        <v>3</v>
      </c>
      <c r="B6" s="129" t="s">
        <v>97</v>
      </c>
      <c r="C6" s="130">
        <v>0.42</v>
      </c>
      <c r="D6" s="130" t="s">
        <v>161</v>
      </c>
      <c r="E6" s="130">
        <v>1.56</v>
      </c>
      <c r="F6" s="131" t="s">
        <v>274</v>
      </c>
      <c r="G6" s="132">
        <v>0.43</v>
      </c>
      <c r="H6" s="130" t="s">
        <v>278</v>
      </c>
      <c r="I6" s="133">
        <v>0.25</v>
      </c>
      <c r="J6" s="97"/>
      <c r="K6" s="97"/>
      <c r="L6" s="97"/>
      <c r="M6" s="97"/>
      <c r="N6" s="97"/>
      <c r="O6" s="315"/>
      <c r="P6" s="135">
        <v>0.05</v>
      </c>
    </row>
    <row r="7" spans="1:16" x14ac:dyDescent="0.3">
      <c r="A7" s="128" t="s">
        <v>5</v>
      </c>
      <c r="B7" s="129" t="s">
        <v>56</v>
      </c>
      <c r="C7" s="130">
        <v>0.52</v>
      </c>
      <c r="D7" s="130" t="s">
        <v>161</v>
      </c>
      <c r="E7" s="130">
        <v>1.56</v>
      </c>
      <c r="F7" s="131" t="s">
        <v>274</v>
      </c>
      <c r="G7" s="132">
        <v>0.43</v>
      </c>
      <c r="H7" s="130" t="s">
        <v>278</v>
      </c>
      <c r="I7" s="133">
        <v>0.25</v>
      </c>
      <c r="J7" s="97"/>
      <c r="K7" s="97"/>
      <c r="L7" s="97"/>
      <c r="M7" s="97"/>
      <c r="N7" s="97"/>
      <c r="O7" s="315"/>
      <c r="P7" s="135">
        <v>0.1</v>
      </c>
    </row>
    <row r="8" spans="1:16" ht="15" thickBot="1" x14ac:dyDescent="0.35">
      <c r="A8" s="128" t="s">
        <v>164</v>
      </c>
      <c r="B8" s="129" t="s">
        <v>57</v>
      </c>
      <c r="C8" s="130">
        <v>0.36</v>
      </c>
      <c r="D8" s="130" t="s">
        <v>161</v>
      </c>
      <c r="E8" s="130">
        <v>1.3</v>
      </c>
      <c r="F8" s="131" t="s">
        <v>274</v>
      </c>
      <c r="G8" s="132">
        <v>0.55000000000000004</v>
      </c>
      <c r="H8" s="130" t="s">
        <v>153</v>
      </c>
      <c r="I8" s="133">
        <v>0.43</v>
      </c>
      <c r="J8" s="97"/>
      <c r="K8" s="97"/>
      <c r="L8" s="97"/>
      <c r="M8" s="97"/>
      <c r="N8" s="97"/>
      <c r="O8" s="314"/>
      <c r="P8" s="134">
        <v>0.15</v>
      </c>
    </row>
    <row r="9" spans="1:16" ht="15" thickBot="1" x14ac:dyDescent="0.35">
      <c r="A9" s="128" t="s">
        <v>6</v>
      </c>
      <c r="B9" s="129" t="s">
        <v>58</v>
      </c>
      <c r="C9" s="130">
        <v>0.61</v>
      </c>
      <c r="D9" s="130" t="s">
        <v>161</v>
      </c>
      <c r="E9" s="130">
        <v>1.56</v>
      </c>
      <c r="F9" s="131" t="s">
        <v>274</v>
      </c>
      <c r="G9" s="132">
        <v>0.43</v>
      </c>
      <c r="H9" s="130" t="s">
        <v>278</v>
      </c>
      <c r="I9" s="133">
        <v>0.25</v>
      </c>
      <c r="J9" s="97"/>
      <c r="K9" s="97"/>
      <c r="L9" s="97"/>
      <c r="M9" s="97"/>
      <c r="N9" s="97"/>
    </row>
    <row r="10" spans="1:16" x14ac:dyDescent="0.3">
      <c r="A10" s="128" t="s">
        <v>7</v>
      </c>
      <c r="B10" s="129" t="s">
        <v>59</v>
      </c>
      <c r="C10" s="130">
        <v>0.66</v>
      </c>
      <c r="D10" s="130" t="s">
        <v>161</v>
      </c>
      <c r="E10" s="130">
        <v>1.56</v>
      </c>
      <c r="F10" s="131" t="s">
        <v>274</v>
      </c>
      <c r="G10" s="132">
        <v>0.43</v>
      </c>
      <c r="H10" s="130" t="s">
        <v>278</v>
      </c>
      <c r="I10" s="133">
        <v>0.25</v>
      </c>
      <c r="J10" s="97"/>
      <c r="K10" s="97"/>
      <c r="L10" s="97"/>
      <c r="M10" s="97"/>
      <c r="N10" s="97"/>
      <c r="O10" s="313" t="s">
        <v>236</v>
      </c>
      <c r="P10" s="127">
        <v>0</v>
      </c>
    </row>
    <row r="11" spans="1:16" ht="15" thickBot="1" x14ac:dyDescent="0.35">
      <c r="A11" s="128" t="s">
        <v>8</v>
      </c>
      <c r="B11" s="129" t="s">
        <v>60</v>
      </c>
      <c r="C11" s="130">
        <v>0.47</v>
      </c>
      <c r="D11" s="130" t="s">
        <v>161</v>
      </c>
      <c r="E11" s="130">
        <v>1.56</v>
      </c>
      <c r="F11" s="131" t="s">
        <v>274</v>
      </c>
      <c r="G11" s="132">
        <v>0.43</v>
      </c>
      <c r="H11" s="130" t="s">
        <v>278</v>
      </c>
      <c r="I11" s="133">
        <v>0.25</v>
      </c>
      <c r="J11" s="97"/>
      <c r="K11" s="97"/>
      <c r="L11" s="97"/>
      <c r="M11" s="97"/>
      <c r="N11" s="97"/>
      <c r="O11" s="314"/>
      <c r="P11" s="134">
        <v>0.1</v>
      </c>
    </row>
    <row r="12" spans="1:16" x14ac:dyDescent="0.3">
      <c r="A12" s="128" t="s">
        <v>9</v>
      </c>
      <c r="B12" s="129" t="s">
        <v>61</v>
      </c>
      <c r="C12" s="130">
        <v>0.67</v>
      </c>
      <c r="D12" s="130" t="s">
        <v>161</v>
      </c>
      <c r="E12" s="130">
        <v>1.56</v>
      </c>
      <c r="F12" s="131" t="s">
        <v>274</v>
      </c>
      <c r="G12" s="132">
        <v>0.43</v>
      </c>
      <c r="H12" s="130" t="s">
        <v>152</v>
      </c>
      <c r="I12" s="133">
        <v>0.25</v>
      </c>
      <c r="J12" s="97"/>
      <c r="K12" s="97"/>
      <c r="L12" s="97"/>
      <c r="M12" s="97"/>
      <c r="N12" s="97"/>
    </row>
    <row r="13" spans="1:16" x14ac:dyDescent="0.3">
      <c r="A13" s="128" t="s">
        <v>10</v>
      </c>
      <c r="B13" s="129" t="s">
        <v>62</v>
      </c>
      <c r="C13" s="130">
        <v>0.7</v>
      </c>
      <c r="D13" s="130" t="s">
        <v>161</v>
      </c>
      <c r="E13" s="130">
        <v>1.56</v>
      </c>
      <c r="F13" s="131" t="s">
        <v>274</v>
      </c>
      <c r="G13" s="132">
        <v>0.43</v>
      </c>
      <c r="H13" s="130" t="s">
        <v>152</v>
      </c>
      <c r="I13" s="133">
        <v>0.25</v>
      </c>
      <c r="J13" s="97"/>
      <c r="K13" s="97"/>
      <c r="L13" s="97"/>
      <c r="M13" s="97"/>
      <c r="N13" s="97"/>
    </row>
    <row r="14" spans="1:16" x14ac:dyDescent="0.3">
      <c r="A14" s="128" t="s">
        <v>11</v>
      </c>
      <c r="B14" s="129" t="s">
        <v>63</v>
      </c>
      <c r="C14" s="130">
        <v>0.54</v>
      </c>
      <c r="D14" s="130" t="s">
        <v>161</v>
      </c>
      <c r="E14" s="130">
        <v>1.56</v>
      </c>
      <c r="F14" s="131" t="s">
        <v>274</v>
      </c>
      <c r="G14" s="132">
        <v>0.43</v>
      </c>
      <c r="H14" s="130" t="s">
        <v>152</v>
      </c>
      <c r="I14" s="133">
        <v>0.25</v>
      </c>
      <c r="J14" s="97"/>
      <c r="K14" s="97"/>
      <c r="L14" s="97"/>
      <c r="M14" s="97"/>
      <c r="N14" s="97"/>
    </row>
    <row r="15" spans="1:16" x14ac:dyDescent="0.3">
      <c r="A15" s="128" t="s">
        <v>12</v>
      </c>
      <c r="B15" s="129" t="s">
        <v>64</v>
      </c>
      <c r="C15" s="130">
        <v>0.65</v>
      </c>
      <c r="D15" s="130" t="s">
        <v>161</v>
      </c>
      <c r="E15" s="130">
        <v>1.56</v>
      </c>
      <c r="F15" s="131" t="s">
        <v>274</v>
      </c>
      <c r="G15" s="132">
        <v>0.43</v>
      </c>
      <c r="H15" s="130" t="s">
        <v>152</v>
      </c>
      <c r="I15" s="133">
        <v>0.25</v>
      </c>
      <c r="J15" s="97"/>
      <c r="K15" s="97"/>
      <c r="L15" s="97"/>
      <c r="M15" s="97"/>
      <c r="N15" s="97"/>
    </row>
    <row r="16" spans="1:16" x14ac:dyDescent="0.3">
      <c r="A16" s="128" t="s">
        <v>13</v>
      </c>
      <c r="B16" s="129" t="s">
        <v>65</v>
      </c>
      <c r="C16" s="130">
        <v>0.56000000000000005</v>
      </c>
      <c r="D16" s="130" t="s">
        <v>161</v>
      </c>
      <c r="E16" s="130">
        <v>1.56</v>
      </c>
      <c r="F16" s="131" t="s">
        <v>274</v>
      </c>
      <c r="G16" s="132">
        <v>0.43</v>
      </c>
      <c r="H16" s="130" t="s">
        <v>152</v>
      </c>
      <c r="I16" s="133">
        <v>0.25</v>
      </c>
      <c r="J16" s="97"/>
      <c r="K16" s="97"/>
      <c r="L16" s="97"/>
      <c r="M16" s="97"/>
      <c r="N16" s="97"/>
    </row>
    <row r="17" spans="1:14" x14ac:dyDescent="0.3">
      <c r="A17" s="128" t="s">
        <v>14</v>
      </c>
      <c r="B17" s="129" t="s">
        <v>66</v>
      </c>
      <c r="C17" s="130">
        <v>0.57999999999999996</v>
      </c>
      <c r="D17" s="130" t="s">
        <v>161</v>
      </c>
      <c r="E17" s="130">
        <v>1.56</v>
      </c>
      <c r="F17" s="131" t="s">
        <v>274</v>
      </c>
      <c r="G17" s="132">
        <v>0.43</v>
      </c>
      <c r="H17" s="130" t="s">
        <v>152</v>
      </c>
      <c r="I17" s="133">
        <v>0.25</v>
      </c>
      <c r="J17" s="97"/>
      <c r="K17" s="97"/>
      <c r="L17" s="97"/>
      <c r="M17" s="97"/>
      <c r="N17" s="97"/>
    </row>
    <row r="18" spans="1:14" x14ac:dyDescent="0.3">
      <c r="A18" s="128" t="s">
        <v>15</v>
      </c>
      <c r="B18" s="129" t="s">
        <v>67</v>
      </c>
      <c r="C18" s="130">
        <v>0.64</v>
      </c>
      <c r="D18" s="130" t="s">
        <v>161</v>
      </c>
      <c r="E18" s="130">
        <v>1.56</v>
      </c>
      <c r="F18" s="131" t="s">
        <v>274</v>
      </c>
      <c r="G18" s="132">
        <v>0.43</v>
      </c>
      <c r="H18" s="130" t="s">
        <v>152</v>
      </c>
      <c r="I18" s="133">
        <v>0.25</v>
      </c>
      <c r="J18" s="97"/>
      <c r="K18" s="97"/>
      <c r="L18" s="97"/>
      <c r="M18" s="97"/>
      <c r="N18" s="97"/>
    </row>
    <row r="19" spans="1:14" x14ac:dyDescent="0.3">
      <c r="A19" s="128" t="s">
        <v>16</v>
      </c>
      <c r="B19" s="129" t="s">
        <v>68</v>
      </c>
      <c r="C19" s="130">
        <v>0.73</v>
      </c>
      <c r="D19" s="130" t="s">
        <v>161</v>
      </c>
      <c r="E19" s="130">
        <v>1.56</v>
      </c>
      <c r="F19" s="131" t="s">
        <v>274</v>
      </c>
      <c r="G19" s="132">
        <v>0.43</v>
      </c>
      <c r="H19" s="130" t="s">
        <v>152</v>
      </c>
      <c r="I19" s="133">
        <v>0.25</v>
      </c>
      <c r="J19" s="97"/>
      <c r="K19" s="97"/>
      <c r="L19" s="97"/>
      <c r="M19" s="97"/>
      <c r="N19" s="97"/>
    </row>
    <row r="20" spans="1:14" x14ac:dyDescent="0.3">
      <c r="A20" s="128" t="s">
        <v>52</v>
      </c>
      <c r="B20" s="129" t="s">
        <v>69</v>
      </c>
      <c r="C20" s="130">
        <v>0.69</v>
      </c>
      <c r="D20" s="130" t="s">
        <v>131</v>
      </c>
      <c r="E20" s="130">
        <v>1.56</v>
      </c>
      <c r="F20" s="131" t="s">
        <v>274</v>
      </c>
      <c r="G20" s="132">
        <v>0.43</v>
      </c>
      <c r="H20" s="130" t="s">
        <v>282</v>
      </c>
      <c r="I20" s="133">
        <v>0.25</v>
      </c>
      <c r="J20" s="97"/>
      <c r="K20" s="97"/>
      <c r="L20" s="97"/>
      <c r="M20" s="97"/>
      <c r="N20" s="97"/>
    </row>
    <row r="21" spans="1:14" x14ac:dyDescent="0.3">
      <c r="A21" s="128" t="s">
        <v>154</v>
      </c>
      <c r="B21" s="129" t="s">
        <v>155</v>
      </c>
      <c r="C21" s="130">
        <v>0.36</v>
      </c>
      <c r="D21" s="130" t="s">
        <v>161</v>
      </c>
      <c r="E21" s="130">
        <v>1.3</v>
      </c>
      <c r="F21" s="131" t="s">
        <v>274</v>
      </c>
      <c r="G21" s="132">
        <v>0.55000000000000004</v>
      </c>
      <c r="H21" s="130" t="s">
        <v>153</v>
      </c>
      <c r="I21" s="133">
        <v>0.43</v>
      </c>
      <c r="J21" s="97"/>
      <c r="K21" s="97"/>
      <c r="L21" s="97"/>
      <c r="M21" s="97"/>
      <c r="N21" s="97"/>
    </row>
    <row r="22" spans="1:14" x14ac:dyDescent="0.3">
      <c r="A22" s="128" t="s">
        <v>17</v>
      </c>
      <c r="B22" s="129" t="s">
        <v>70</v>
      </c>
      <c r="C22" s="130">
        <v>0.4</v>
      </c>
      <c r="D22" s="130" t="s">
        <v>161</v>
      </c>
      <c r="E22" s="130">
        <v>1.3</v>
      </c>
      <c r="F22" s="131" t="s">
        <v>274</v>
      </c>
      <c r="G22" s="132">
        <v>0.55000000000000004</v>
      </c>
      <c r="H22" s="130" t="s">
        <v>153</v>
      </c>
      <c r="I22" s="133">
        <v>0.43</v>
      </c>
      <c r="J22" s="97"/>
      <c r="K22" s="97"/>
      <c r="L22" s="97"/>
      <c r="M22" s="97"/>
      <c r="N22" s="97"/>
    </row>
    <row r="23" spans="1:14" x14ac:dyDescent="0.3">
      <c r="A23" s="128" t="s">
        <v>18</v>
      </c>
      <c r="B23" s="129" t="s">
        <v>71</v>
      </c>
      <c r="C23" s="130">
        <v>0.43</v>
      </c>
      <c r="D23" s="130" t="s">
        <v>161</v>
      </c>
      <c r="E23" s="130">
        <v>1.3</v>
      </c>
      <c r="F23" s="131" t="s">
        <v>274</v>
      </c>
      <c r="G23" s="132">
        <v>0.55000000000000004</v>
      </c>
      <c r="H23" s="130" t="s">
        <v>153</v>
      </c>
      <c r="I23" s="133">
        <v>0.43</v>
      </c>
      <c r="J23" s="97"/>
      <c r="K23" s="97"/>
      <c r="L23" s="97"/>
      <c r="M23" s="97"/>
      <c r="N23" s="97"/>
    </row>
    <row r="24" spans="1:14" x14ac:dyDescent="0.3">
      <c r="A24" s="128" t="s">
        <v>19</v>
      </c>
      <c r="B24" s="129" t="s">
        <v>72</v>
      </c>
      <c r="C24" s="130">
        <v>0.37</v>
      </c>
      <c r="D24" s="130" t="s">
        <v>161</v>
      </c>
      <c r="E24" s="130">
        <v>1.3</v>
      </c>
      <c r="F24" s="131" t="s">
        <v>274</v>
      </c>
      <c r="G24" s="132">
        <v>0.55000000000000004</v>
      </c>
      <c r="H24" s="130" t="s">
        <v>152</v>
      </c>
      <c r="I24" s="133">
        <v>0.43</v>
      </c>
      <c r="J24" s="97"/>
      <c r="K24" s="97"/>
      <c r="L24" s="97"/>
      <c r="M24" s="97"/>
      <c r="N24" s="97"/>
    </row>
    <row r="25" spans="1:14" x14ac:dyDescent="0.3">
      <c r="A25" s="128" t="s">
        <v>20</v>
      </c>
      <c r="B25" s="129" t="s">
        <v>73</v>
      </c>
      <c r="C25" s="130">
        <v>0.36</v>
      </c>
      <c r="D25" s="130" t="s">
        <v>161</v>
      </c>
      <c r="E25" s="130">
        <v>1.3</v>
      </c>
      <c r="F25" s="131" t="s">
        <v>274</v>
      </c>
      <c r="G25" s="132">
        <v>0.55000000000000004</v>
      </c>
      <c r="H25" s="130" t="s">
        <v>152</v>
      </c>
      <c r="I25" s="133">
        <v>0.43</v>
      </c>
      <c r="J25" s="97"/>
      <c r="K25" s="97"/>
      <c r="L25" s="97"/>
      <c r="M25" s="97"/>
      <c r="N25" s="97"/>
    </row>
    <row r="26" spans="1:14" x14ac:dyDescent="0.3">
      <c r="A26" s="128" t="s">
        <v>21</v>
      </c>
      <c r="B26" s="129" t="s">
        <v>74</v>
      </c>
      <c r="C26" s="130">
        <v>0.56000000000000005</v>
      </c>
      <c r="D26" s="130" t="s">
        <v>161</v>
      </c>
      <c r="E26" s="130">
        <v>1.56</v>
      </c>
      <c r="F26" s="131" t="s">
        <v>274</v>
      </c>
      <c r="G26" s="132">
        <v>0.53</v>
      </c>
      <c r="H26" s="130" t="s">
        <v>275</v>
      </c>
      <c r="I26" s="133">
        <v>0.25</v>
      </c>
      <c r="J26" s="97"/>
      <c r="K26" s="97"/>
      <c r="L26" s="97"/>
      <c r="M26" s="97"/>
      <c r="N26" s="97"/>
    </row>
    <row r="27" spans="1:14" x14ac:dyDescent="0.3">
      <c r="A27" s="128" t="s">
        <v>22</v>
      </c>
      <c r="B27" s="129" t="s">
        <v>75</v>
      </c>
      <c r="C27" s="130">
        <v>0.51</v>
      </c>
      <c r="D27" s="130" t="s">
        <v>161</v>
      </c>
      <c r="E27" s="130">
        <v>1.56</v>
      </c>
      <c r="F27" s="131" t="s">
        <v>274</v>
      </c>
      <c r="G27" s="132">
        <v>0.53</v>
      </c>
      <c r="H27" s="130" t="s">
        <v>275</v>
      </c>
      <c r="I27" s="133">
        <v>0.25</v>
      </c>
      <c r="J27" s="97"/>
      <c r="K27" s="97"/>
      <c r="L27" s="97"/>
      <c r="M27" s="97"/>
      <c r="N27" s="97"/>
    </row>
    <row r="28" spans="1:14" x14ac:dyDescent="0.3">
      <c r="A28" s="128" t="s">
        <v>23</v>
      </c>
      <c r="B28" s="129" t="s">
        <v>76</v>
      </c>
      <c r="C28" s="130">
        <v>0.51</v>
      </c>
      <c r="D28" s="130" t="s">
        <v>161</v>
      </c>
      <c r="E28" s="130">
        <v>1.56</v>
      </c>
      <c r="F28" s="131" t="s">
        <v>274</v>
      </c>
      <c r="G28" s="132">
        <v>0.53</v>
      </c>
      <c r="H28" s="130" t="s">
        <v>275</v>
      </c>
      <c r="I28" s="133">
        <v>0.25</v>
      </c>
      <c r="J28" s="97"/>
      <c r="K28" s="97"/>
      <c r="L28" s="97"/>
      <c r="M28" s="97"/>
      <c r="N28" s="97"/>
    </row>
    <row r="29" spans="1:14" x14ac:dyDescent="0.3">
      <c r="A29" s="128" t="s">
        <v>24</v>
      </c>
      <c r="B29" s="129" t="s">
        <v>24</v>
      </c>
      <c r="C29" s="130">
        <v>0.56000000000000005</v>
      </c>
      <c r="D29" s="130" t="s">
        <v>161</v>
      </c>
      <c r="E29" s="130">
        <v>1.56</v>
      </c>
      <c r="F29" s="131" t="s">
        <v>274</v>
      </c>
      <c r="G29" s="132">
        <v>0.53</v>
      </c>
      <c r="H29" s="130" t="s">
        <v>275</v>
      </c>
      <c r="I29" s="133">
        <v>0.25</v>
      </c>
      <c r="J29" s="97"/>
      <c r="K29" s="97"/>
      <c r="L29" s="97"/>
      <c r="M29" s="97"/>
      <c r="N29" s="97"/>
    </row>
    <row r="30" spans="1:14" x14ac:dyDescent="0.3">
      <c r="A30" s="128" t="s">
        <v>25</v>
      </c>
      <c r="B30" s="129" t="s">
        <v>77</v>
      </c>
      <c r="C30" s="130">
        <v>0.55000000000000004</v>
      </c>
      <c r="D30" s="130" t="s">
        <v>161</v>
      </c>
      <c r="E30" s="130">
        <v>1.56</v>
      </c>
      <c r="F30" s="131" t="s">
        <v>274</v>
      </c>
      <c r="G30" s="132">
        <v>0.53</v>
      </c>
      <c r="H30" s="130" t="s">
        <v>152</v>
      </c>
      <c r="I30" s="133">
        <v>0.25</v>
      </c>
      <c r="J30" s="97"/>
      <c r="K30" s="97"/>
      <c r="L30" s="97"/>
      <c r="M30" s="97"/>
      <c r="N30" s="97"/>
    </row>
    <row r="31" spans="1:14" x14ac:dyDescent="0.3">
      <c r="A31" s="128" t="s">
        <v>26</v>
      </c>
      <c r="B31" s="129" t="s">
        <v>78</v>
      </c>
      <c r="C31" s="130">
        <v>0.56000000000000005</v>
      </c>
      <c r="D31" s="130" t="s">
        <v>161</v>
      </c>
      <c r="E31" s="130">
        <v>1.56</v>
      </c>
      <c r="F31" s="131" t="s">
        <v>274</v>
      </c>
      <c r="G31" s="132">
        <v>0.43</v>
      </c>
      <c r="H31" s="130" t="s">
        <v>278</v>
      </c>
      <c r="I31" s="133">
        <v>0.25</v>
      </c>
      <c r="J31" s="97"/>
      <c r="K31" s="97"/>
      <c r="L31" s="97"/>
      <c r="M31" s="97"/>
      <c r="N31" s="97"/>
    </row>
    <row r="32" spans="1:14" x14ac:dyDescent="0.3">
      <c r="A32" s="128" t="s">
        <v>27</v>
      </c>
      <c r="B32" s="129" t="s">
        <v>79</v>
      </c>
      <c r="C32" s="130">
        <v>0.48</v>
      </c>
      <c r="D32" s="130" t="s">
        <v>161</v>
      </c>
      <c r="E32" s="130">
        <v>1.3</v>
      </c>
      <c r="F32" s="131" t="s">
        <v>274</v>
      </c>
      <c r="G32" s="132">
        <v>0.6</v>
      </c>
      <c r="H32" s="130" t="s">
        <v>281</v>
      </c>
      <c r="I32" s="133">
        <v>0.43</v>
      </c>
      <c r="J32" s="97"/>
      <c r="K32" s="97"/>
      <c r="L32" s="97"/>
      <c r="M32" s="97"/>
      <c r="N32" s="97"/>
    </row>
    <row r="33" spans="1:14" x14ac:dyDescent="0.3">
      <c r="A33" s="128" t="s">
        <v>28</v>
      </c>
      <c r="B33" s="129" t="s">
        <v>80</v>
      </c>
      <c r="C33" s="130">
        <v>0.42</v>
      </c>
      <c r="D33" s="130" t="s">
        <v>161</v>
      </c>
      <c r="E33" s="130">
        <v>1.3</v>
      </c>
      <c r="F33" s="131" t="s">
        <v>274</v>
      </c>
      <c r="G33" s="132">
        <v>0.6</v>
      </c>
      <c r="H33" s="130" t="s">
        <v>281</v>
      </c>
      <c r="I33" s="133">
        <v>0.43</v>
      </c>
      <c r="J33" s="97"/>
      <c r="K33" s="97"/>
      <c r="L33" s="97"/>
      <c r="M33" s="97"/>
      <c r="N33" s="97"/>
    </row>
    <row r="34" spans="1:14" x14ac:dyDescent="0.3">
      <c r="A34" s="128" t="s">
        <v>81</v>
      </c>
      <c r="B34" s="129" t="s">
        <v>163</v>
      </c>
      <c r="C34" s="130">
        <v>0.42</v>
      </c>
      <c r="D34" s="130" t="s">
        <v>103</v>
      </c>
      <c r="E34" s="130">
        <v>1.3</v>
      </c>
      <c r="F34" s="131" t="s">
        <v>274</v>
      </c>
      <c r="G34" s="132">
        <v>0.6</v>
      </c>
      <c r="H34" s="129" t="s">
        <v>280</v>
      </c>
      <c r="I34" s="133">
        <v>0.43</v>
      </c>
      <c r="J34" s="97"/>
      <c r="K34" s="97"/>
      <c r="L34" s="97"/>
      <c r="M34" s="97"/>
      <c r="N34" s="97"/>
    </row>
    <row r="35" spans="1:14" x14ac:dyDescent="0.3">
      <c r="A35" s="128" t="s">
        <v>29</v>
      </c>
      <c r="B35" s="129" t="s">
        <v>82</v>
      </c>
      <c r="C35" s="130">
        <v>0.5</v>
      </c>
      <c r="D35" s="130" t="s">
        <v>161</v>
      </c>
      <c r="E35" s="130">
        <v>1.56</v>
      </c>
      <c r="F35" s="131" t="s">
        <v>274</v>
      </c>
      <c r="G35" s="132">
        <v>0.43</v>
      </c>
      <c r="H35" s="130" t="s">
        <v>278</v>
      </c>
      <c r="I35" s="133">
        <v>0.25</v>
      </c>
      <c r="J35" s="97"/>
      <c r="K35" s="97"/>
      <c r="L35" s="97"/>
      <c r="M35" s="97"/>
      <c r="N35" s="97"/>
    </row>
    <row r="36" spans="1:14" x14ac:dyDescent="0.3">
      <c r="A36" s="128" t="s">
        <v>102</v>
      </c>
      <c r="B36" s="129" t="s">
        <v>101</v>
      </c>
      <c r="C36" s="130">
        <v>0.55000000000000004</v>
      </c>
      <c r="D36" s="130" t="s">
        <v>161</v>
      </c>
      <c r="E36" s="130">
        <v>1.56</v>
      </c>
      <c r="F36" s="131" t="s">
        <v>274</v>
      </c>
      <c r="G36" s="132">
        <v>0.53</v>
      </c>
      <c r="H36" s="130" t="s">
        <v>275</v>
      </c>
      <c r="I36" s="133">
        <v>0.25</v>
      </c>
      <c r="J36" s="97"/>
      <c r="K36" s="97"/>
      <c r="L36" s="97"/>
      <c r="M36" s="97"/>
      <c r="N36" s="97"/>
    </row>
    <row r="37" spans="1:14" x14ac:dyDescent="0.3">
      <c r="A37" s="128" t="s">
        <v>30</v>
      </c>
      <c r="B37" s="129" t="s">
        <v>104</v>
      </c>
      <c r="C37" s="130">
        <v>0.52</v>
      </c>
      <c r="D37" s="130" t="s">
        <v>161</v>
      </c>
      <c r="E37" s="130">
        <v>1.56</v>
      </c>
      <c r="F37" s="131" t="s">
        <v>274</v>
      </c>
      <c r="G37" s="132">
        <v>0.53</v>
      </c>
      <c r="H37" s="130" t="s">
        <v>275</v>
      </c>
      <c r="I37" s="133">
        <v>0.25</v>
      </c>
      <c r="J37" s="97"/>
      <c r="K37" s="97"/>
      <c r="L37" s="97"/>
      <c r="M37" s="97"/>
      <c r="N37" s="97"/>
    </row>
    <row r="38" spans="1:14" x14ac:dyDescent="0.3">
      <c r="A38" s="128" t="s">
        <v>31</v>
      </c>
      <c r="B38" s="129" t="s">
        <v>105</v>
      </c>
      <c r="C38" s="130">
        <v>0.52</v>
      </c>
      <c r="D38" s="130" t="s">
        <v>161</v>
      </c>
      <c r="E38" s="130">
        <v>1.56</v>
      </c>
      <c r="F38" s="131" t="s">
        <v>274</v>
      </c>
      <c r="G38" s="132">
        <v>0.43</v>
      </c>
      <c r="H38" s="130" t="s">
        <v>278</v>
      </c>
      <c r="I38" s="133">
        <v>0.25</v>
      </c>
      <c r="J38" s="97"/>
      <c r="K38" s="97"/>
      <c r="L38" s="97"/>
      <c r="M38" s="97"/>
      <c r="N38" s="97"/>
    </row>
    <row r="39" spans="1:14" x14ac:dyDescent="0.3">
      <c r="A39" s="128" t="s">
        <v>107</v>
      </c>
      <c r="B39" s="129" t="s">
        <v>132</v>
      </c>
      <c r="C39" s="130">
        <v>0.313</v>
      </c>
      <c r="D39" s="130" t="s">
        <v>130</v>
      </c>
      <c r="E39" s="130">
        <v>1.56</v>
      </c>
      <c r="F39" s="131" t="s">
        <v>274</v>
      </c>
      <c r="G39" s="132">
        <v>0.6</v>
      </c>
      <c r="H39" s="130" t="s">
        <v>283</v>
      </c>
      <c r="I39" s="133">
        <v>1.03</v>
      </c>
      <c r="J39" s="97"/>
      <c r="K39" s="97"/>
      <c r="L39" s="97"/>
      <c r="M39" s="97"/>
      <c r="N39" s="97"/>
    </row>
    <row r="40" spans="1:14" x14ac:dyDescent="0.3">
      <c r="A40" s="128" t="s">
        <v>108</v>
      </c>
      <c r="B40" s="129" t="s">
        <v>132</v>
      </c>
      <c r="C40" s="130">
        <v>0.35199999999999998</v>
      </c>
      <c r="D40" s="130" t="s">
        <v>130</v>
      </c>
      <c r="E40" s="130">
        <v>1.56</v>
      </c>
      <c r="F40" s="131" t="s">
        <v>274</v>
      </c>
      <c r="G40" s="132">
        <v>0.6</v>
      </c>
      <c r="H40" s="130" t="s">
        <v>283</v>
      </c>
      <c r="I40" s="133">
        <v>1.03</v>
      </c>
      <c r="J40" s="97"/>
      <c r="K40" s="97"/>
      <c r="L40" s="97"/>
      <c r="M40" s="97"/>
      <c r="N40" s="97"/>
    </row>
    <row r="41" spans="1:14" x14ac:dyDescent="0.3">
      <c r="A41" s="128" t="s">
        <v>121</v>
      </c>
      <c r="B41" s="129" t="s">
        <v>132</v>
      </c>
      <c r="C41" s="130">
        <v>0.32200000000000001</v>
      </c>
      <c r="D41" s="130" t="s">
        <v>130</v>
      </c>
      <c r="E41" s="130">
        <v>1.56</v>
      </c>
      <c r="F41" s="131" t="s">
        <v>274</v>
      </c>
      <c r="G41" s="132">
        <v>0.6</v>
      </c>
      <c r="H41" s="130" t="s">
        <v>283</v>
      </c>
      <c r="I41" s="133">
        <v>1.03</v>
      </c>
      <c r="J41" s="97"/>
      <c r="K41" s="97"/>
      <c r="L41" s="97"/>
      <c r="M41" s="97"/>
      <c r="N41" s="97"/>
    </row>
    <row r="42" spans="1:14" x14ac:dyDescent="0.3">
      <c r="A42" s="128" t="s">
        <v>122</v>
      </c>
      <c r="B42" s="129" t="s">
        <v>132</v>
      </c>
      <c r="C42" s="130">
        <v>0.311</v>
      </c>
      <c r="D42" s="130" t="s">
        <v>130</v>
      </c>
      <c r="E42" s="130">
        <v>1.56</v>
      </c>
      <c r="F42" s="131" t="s">
        <v>274</v>
      </c>
      <c r="G42" s="132">
        <v>0.6</v>
      </c>
      <c r="H42" s="130" t="s">
        <v>283</v>
      </c>
      <c r="I42" s="133">
        <v>1.03</v>
      </c>
      <c r="J42" s="97"/>
      <c r="K42" s="97"/>
      <c r="L42" s="97"/>
      <c r="M42" s="97"/>
      <c r="N42" s="97"/>
    </row>
    <row r="43" spans="1:14" x14ac:dyDescent="0.3">
      <c r="A43" s="128" t="s">
        <v>109</v>
      </c>
      <c r="B43" s="129" t="s">
        <v>132</v>
      </c>
      <c r="C43" s="130">
        <v>0.33900000000000002</v>
      </c>
      <c r="D43" s="130" t="s">
        <v>130</v>
      </c>
      <c r="E43" s="130">
        <v>1.56</v>
      </c>
      <c r="F43" s="131" t="s">
        <v>274</v>
      </c>
      <c r="G43" s="132">
        <v>0.6</v>
      </c>
      <c r="H43" s="130" t="s">
        <v>283</v>
      </c>
      <c r="I43" s="133">
        <v>1.03</v>
      </c>
      <c r="J43" s="97"/>
      <c r="K43" s="97"/>
      <c r="L43" s="97"/>
      <c r="M43" s="97"/>
      <c r="N43" s="97"/>
    </row>
    <row r="44" spans="1:14" x14ac:dyDescent="0.3">
      <c r="A44" s="128" t="s">
        <v>123</v>
      </c>
      <c r="B44" s="129" t="s">
        <v>132</v>
      </c>
      <c r="C44" s="130">
        <v>0.33600000000000002</v>
      </c>
      <c r="D44" s="130" t="s">
        <v>130</v>
      </c>
      <c r="E44" s="130">
        <v>1.56</v>
      </c>
      <c r="F44" s="131" t="s">
        <v>274</v>
      </c>
      <c r="G44" s="132">
        <v>0.6</v>
      </c>
      <c r="H44" s="130" t="s">
        <v>283</v>
      </c>
      <c r="I44" s="133">
        <v>1.03</v>
      </c>
      <c r="J44" s="97"/>
      <c r="K44" s="97"/>
      <c r="L44" s="97"/>
      <c r="M44" s="97"/>
      <c r="N44" s="97"/>
    </row>
    <row r="45" spans="1:14" x14ac:dyDescent="0.3">
      <c r="A45" s="128" t="s">
        <v>110</v>
      </c>
      <c r="B45" s="129" t="s">
        <v>132</v>
      </c>
      <c r="C45" s="130">
        <v>0.32900000000000001</v>
      </c>
      <c r="D45" s="130" t="s">
        <v>130</v>
      </c>
      <c r="E45" s="130">
        <v>1.56</v>
      </c>
      <c r="F45" s="131" t="s">
        <v>274</v>
      </c>
      <c r="G45" s="132">
        <v>0.6</v>
      </c>
      <c r="H45" s="130" t="s">
        <v>283</v>
      </c>
      <c r="I45" s="133">
        <v>1.03</v>
      </c>
      <c r="J45" s="97"/>
      <c r="K45" s="97"/>
      <c r="L45" s="97"/>
      <c r="M45" s="97"/>
      <c r="N45" s="97"/>
    </row>
    <row r="46" spans="1:14" x14ac:dyDescent="0.3">
      <c r="A46" s="128" t="s">
        <v>124</v>
      </c>
      <c r="B46" s="129" t="s">
        <v>132</v>
      </c>
      <c r="C46" s="130">
        <v>0.34300000000000003</v>
      </c>
      <c r="D46" s="130" t="s">
        <v>130</v>
      </c>
      <c r="E46" s="130">
        <v>1.56</v>
      </c>
      <c r="F46" s="131" t="s">
        <v>274</v>
      </c>
      <c r="G46" s="132">
        <v>0.6</v>
      </c>
      <c r="H46" s="130" t="s">
        <v>283</v>
      </c>
      <c r="I46" s="133">
        <v>1.03</v>
      </c>
      <c r="J46" s="97"/>
      <c r="K46" s="97"/>
      <c r="L46" s="97"/>
      <c r="M46" s="97"/>
      <c r="N46" s="97"/>
    </row>
    <row r="47" spans="1:14" x14ac:dyDescent="0.3">
      <c r="A47" s="128" t="s">
        <v>125</v>
      </c>
      <c r="B47" s="129" t="s">
        <v>132</v>
      </c>
      <c r="C47" s="130">
        <v>0.32500000000000001</v>
      </c>
      <c r="D47" s="130" t="s">
        <v>130</v>
      </c>
      <c r="E47" s="130">
        <v>1.56</v>
      </c>
      <c r="F47" s="131" t="s">
        <v>274</v>
      </c>
      <c r="G47" s="132">
        <v>0.6</v>
      </c>
      <c r="H47" s="130" t="s">
        <v>283</v>
      </c>
      <c r="I47" s="133">
        <v>1.03</v>
      </c>
      <c r="J47" s="97"/>
      <c r="K47" s="97"/>
      <c r="L47" s="97"/>
      <c r="M47" s="97"/>
      <c r="N47" s="97"/>
    </row>
    <row r="48" spans="1:14" x14ac:dyDescent="0.3">
      <c r="A48" s="128" t="s">
        <v>126</v>
      </c>
      <c r="B48" s="129" t="s">
        <v>132</v>
      </c>
      <c r="C48" s="130">
        <v>0.32</v>
      </c>
      <c r="D48" s="130" t="s">
        <v>130</v>
      </c>
      <c r="E48" s="130">
        <v>1.56</v>
      </c>
      <c r="F48" s="131" t="s">
        <v>274</v>
      </c>
      <c r="G48" s="132">
        <v>0.6</v>
      </c>
      <c r="H48" s="130" t="s">
        <v>283</v>
      </c>
      <c r="I48" s="133">
        <v>1.03</v>
      </c>
      <c r="J48" s="97"/>
      <c r="K48" s="97"/>
      <c r="L48" s="97"/>
      <c r="M48" s="97"/>
      <c r="N48" s="97"/>
    </row>
    <row r="49" spans="1:14" x14ac:dyDescent="0.3">
      <c r="A49" s="128" t="s">
        <v>111</v>
      </c>
      <c r="B49" s="129" t="s">
        <v>132</v>
      </c>
      <c r="C49" s="130">
        <v>0.28199999999999997</v>
      </c>
      <c r="D49" s="130" t="s">
        <v>130</v>
      </c>
      <c r="E49" s="130">
        <v>1.56</v>
      </c>
      <c r="F49" s="131" t="s">
        <v>274</v>
      </c>
      <c r="G49" s="132">
        <v>0.6</v>
      </c>
      <c r="H49" s="130" t="s">
        <v>283</v>
      </c>
      <c r="I49" s="133">
        <v>1.03</v>
      </c>
      <c r="J49" s="97"/>
      <c r="K49" s="97"/>
      <c r="L49" s="97"/>
      <c r="M49" s="97"/>
      <c r="N49" s="97"/>
    </row>
    <row r="50" spans="1:14" x14ac:dyDescent="0.3">
      <c r="A50" s="128" t="s">
        <v>127</v>
      </c>
      <c r="B50" s="129" t="s">
        <v>132</v>
      </c>
      <c r="C50" s="130">
        <v>0.32800000000000001</v>
      </c>
      <c r="D50" s="130" t="s">
        <v>130</v>
      </c>
      <c r="E50" s="130">
        <v>1.56</v>
      </c>
      <c r="F50" s="131" t="s">
        <v>274</v>
      </c>
      <c r="G50" s="132">
        <v>0.6</v>
      </c>
      <c r="H50" s="130" t="s">
        <v>283</v>
      </c>
      <c r="I50" s="133">
        <v>1.03</v>
      </c>
      <c r="J50" s="97"/>
      <c r="K50" s="97"/>
      <c r="L50" s="97"/>
      <c r="M50" s="97"/>
      <c r="N50" s="97"/>
    </row>
    <row r="51" spans="1:14" x14ac:dyDescent="0.3">
      <c r="A51" s="128" t="s">
        <v>112</v>
      </c>
      <c r="B51" s="129" t="s">
        <v>132</v>
      </c>
      <c r="C51" s="130">
        <v>0.32600000000000001</v>
      </c>
      <c r="D51" s="130" t="s">
        <v>130</v>
      </c>
      <c r="E51" s="130">
        <v>1.56</v>
      </c>
      <c r="F51" s="131" t="s">
        <v>274</v>
      </c>
      <c r="G51" s="132">
        <v>0.6</v>
      </c>
      <c r="H51" s="130" t="s">
        <v>283</v>
      </c>
      <c r="I51" s="133">
        <v>1.03</v>
      </c>
      <c r="J51" s="97"/>
      <c r="K51" s="97"/>
      <c r="L51" s="97"/>
      <c r="M51" s="97"/>
      <c r="N51" s="97"/>
    </row>
    <row r="52" spans="1:14" x14ac:dyDescent="0.3">
      <c r="A52" s="128" t="s">
        <v>113</v>
      </c>
      <c r="B52" s="129" t="s">
        <v>132</v>
      </c>
      <c r="C52" s="130">
        <v>0.35899999999999999</v>
      </c>
      <c r="D52" s="130" t="s">
        <v>130</v>
      </c>
      <c r="E52" s="130">
        <v>1.56</v>
      </c>
      <c r="F52" s="131" t="s">
        <v>274</v>
      </c>
      <c r="G52" s="132">
        <v>0.6</v>
      </c>
      <c r="H52" s="130" t="s">
        <v>283</v>
      </c>
      <c r="I52" s="133">
        <v>1.03</v>
      </c>
      <c r="J52" s="97"/>
      <c r="K52" s="97"/>
      <c r="L52" s="97"/>
      <c r="M52" s="97"/>
      <c r="N52" s="97"/>
    </row>
    <row r="53" spans="1:14" x14ac:dyDescent="0.3">
      <c r="A53" s="128" t="s">
        <v>114</v>
      </c>
      <c r="B53" s="129" t="s">
        <v>132</v>
      </c>
      <c r="C53" s="130">
        <v>0.34599999999999997</v>
      </c>
      <c r="D53" s="130" t="s">
        <v>130</v>
      </c>
      <c r="E53" s="130">
        <v>1.56</v>
      </c>
      <c r="F53" s="131" t="s">
        <v>274</v>
      </c>
      <c r="G53" s="132">
        <v>0.6</v>
      </c>
      <c r="H53" s="130" t="s">
        <v>283</v>
      </c>
      <c r="I53" s="133">
        <v>1.03</v>
      </c>
      <c r="J53" s="97"/>
      <c r="K53" s="97"/>
      <c r="L53" s="97"/>
      <c r="M53" s="97"/>
      <c r="N53" s="97"/>
    </row>
    <row r="54" spans="1:14" x14ac:dyDescent="0.3">
      <c r="A54" s="128" t="s">
        <v>115</v>
      </c>
      <c r="B54" s="129" t="s">
        <v>132</v>
      </c>
      <c r="C54" s="130">
        <v>0.32600000000000001</v>
      </c>
      <c r="D54" s="130" t="s">
        <v>130</v>
      </c>
      <c r="E54" s="130">
        <v>1.56</v>
      </c>
      <c r="F54" s="131" t="s">
        <v>274</v>
      </c>
      <c r="G54" s="132">
        <v>0.6</v>
      </c>
      <c r="H54" s="130" t="s">
        <v>283</v>
      </c>
      <c r="I54" s="133">
        <v>1.03</v>
      </c>
      <c r="J54" s="97"/>
      <c r="K54" s="97"/>
      <c r="L54" s="97"/>
      <c r="M54" s="97"/>
      <c r="N54" s="97"/>
    </row>
    <row r="55" spans="1:14" x14ac:dyDescent="0.3">
      <c r="A55" s="128" t="s">
        <v>116</v>
      </c>
      <c r="B55" s="129" t="s">
        <v>132</v>
      </c>
      <c r="C55" s="130">
        <v>0.30499999999999999</v>
      </c>
      <c r="D55" s="130" t="s">
        <v>130</v>
      </c>
      <c r="E55" s="130">
        <v>1.56</v>
      </c>
      <c r="F55" s="131" t="s">
        <v>274</v>
      </c>
      <c r="G55" s="132">
        <v>0.6</v>
      </c>
      <c r="H55" s="130" t="s">
        <v>283</v>
      </c>
      <c r="I55" s="133">
        <v>1.03</v>
      </c>
      <c r="J55" s="97"/>
      <c r="K55" s="97"/>
      <c r="L55" s="97"/>
      <c r="M55" s="97"/>
      <c r="N55" s="97"/>
    </row>
    <row r="56" spans="1:14" x14ac:dyDescent="0.3">
      <c r="A56" s="128" t="s">
        <v>128</v>
      </c>
      <c r="B56" s="129" t="s">
        <v>132</v>
      </c>
      <c r="C56" s="130">
        <v>0.32300000000000001</v>
      </c>
      <c r="D56" s="130" t="s">
        <v>130</v>
      </c>
      <c r="E56" s="130">
        <v>1.56</v>
      </c>
      <c r="F56" s="131" t="s">
        <v>274</v>
      </c>
      <c r="G56" s="132">
        <v>0.6</v>
      </c>
      <c r="H56" s="130" t="s">
        <v>283</v>
      </c>
      <c r="I56" s="133">
        <v>1.03</v>
      </c>
      <c r="J56" s="97"/>
      <c r="K56" s="97"/>
      <c r="L56" s="97"/>
      <c r="M56" s="97"/>
      <c r="N56" s="97"/>
    </row>
    <row r="57" spans="1:14" x14ac:dyDescent="0.3">
      <c r="A57" s="128" t="s">
        <v>129</v>
      </c>
      <c r="B57" s="129" t="s">
        <v>132</v>
      </c>
      <c r="C57" s="130">
        <v>0.36699999999999999</v>
      </c>
      <c r="D57" s="130" t="s">
        <v>130</v>
      </c>
      <c r="E57" s="130">
        <v>1.56</v>
      </c>
      <c r="F57" s="131" t="s">
        <v>274</v>
      </c>
      <c r="G57" s="132">
        <v>0.6</v>
      </c>
      <c r="H57" s="130" t="s">
        <v>283</v>
      </c>
      <c r="I57" s="133">
        <v>1.03</v>
      </c>
      <c r="J57" s="97"/>
      <c r="K57" s="97"/>
      <c r="L57" s="97"/>
      <c r="M57" s="97"/>
      <c r="N57" s="97"/>
    </row>
    <row r="58" spans="1:14" x14ac:dyDescent="0.3">
      <c r="A58" s="128" t="s">
        <v>117</v>
      </c>
      <c r="B58" s="129" t="s">
        <v>132</v>
      </c>
      <c r="C58" s="130">
        <v>0.36</v>
      </c>
      <c r="D58" s="130" t="s">
        <v>130</v>
      </c>
      <c r="E58" s="130">
        <v>1.56</v>
      </c>
      <c r="F58" s="131" t="s">
        <v>274</v>
      </c>
      <c r="G58" s="132">
        <v>0.6</v>
      </c>
      <c r="H58" s="130" t="s">
        <v>283</v>
      </c>
      <c r="I58" s="133">
        <v>1.03</v>
      </c>
      <c r="J58" s="97"/>
      <c r="K58" s="97"/>
      <c r="L58" s="97"/>
      <c r="M58" s="97"/>
      <c r="N58" s="97"/>
    </row>
    <row r="59" spans="1:14" x14ac:dyDescent="0.3">
      <c r="A59" s="128" t="s">
        <v>118</v>
      </c>
      <c r="B59" s="129" t="s">
        <v>132</v>
      </c>
      <c r="C59" s="130">
        <v>0.36799999999999999</v>
      </c>
      <c r="D59" s="130" t="s">
        <v>130</v>
      </c>
      <c r="E59" s="130">
        <v>1.56</v>
      </c>
      <c r="F59" s="131" t="s">
        <v>274</v>
      </c>
      <c r="G59" s="132">
        <v>0.6</v>
      </c>
      <c r="H59" s="130" t="s">
        <v>283</v>
      </c>
      <c r="I59" s="133">
        <v>1.03</v>
      </c>
      <c r="J59" s="97"/>
      <c r="K59" s="97"/>
      <c r="L59" s="97"/>
      <c r="M59" s="97"/>
      <c r="N59" s="97"/>
    </row>
    <row r="60" spans="1:14" x14ac:dyDescent="0.3">
      <c r="A60" s="128" t="s">
        <v>119</v>
      </c>
      <c r="B60" s="129" t="s">
        <v>132</v>
      </c>
      <c r="C60" s="130">
        <v>0.30599999999999999</v>
      </c>
      <c r="D60" s="130" t="s">
        <v>130</v>
      </c>
      <c r="E60" s="130">
        <v>1.56</v>
      </c>
      <c r="F60" s="131" t="s">
        <v>274</v>
      </c>
      <c r="G60" s="132">
        <v>0.6</v>
      </c>
      <c r="H60" s="130" t="s">
        <v>283</v>
      </c>
      <c r="I60" s="133">
        <v>1.03</v>
      </c>
      <c r="J60" s="97"/>
      <c r="K60" s="97"/>
      <c r="L60" s="97"/>
      <c r="M60" s="97"/>
      <c r="N60" s="97"/>
    </row>
    <row r="61" spans="1:14" x14ac:dyDescent="0.3">
      <c r="A61" s="128" t="s">
        <v>120</v>
      </c>
      <c r="B61" s="129" t="s">
        <v>132</v>
      </c>
      <c r="C61" s="130">
        <v>0.313</v>
      </c>
      <c r="D61" s="130" t="s">
        <v>130</v>
      </c>
      <c r="E61" s="130">
        <v>1.56</v>
      </c>
      <c r="F61" s="131" t="s">
        <v>274</v>
      </c>
      <c r="G61" s="132">
        <v>0.6</v>
      </c>
      <c r="H61" s="130" t="s">
        <v>283</v>
      </c>
      <c r="I61" s="133">
        <v>1.03</v>
      </c>
      <c r="J61" s="97"/>
      <c r="K61" s="97"/>
      <c r="L61" s="97"/>
      <c r="M61" s="97"/>
      <c r="N61" s="97"/>
    </row>
    <row r="62" spans="1:14" x14ac:dyDescent="0.3">
      <c r="A62" s="128" t="s">
        <v>32</v>
      </c>
      <c r="B62" s="129" t="s">
        <v>133</v>
      </c>
      <c r="C62" s="130">
        <v>0.37</v>
      </c>
      <c r="D62" s="130" t="s">
        <v>161</v>
      </c>
      <c r="E62" s="130">
        <v>1.56</v>
      </c>
      <c r="F62" s="131" t="s">
        <v>274</v>
      </c>
      <c r="G62" s="132">
        <v>0.6</v>
      </c>
      <c r="H62" s="130" t="s">
        <v>283</v>
      </c>
      <c r="I62" s="133">
        <v>1.03</v>
      </c>
      <c r="J62" s="97"/>
      <c r="K62" s="97"/>
      <c r="L62" s="97"/>
      <c r="M62" s="97"/>
      <c r="N62" s="97"/>
    </row>
    <row r="63" spans="1:14" x14ac:dyDescent="0.3">
      <c r="A63" s="128" t="s">
        <v>90</v>
      </c>
      <c r="B63" s="129" t="s">
        <v>83</v>
      </c>
      <c r="C63" s="130">
        <v>0.45</v>
      </c>
      <c r="D63" s="130" t="s">
        <v>161</v>
      </c>
      <c r="E63" s="130">
        <v>1.3</v>
      </c>
      <c r="F63" s="131" t="s">
        <v>274</v>
      </c>
      <c r="G63" s="132">
        <v>0.45</v>
      </c>
      <c r="H63" s="130" t="s">
        <v>276</v>
      </c>
      <c r="I63" s="133">
        <v>0.43</v>
      </c>
      <c r="J63" s="97"/>
      <c r="K63" s="97"/>
      <c r="L63" s="97"/>
      <c r="M63" s="97"/>
      <c r="N63" s="97"/>
    </row>
    <row r="64" spans="1:14" x14ac:dyDescent="0.3">
      <c r="A64" s="128" t="s">
        <v>33</v>
      </c>
      <c r="B64" s="129" t="s">
        <v>134</v>
      </c>
      <c r="C64" s="130">
        <v>0.39</v>
      </c>
      <c r="D64" s="130" t="s">
        <v>161</v>
      </c>
      <c r="E64" s="130">
        <v>1.3</v>
      </c>
      <c r="F64" s="131" t="s">
        <v>274</v>
      </c>
      <c r="G64" s="132">
        <v>0.45</v>
      </c>
      <c r="H64" s="130" t="s">
        <v>276</v>
      </c>
      <c r="I64" s="133">
        <v>0.43</v>
      </c>
      <c r="J64" s="97"/>
      <c r="K64" s="97"/>
      <c r="L64" s="97"/>
      <c r="M64" s="97"/>
      <c r="N64" s="97"/>
    </row>
    <row r="65" spans="1:14" x14ac:dyDescent="0.3">
      <c r="A65" s="128" t="s">
        <v>34</v>
      </c>
      <c r="B65" s="129" t="s">
        <v>135</v>
      </c>
      <c r="C65" s="130">
        <v>0.44</v>
      </c>
      <c r="D65" s="130" t="s">
        <v>161</v>
      </c>
      <c r="E65" s="130">
        <v>1.3</v>
      </c>
      <c r="F65" s="131" t="s">
        <v>274</v>
      </c>
      <c r="G65" s="132">
        <v>0.45</v>
      </c>
      <c r="H65" s="130" t="s">
        <v>276</v>
      </c>
      <c r="I65" s="133">
        <v>0.43</v>
      </c>
      <c r="J65" s="97"/>
      <c r="K65" s="97"/>
      <c r="L65" s="97"/>
      <c r="M65" s="97"/>
      <c r="N65" s="97"/>
    </row>
    <row r="66" spans="1:14" x14ac:dyDescent="0.3">
      <c r="A66" s="128" t="s">
        <v>35</v>
      </c>
      <c r="B66" s="129" t="s">
        <v>84</v>
      </c>
      <c r="C66" s="130">
        <v>0.46</v>
      </c>
      <c r="D66" s="130" t="s">
        <v>161</v>
      </c>
      <c r="E66" s="130">
        <v>1.3</v>
      </c>
      <c r="F66" s="131" t="s">
        <v>274</v>
      </c>
      <c r="G66" s="132">
        <v>0.45</v>
      </c>
      <c r="H66" s="130" t="s">
        <v>276</v>
      </c>
      <c r="I66" s="133">
        <v>0.43</v>
      </c>
      <c r="J66" s="97"/>
      <c r="K66" s="97"/>
      <c r="L66" s="97"/>
      <c r="M66" s="97"/>
      <c r="N66" s="97"/>
    </row>
    <row r="67" spans="1:14" x14ac:dyDescent="0.3">
      <c r="A67" s="128" t="s">
        <v>36</v>
      </c>
      <c r="B67" s="129" t="s">
        <v>85</v>
      </c>
      <c r="C67" s="130">
        <v>0.46</v>
      </c>
      <c r="D67" s="130" t="s">
        <v>161</v>
      </c>
      <c r="E67" s="130">
        <v>1.3</v>
      </c>
      <c r="F67" s="131" t="s">
        <v>274</v>
      </c>
      <c r="G67" s="132">
        <v>0.45</v>
      </c>
      <c r="H67" s="130" t="s">
        <v>152</v>
      </c>
      <c r="I67" s="133">
        <v>0.59</v>
      </c>
      <c r="J67" s="97"/>
      <c r="K67" s="97"/>
      <c r="L67" s="97"/>
      <c r="M67" s="97"/>
      <c r="N67" s="97"/>
    </row>
    <row r="68" spans="1:14" x14ac:dyDescent="0.3">
      <c r="A68" s="128" t="s">
        <v>37</v>
      </c>
      <c r="B68" s="129" t="s">
        <v>136</v>
      </c>
      <c r="C68" s="130">
        <v>0.44</v>
      </c>
      <c r="D68" s="130" t="s">
        <v>161</v>
      </c>
      <c r="E68" s="130">
        <v>1.3</v>
      </c>
      <c r="F68" s="131" t="s">
        <v>274</v>
      </c>
      <c r="G68" s="132">
        <v>0.45</v>
      </c>
      <c r="H68" s="130" t="s">
        <v>276</v>
      </c>
      <c r="I68" s="133">
        <v>0.43</v>
      </c>
      <c r="J68" s="97"/>
      <c r="K68" s="97"/>
      <c r="L68" s="97"/>
      <c r="M68" s="97"/>
      <c r="N68" s="97"/>
    </row>
    <row r="69" spans="1:14" x14ac:dyDescent="0.3">
      <c r="A69" s="128" t="s">
        <v>38</v>
      </c>
      <c r="B69" s="129" t="s">
        <v>86</v>
      </c>
      <c r="C69" s="130">
        <v>0.46</v>
      </c>
      <c r="D69" s="130" t="s">
        <v>161</v>
      </c>
      <c r="E69" s="130">
        <v>1.3</v>
      </c>
      <c r="F69" s="131" t="s">
        <v>274</v>
      </c>
      <c r="G69" s="132">
        <v>0.45</v>
      </c>
      <c r="H69" s="130" t="s">
        <v>276</v>
      </c>
      <c r="I69" s="133">
        <v>0.43</v>
      </c>
      <c r="J69" s="97"/>
      <c r="K69" s="97"/>
      <c r="L69" s="97"/>
      <c r="M69" s="97"/>
      <c r="N69" s="97"/>
    </row>
    <row r="70" spans="1:14" x14ac:dyDescent="0.3">
      <c r="A70" s="128" t="s">
        <v>39</v>
      </c>
      <c r="B70" s="129" t="s">
        <v>137</v>
      </c>
      <c r="C70" s="130">
        <v>0.48</v>
      </c>
      <c r="D70" s="130" t="s">
        <v>161</v>
      </c>
      <c r="E70" s="130">
        <v>2.4</v>
      </c>
      <c r="F70" s="130" t="s">
        <v>284</v>
      </c>
      <c r="G70" s="132">
        <v>0.45</v>
      </c>
      <c r="H70" s="130" t="s">
        <v>276</v>
      </c>
      <c r="I70" s="133">
        <v>0.43</v>
      </c>
      <c r="J70" s="97"/>
      <c r="K70" s="97"/>
      <c r="L70" s="97"/>
      <c r="M70" s="97"/>
      <c r="N70" s="97"/>
    </row>
    <row r="71" spans="1:14" x14ac:dyDescent="0.3">
      <c r="A71" s="128" t="s">
        <v>40</v>
      </c>
      <c r="B71" s="129" t="s">
        <v>87</v>
      </c>
      <c r="C71" s="130">
        <v>0.46</v>
      </c>
      <c r="D71" s="130" t="s">
        <v>150</v>
      </c>
      <c r="E71" s="130">
        <v>1.3</v>
      </c>
      <c r="F71" s="131" t="s">
        <v>274</v>
      </c>
      <c r="G71" s="132">
        <v>0.45</v>
      </c>
      <c r="H71" s="130" t="s">
        <v>276</v>
      </c>
      <c r="I71" s="133">
        <v>0.43</v>
      </c>
      <c r="J71" s="97"/>
      <c r="K71" s="97"/>
      <c r="L71" s="97"/>
      <c r="M71" s="97"/>
      <c r="N71" s="97"/>
    </row>
    <row r="72" spans="1:14" x14ac:dyDescent="0.3">
      <c r="A72" s="128" t="s">
        <v>41</v>
      </c>
      <c r="B72" s="129" t="s">
        <v>88</v>
      </c>
      <c r="C72" s="130">
        <v>0.44</v>
      </c>
      <c r="D72" s="130" t="s">
        <v>161</v>
      </c>
      <c r="E72" s="130">
        <v>1.3</v>
      </c>
      <c r="F72" s="131" t="s">
        <v>274</v>
      </c>
      <c r="G72" s="132">
        <v>0.45</v>
      </c>
      <c r="H72" s="130" t="s">
        <v>276</v>
      </c>
      <c r="I72" s="133">
        <v>0.43</v>
      </c>
      <c r="J72" s="97"/>
      <c r="K72" s="97"/>
      <c r="L72" s="97"/>
      <c r="M72" s="97"/>
      <c r="N72" s="97"/>
    </row>
    <row r="73" spans="1:14" x14ac:dyDescent="0.3">
      <c r="A73" s="128" t="s">
        <v>138</v>
      </c>
      <c r="B73" s="129" t="s">
        <v>140</v>
      </c>
      <c r="C73" s="130">
        <v>0.46</v>
      </c>
      <c r="D73" s="130" t="s">
        <v>151</v>
      </c>
      <c r="E73" s="130">
        <v>1.3</v>
      </c>
      <c r="F73" s="131" t="s">
        <v>274</v>
      </c>
      <c r="G73" s="132">
        <v>0.45</v>
      </c>
      <c r="H73" s="130" t="s">
        <v>276</v>
      </c>
      <c r="I73" s="133">
        <v>0.43</v>
      </c>
      <c r="J73" s="97"/>
      <c r="K73" s="97"/>
      <c r="L73" s="97"/>
      <c r="M73" s="97"/>
      <c r="N73" s="97"/>
    </row>
    <row r="74" spans="1:14" x14ac:dyDescent="0.3">
      <c r="A74" s="128" t="s">
        <v>42</v>
      </c>
      <c r="B74" s="129" t="s">
        <v>139</v>
      </c>
      <c r="C74" s="130">
        <v>0.34</v>
      </c>
      <c r="D74" s="130" t="s">
        <v>161</v>
      </c>
      <c r="E74" s="130">
        <v>1.3</v>
      </c>
      <c r="F74" s="131" t="s">
        <v>274</v>
      </c>
      <c r="G74" s="132">
        <v>0.45</v>
      </c>
      <c r="H74" s="130" t="s">
        <v>276</v>
      </c>
      <c r="I74" s="133">
        <v>0.43</v>
      </c>
      <c r="J74" s="97"/>
      <c r="K74" s="97"/>
      <c r="L74" s="97"/>
      <c r="M74" s="97"/>
      <c r="N74" s="97"/>
    </row>
    <row r="75" spans="1:14" x14ac:dyDescent="0.3">
      <c r="A75" s="128" t="s">
        <v>43</v>
      </c>
      <c r="B75" s="129" t="s">
        <v>162</v>
      </c>
      <c r="C75" s="130">
        <v>0.5</v>
      </c>
      <c r="D75" s="130" t="s">
        <v>161</v>
      </c>
      <c r="E75" s="130">
        <v>1.56</v>
      </c>
      <c r="F75" s="131" t="s">
        <v>274</v>
      </c>
      <c r="G75" s="132">
        <v>0.53</v>
      </c>
      <c r="H75" s="130" t="s">
        <v>275</v>
      </c>
      <c r="I75" s="133">
        <v>0.25</v>
      </c>
      <c r="J75" s="97"/>
      <c r="K75" s="97"/>
      <c r="L75" s="97"/>
      <c r="M75" s="97"/>
      <c r="N75" s="97"/>
    </row>
    <row r="76" spans="1:14" x14ac:dyDescent="0.3">
      <c r="A76" s="128" t="s">
        <v>44</v>
      </c>
      <c r="B76" s="129" t="s">
        <v>89</v>
      </c>
      <c r="C76" s="130">
        <v>0.57999999999999996</v>
      </c>
      <c r="D76" s="130" t="s">
        <v>161</v>
      </c>
      <c r="E76" s="130">
        <v>1.56</v>
      </c>
      <c r="F76" s="131" t="s">
        <v>274</v>
      </c>
      <c r="G76" s="132">
        <v>0.3</v>
      </c>
      <c r="H76" s="130" t="s">
        <v>277</v>
      </c>
      <c r="I76" s="133">
        <v>0.25</v>
      </c>
      <c r="J76" s="97"/>
      <c r="K76" s="97"/>
      <c r="L76" s="97"/>
      <c r="M76" s="97"/>
      <c r="N76" s="97"/>
    </row>
    <row r="77" spans="1:14" x14ac:dyDescent="0.3">
      <c r="A77" s="128" t="s">
        <v>47</v>
      </c>
      <c r="B77" s="129" t="s">
        <v>141</v>
      </c>
      <c r="C77" s="130">
        <v>0.37</v>
      </c>
      <c r="D77" s="130" t="s">
        <v>161</v>
      </c>
      <c r="E77" s="130">
        <v>1.3</v>
      </c>
      <c r="F77" s="131" t="s">
        <v>274</v>
      </c>
      <c r="G77" s="132">
        <v>0.55000000000000004</v>
      </c>
      <c r="H77" s="130" t="s">
        <v>152</v>
      </c>
      <c r="I77" s="133">
        <v>0.43</v>
      </c>
      <c r="J77" s="97"/>
      <c r="K77" s="97"/>
      <c r="L77" s="97"/>
      <c r="M77" s="97"/>
      <c r="N77" s="97"/>
    </row>
    <row r="78" spans="1:14" x14ac:dyDescent="0.3">
      <c r="A78" s="128" t="s">
        <v>45</v>
      </c>
      <c r="B78" s="129" t="s">
        <v>96</v>
      </c>
      <c r="C78" s="130">
        <v>0.37</v>
      </c>
      <c r="D78" s="130" t="s">
        <v>161</v>
      </c>
      <c r="E78" s="130">
        <v>1.3</v>
      </c>
      <c r="F78" s="131" t="s">
        <v>274</v>
      </c>
      <c r="G78" s="132">
        <v>0.55000000000000004</v>
      </c>
      <c r="H78" s="130" t="s">
        <v>152</v>
      </c>
      <c r="I78" s="133">
        <v>0.43</v>
      </c>
      <c r="J78" s="97"/>
      <c r="K78" s="97"/>
      <c r="L78" s="97"/>
      <c r="M78" s="97"/>
      <c r="N78" s="97"/>
    </row>
    <row r="79" spans="1:14" x14ac:dyDescent="0.3">
      <c r="A79" s="128" t="s">
        <v>46</v>
      </c>
      <c r="B79" s="129" t="s">
        <v>95</v>
      </c>
      <c r="C79" s="130">
        <v>0.38</v>
      </c>
      <c r="D79" s="130" t="s">
        <v>161</v>
      </c>
      <c r="E79" s="130">
        <v>1.3</v>
      </c>
      <c r="F79" s="131" t="s">
        <v>274</v>
      </c>
      <c r="G79" s="132">
        <v>0.55000000000000004</v>
      </c>
      <c r="H79" s="130" t="s">
        <v>153</v>
      </c>
      <c r="I79" s="133">
        <v>0.43</v>
      </c>
      <c r="J79" s="97"/>
      <c r="K79" s="97"/>
      <c r="L79" s="97"/>
      <c r="M79" s="97"/>
      <c r="N79" s="97"/>
    </row>
    <row r="80" spans="1:14" x14ac:dyDescent="0.3">
      <c r="A80" s="128" t="s">
        <v>48</v>
      </c>
      <c r="B80" s="129" t="s">
        <v>94</v>
      </c>
      <c r="C80" s="130">
        <v>0.36</v>
      </c>
      <c r="D80" s="130" t="s">
        <v>161</v>
      </c>
      <c r="E80" s="130">
        <v>1.3</v>
      </c>
      <c r="F80" s="131" t="s">
        <v>274</v>
      </c>
      <c r="G80" s="132">
        <v>0.55000000000000004</v>
      </c>
      <c r="H80" s="130" t="s">
        <v>153</v>
      </c>
      <c r="I80" s="133">
        <v>0.43</v>
      </c>
      <c r="J80" s="97"/>
      <c r="K80" s="97"/>
      <c r="L80" s="97"/>
      <c r="M80" s="97"/>
      <c r="N80" s="97"/>
    </row>
    <row r="81" spans="1:14" x14ac:dyDescent="0.3">
      <c r="A81" s="128" t="s">
        <v>49</v>
      </c>
      <c r="B81" s="129" t="s">
        <v>142</v>
      </c>
      <c r="C81" s="130">
        <v>0.37</v>
      </c>
      <c r="D81" s="130" t="s">
        <v>161</v>
      </c>
      <c r="E81" s="130">
        <v>1.56</v>
      </c>
      <c r="F81" s="131" t="s">
        <v>274</v>
      </c>
      <c r="G81" s="132">
        <v>0.43</v>
      </c>
      <c r="H81" s="130" t="s">
        <v>278</v>
      </c>
      <c r="I81" s="133">
        <v>0.25</v>
      </c>
      <c r="J81" s="97"/>
      <c r="K81" s="97"/>
      <c r="L81" s="97"/>
      <c r="M81" s="97"/>
      <c r="N81" s="97"/>
    </row>
    <row r="82" spans="1:14" x14ac:dyDescent="0.3">
      <c r="A82" s="128" t="s">
        <v>158</v>
      </c>
      <c r="B82" s="129" t="s">
        <v>159</v>
      </c>
      <c r="C82" s="130">
        <v>0.35</v>
      </c>
      <c r="D82" s="130" t="s">
        <v>160</v>
      </c>
      <c r="E82" s="130">
        <v>1.3</v>
      </c>
      <c r="F82" s="131" t="s">
        <v>274</v>
      </c>
      <c r="G82" s="132">
        <v>0.55000000000000004</v>
      </c>
      <c r="H82" s="130" t="s">
        <v>153</v>
      </c>
      <c r="I82" s="133">
        <v>0.43</v>
      </c>
      <c r="J82" s="97"/>
      <c r="K82" s="97"/>
      <c r="L82" s="97"/>
      <c r="M82" s="97"/>
      <c r="N82" s="97"/>
    </row>
    <row r="83" spans="1:14" x14ac:dyDescent="0.3">
      <c r="A83" s="128" t="s">
        <v>156</v>
      </c>
      <c r="B83" s="129" t="s">
        <v>157</v>
      </c>
      <c r="C83" s="130">
        <v>0.34</v>
      </c>
      <c r="D83" s="130" t="s">
        <v>161</v>
      </c>
      <c r="E83" s="130">
        <v>1.3</v>
      </c>
      <c r="F83" s="131" t="s">
        <v>274</v>
      </c>
      <c r="G83" s="132">
        <v>0.55000000000000004</v>
      </c>
      <c r="H83" s="130" t="s">
        <v>153</v>
      </c>
      <c r="I83" s="133">
        <v>0.43</v>
      </c>
      <c r="J83" s="97"/>
      <c r="K83" s="97"/>
      <c r="L83" s="97"/>
      <c r="M83" s="97"/>
      <c r="N83" s="97"/>
    </row>
    <row r="84" spans="1:14" x14ac:dyDescent="0.3">
      <c r="A84" s="128" t="s">
        <v>92</v>
      </c>
      <c r="B84" s="129" t="s">
        <v>93</v>
      </c>
      <c r="C84" s="130">
        <v>0.31</v>
      </c>
      <c r="D84" s="130" t="s">
        <v>161</v>
      </c>
      <c r="E84" s="130">
        <v>1.3</v>
      </c>
      <c r="F84" s="131" t="s">
        <v>274</v>
      </c>
      <c r="G84" s="132">
        <v>0.55000000000000004</v>
      </c>
      <c r="H84" s="130" t="s">
        <v>153</v>
      </c>
      <c r="I84" s="133">
        <v>0.43</v>
      </c>
      <c r="J84" s="97"/>
      <c r="K84" s="97"/>
      <c r="L84" s="97"/>
      <c r="M84" s="97"/>
      <c r="N84" s="97"/>
    </row>
    <row r="85" spans="1:14" x14ac:dyDescent="0.3">
      <c r="A85" s="128" t="s">
        <v>50</v>
      </c>
      <c r="B85" s="129" t="s">
        <v>143</v>
      </c>
      <c r="C85" s="130">
        <v>0.43</v>
      </c>
      <c r="D85" s="130" t="s">
        <v>161</v>
      </c>
      <c r="E85" s="130">
        <v>1.56</v>
      </c>
      <c r="F85" s="131" t="s">
        <v>274</v>
      </c>
      <c r="G85" s="132">
        <v>0.53</v>
      </c>
      <c r="H85" s="130" t="s">
        <v>275</v>
      </c>
      <c r="I85" s="133">
        <v>0.25</v>
      </c>
      <c r="J85" s="97"/>
      <c r="K85" s="97"/>
      <c r="L85" s="97"/>
      <c r="M85" s="97"/>
      <c r="N85" s="97"/>
    </row>
    <row r="86" spans="1:14" x14ac:dyDescent="0.3">
      <c r="A86" s="128" t="s">
        <v>51</v>
      </c>
      <c r="B86" s="129" t="s">
        <v>91</v>
      </c>
      <c r="C86" s="130">
        <v>0.38</v>
      </c>
      <c r="D86" s="130" t="s">
        <v>161</v>
      </c>
      <c r="E86" s="130">
        <v>1.56</v>
      </c>
      <c r="F86" s="131" t="s">
        <v>274</v>
      </c>
      <c r="G86" s="132">
        <v>0.6</v>
      </c>
      <c r="H86" s="130" t="s">
        <v>279</v>
      </c>
      <c r="I86" s="133">
        <v>0.25</v>
      </c>
      <c r="J86" s="97"/>
      <c r="K86" s="97"/>
      <c r="L86" s="97"/>
      <c r="M86" s="97"/>
      <c r="N86" s="97"/>
    </row>
    <row r="87" spans="1:14" x14ac:dyDescent="0.3">
      <c r="A87" s="282" t="s">
        <v>321</v>
      </c>
      <c r="B87" s="283" t="s">
        <v>322</v>
      </c>
      <c r="C87" s="284">
        <v>0.41</v>
      </c>
      <c r="D87" s="284" t="s">
        <v>323</v>
      </c>
      <c r="E87" s="284">
        <v>1.56</v>
      </c>
      <c r="F87" s="285" t="s">
        <v>274</v>
      </c>
      <c r="G87" s="286">
        <v>0.43</v>
      </c>
      <c r="H87" s="284" t="s">
        <v>278</v>
      </c>
      <c r="I87" s="287">
        <v>0.25</v>
      </c>
      <c r="J87" s="97"/>
      <c r="K87" s="97"/>
      <c r="L87" s="97"/>
      <c r="M87" s="97"/>
      <c r="N87" s="97"/>
    </row>
    <row r="88" spans="1:14" x14ac:dyDescent="0.3">
      <c r="A88" s="128" t="s">
        <v>148</v>
      </c>
      <c r="B88" s="136"/>
      <c r="C88" s="130">
        <v>0.42</v>
      </c>
      <c r="D88" s="130" t="s">
        <v>161</v>
      </c>
      <c r="E88" s="130">
        <v>1.3</v>
      </c>
      <c r="F88" s="131" t="s">
        <v>274</v>
      </c>
      <c r="G88" s="137"/>
      <c r="H88" s="136"/>
      <c r="I88" s="138"/>
    </row>
    <row r="89" spans="1:14" ht="15" thickBot="1" x14ac:dyDescent="0.35">
      <c r="A89" s="139" t="s">
        <v>149</v>
      </c>
      <c r="B89" s="140"/>
      <c r="C89" s="141">
        <v>0.56999999999999995</v>
      </c>
      <c r="D89" s="142" t="s">
        <v>161</v>
      </c>
      <c r="E89" s="141">
        <v>1.56</v>
      </c>
      <c r="F89" s="141" t="s">
        <v>274</v>
      </c>
      <c r="G89" s="140"/>
      <c r="H89" s="140"/>
      <c r="I89" s="143"/>
    </row>
    <row r="93" spans="1:14" x14ac:dyDescent="0.3">
      <c r="A93" s="128" t="s">
        <v>208</v>
      </c>
    </row>
    <row r="94" spans="1:14" x14ac:dyDescent="0.3">
      <c r="A94" s="128" t="s">
        <v>209</v>
      </c>
    </row>
    <row r="95" spans="1:14" x14ac:dyDescent="0.3">
      <c r="A95" s="128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zoomScale="90" zoomScaleNormal="90" workbookViewId="0">
      <selection activeCell="O19" sqref="O19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3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68"/>
      <c r="J1" s="68"/>
      <c r="K1" s="68"/>
      <c r="L1" s="68"/>
      <c r="M1" s="68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4" t="s">
        <v>271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6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27"/>
      <c r="J3" s="227"/>
      <c r="K3" s="227"/>
      <c r="L3" s="227"/>
      <c r="M3" s="227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27"/>
      <c r="J4" s="227"/>
      <c r="K4" s="227"/>
      <c r="L4" s="227"/>
      <c r="M4" s="227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4" t="s">
        <v>207</v>
      </c>
      <c r="B5" s="145" t="s">
        <v>250</v>
      </c>
      <c r="C5" s="146" t="str">
        <f>Calculateur!S2</f>
        <v>ΔStock moyen de long terme (tCO₂/ha)</v>
      </c>
      <c r="D5" s="146" t="str">
        <f>Calculateur!T2</f>
        <v>Δstock CO₂ 30 ans (tCO₂/ha)</v>
      </c>
      <c r="E5" s="146" t="s">
        <v>228</v>
      </c>
      <c r="F5" s="146" t="s">
        <v>239</v>
      </c>
      <c r="G5" s="146" t="s">
        <v>240</v>
      </c>
      <c r="H5" s="147" t="s">
        <v>241</v>
      </c>
      <c r="I5" s="148" t="s">
        <v>242</v>
      </c>
      <c r="J5" s="149" t="s">
        <v>243</v>
      </c>
      <c r="K5" s="150" t="s">
        <v>244</v>
      </c>
      <c r="L5" s="87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1" t="str">
        <f>IF('Données projet'!$B$9="","",'Données projet'!$B$9)</f>
        <v>Pin maritime</v>
      </c>
      <c r="B6" s="152">
        <f>'Données projet'!D9</f>
        <v>1.4039759999999999</v>
      </c>
      <c r="C6" s="153">
        <f ca="1">IF(OR('Données projet'!B9="",'Données projet'!C9="",'Données projet'!C9=0%),0,Calculateur!S3)</f>
        <v>235.63766249714581</v>
      </c>
      <c r="D6" s="153">
        <f>IF(OR('Données projet'!B9="",'Données projet'!C9="",'Données projet'!C9=0%),0,Calculateur!T3)</f>
        <v>231.3297293785277</v>
      </c>
      <c r="E6" s="153">
        <f ca="1">MIN(C6,D6)</f>
        <v>231.3297293785277</v>
      </c>
      <c r="F6" s="153">
        <f ca="1">E6*B6</f>
        <v>324.78138813394776</v>
      </c>
      <c r="G6" s="153">
        <f ca="1">F6*(100%-'Données projet'!$C$24)*(100%-'Données projet'!$C$25)*(100%-'Données projet'!$C$26)*(100%-'Données projet'!$C$27)</f>
        <v>277.68808685452535</v>
      </c>
      <c r="H6" s="154">
        <f>IF(OR('Données projet'!B9="",'Données projet'!C9="",'Données projet'!C9=0%),0,AVERAGE(Calculateur!$AC$3:$AC$33)*B6)</f>
        <v>14.163767124527153</v>
      </c>
      <c r="I6" s="155">
        <f>H6*(100%-'Données projet'!$C$24)*(100%-'Données projet'!$C$25)*(100%-'Données projet'!$C$26)*(100%-'Données projet'!$C$27)</f>
        <v>12.110020891470715</v>
      </c>
      <c r="J6" s="156">
        <f>IF(OR('Données projet'!B9="",'Données projet'!C9="",'Données projet'!C9=0%),0,SUM(Calculateur!$V$3:$V$33)*VLOOKUP('Données projet'!$B$9,Paramètres!$A$1:$I$89,9,0)*B6)</f>
        <v>126.86116539599996</v>
      </c>
      <c r="K6" s="157">
        <f>J6*(100%-'Données projet'!$C$24)*(100%-'Données projet'!$C$25)*(100%-'Données projet'!$C$26)*(100%-'Données projet'!$C$27)</f>
        <v>108.46629641357997</v>
      </c>
      <c r="L6" s="158">
        <f ca="1">G6+I6+K6</f>
        <v>398.26440415957603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59" t="str">
        <f>IF('Données projet'!$B$10="","",'Données projet'!$B$10)</f>
        <v>Chêne pubescent</v>
      </c>
      <c r="B7" s="160">
        <f>'Données projet'!D10</f>
        <v>1.1565540000000001</v>
      </c>
      <c r="C7" s="153">
        <f ca="1">IF(OR('Données projet'!B10="",'Données projet'!C10="",'Données projet'!C10=0%),0,Calculateur!AN3)</f>
        <v>350.3652766444938</v>
      </c>
      <c r="D7" s="153">
        <f>IF(OR('Données projet'!B10="",'Données projet'!C10="",'Données projet'!C10=0%),0,Calculateur!AO3)</f>
        <v>197.04549436738586</v>
      </c>
      <c r="E7" s="153">
        <f t="shared" ref="E7:E15" ca="1" si="0">MIN(C7,D7)</f>
        <v>197.04549436738586</v>
      </c>
      <c r="F7" s="153">
        <f t="shared" ref="F7:F15" ca="1" si="1">E7*B7</f>
        <v>227.8937546925776</v>
      </c>
      <c r="G7" s="153">
        <f ca="1">F7*(100%-'Données projet'!$C$24)*(100%-'Données projet'!$C$25)*(100%-'Données projet'!$C$26)*(100%-'Données projet'!$C$27)</f>
        <v>194.84916026215384</v>
      </c>
      <c r="H7" s="161">
        <f>IF(OR('Données projet'!B10="",'Données projet'!C10="",'Données projet'!C10=0%),0,AVERAGE(Calculateur!$AX$3:$AX$33)*B7)</f>
        <v>0</v>
      </c>
      <c r="I7" s="155">
        <f>H7*(100%-'Données projet'!$C$24)*(100%-'Données projet'!$C$25)*(100%-'Données projet'!$C$26)*(100%-'Données projet'!$C$27)</f>
        <v>0</v>
      </c>
      <c r="J7" s="156">
        <f>IF(OR('Données projet'!B10="",'Données projet'!C10="",'Données projet'!C10=0%),0,SUM(Calculateur!$AQ$3:$AQ$33)*VLOOKUP('Données projet'!$B$10,Paramètres!$A$1:$I$89,9,0)*B7)</f>
        <v>8.3850165000000008</v>
      </c>
      <c r="K7" s="157">
        <f>J7*(100%-'Données projet'!$C$24)*(100%-'Données projet'!$C$25)*(100%-'Données projet'!$C$26)*(100%-'Données projet'!$C$27)</f>
        <v>7.1691891075000012</v>
      </c>
      <c r="L7" s="158">
        <f t="shared" ref="L7:L15" ca="1" si="2">G7+I7+K7</f>
        <v>202.01834936965383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59" t="str">
        <f>IF('Données projet'!$B$11="","",'Données projet'!$B$11)</f>
        <v>Alisier torminal</v>
      </c>
      <c r="B8" s="160">
        <f>'Données projet'!D11</f>
        <v>1.145046</v>
      </c>
      <c r="C8" s="153">
        <f ca="1">IF(OR('Données projet'!B11="",'Données projet'!C11="",'Données projet'!C11=0%),0,Calculateur!BI3)</f>
        <v>330.39429528665841</v>
      </c>
      <c r="D8" s="153">
        <f>IF(OR('Données projet'!B11="",'Données projet'!C11="",'Données projet'!C11=0%),0,Calculateur!BJ3)</f>
        <v>186.45728006007261</v>
      </c>
      <c r="E8" s="153">
        <f t="shared" ca="1" si="0"/>
        <v>186.45728006007261</v>
      </c>
      <c r="F8" s="153">
        <f t="shared" ca="1" si="1"/>
        <v>213.5021627036659</v>
      </c>
      <c r="G8" s="153">
        <f ca="1">F8*(100%-'Données projet'!$C$24)*(100%-'Données projet'!$C$25)*(100%-'Données projet'!$C$26)*(100%-'Données projet'!$C$27)</f>
        <v>182.54434911163435</v>
      </c>
      <c r="H8" s="161">
        <f>IF(OR('Données projet'!B11="",'Données projet'!C11="",'Données projet'!C11=0%),0,AVERAGE(Calculateur!$BS$3:$BS$33)*B8)</f>
        <v>0</v>
      </c>
      <c r="I8" s="155">
        <f>H8*(100%-'Données projet'!$C$24)*(100%-'Données projet'!$C$25)*(100%-'Données projet'!$C$26)*(100%-'Données projet'!$C$27)</f>
        <v>0</v>
      </c>
      <c r="J8" s="156">
        <f>IF(OR('Données projet'!B11="",'Données projet'!C11="",'Données projet'!C11=0%),0,SUM(Calculateur!$BL$3:$BL$33)*VLOOKUP('Données projet'!$B$11,Paramètres!$A$1:$I$89,9,0)*B8)</f>
        <v>8.3015834999999996</v>
      </c>
      <c r="K8" s="157">
        <f>J8*(100%-'Données projet'!$C$24)*(100%-'Données projet'!$C$25)*(100%-'Données projet'!$C$26)*(100%-'Données projet'!$C$27)</f>
        <v>7.0978538924999999</v>
      </c>
      <c r="L8" s="158">
        <f t="shared" ca="1" si="2"/>
        <v>189.64220300413436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59" t="str">
        <f>IF('Données projet'!$B$12="","",'Données projet'!$B$12)</f>
        <v>Tilleul</v>
      </c>
      <c r="B9" s="160">
        <f>'Données projet'!D12</f>
        <v>0.51210599999999995</v>
      </c>
      <c r="C9" s="153">
        <f ca="1">IF(OR('Données projet'!B12="",'Données projet'!C12="",'Données projet'!C12=0%),0,Calculateur!CD3)</f>
        <v>212.33913923444732</v>
      </c>
      <c r="D9" s="153">
        <f>IF(OR('Données projet'!B12="",'Données projet'!C12="",'Données projet'!C12=0%),0,Calculateur!CE3)</f>
        <v>183.51194426094372</v>
      </c>
      <c r="E9" s="153">
        <f t="shared" ca="1" si="0"/>
        <v>183.51194426094372</v>
      </c>
      <c r="F9" s="153">
        <f t="shared" ca="1" si="1"/>
        <v>93.977567727694833</v>
      </c>
      <c r="G9" s="153">
        <f ca="1">F9*(100%-'Données projet'!$C$24)*(100%-'Données projet'!$C$25)*(100%-'Données projet'!$C$26)*(100%-'Données projet'!$C$27)</f>
        <v>80.350820407179071</v>
      </c>
      <c r="H9" s="161">
        <f>IF(OR('Données projet'!B12="",'Données projet'!C12="",'Données projet'!C12=0%),0,AVERAGE(Calculateur!$CN$3:$CN$33)*B9)</f>
        <v>0</v>
      </c>
      <c r="I9" s="155">
        <f>H9*(100%-'Données projet'!$C$24)*(100%-'Données projet'!$C$25)*(100%-'Données projet'!$C$26)*(100%-'Données projet'!$C$27)</f>
        <v>0</v>
      </c>
      <c r="J9" s="156">
        <f>IF(OR('Données projet'!B12="",'Données projet'!C12="",'Données projet'!C12=0%),0,SUM(Calculateur!$CG$3:$CG$33)*VLOOKUP('Données projet'!$B$12,Paramètres!$A$1:$I$89,9,0)*B9)</f>
        <v>7.3040759615384605</v>
      </c>
      <c r="K9" s="157">
        <f>J9*(100%-'Données projet'!$C$24)*(100%-'Données projet'!$C$25)*(100%-'Données projet'!$C$26)*(100%-'Données projet'!$C$27)</f>
        <v>6.244984947115384</v>
      </c>
      <c r="L9" s="158">
        <f t="shared" ca="1" si="2"/>
        <v>86.595805354294455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59" t="str">
        <f>IF('Données projet'!$B$13="","",'Données projet'!$B$13)</f>
        <v>Chêne rouge d'Amérique</v>
      </c>
      <c r="B10" s="160">
        <f>'Données projet'!D13</f>
        <v>0.51785999999999999</v>
      </c>
      <c r="C10" s="153">
        <f ca="1">IF(OR('Données projet'!B13="",'Données projet'!C13="",'Données projet'!C13=0%),0,Calculateur!CY3)</f>
        <v>228.0393346366489</v>
      </c>
      <c r="D10" s="153">
        <f>IF(OR('Données projet'!B13="",'Données projet'!C13="",'Données projet'!C13=0%),0,Calculateur!CZ3)</f>
        <v>238.591781509447</v>
      </c>
      <c r="E10" s="153">
        <f t="shared" ca="1" si="0"/>
        <v>228.0393346366489</v>
      </c>
      <c r="F10" s="153">
        <f t="shared" ca="1" si="1"/>
        <v>118.092449834935</v>
      </c>
      <c r="G10" s="153">
        <f ca="1">F10*(100%-'Données projet'!$C$24)*(100%-'Données projet'!$C$25)*(100%-'Données projet'!$C$26)*(100%-'Données projet'!$C$27)</f>
        <v>100.96904460886941</v>
      </c>
      <c r="H10" s="161">
        <f>IF(OR('Données projet'!B13="",'Données projet'!C13="",'Données projet'!C13=0%),0,AVERAGE(Calculateur!$DI$3:$DI$33)*B10)</f>
        <v>0</v>
      </c>
      <c r="I10" s="155">
        <f>H10*(100%-'Données projet'!$C$24)*(100%-'Données projet'!$C$25)*(100%-'Données projet'!$C$26)*(100%-'Données projet'!$C$27)</f>
        <v>0</v>
      </c>
      <c r="J10" s="156">
        <f>IF(OR('Données projet'!B13="",'Données projet'!C13="",'Données projet'!C13=0%),0,SUM(Calculateur!$DB$3:$DB$33)*VLOOKUP('Données projet'!$B$13,Paramètres!$A$1:$I$89,9,0)*B10)</f>
        <v>8.1562950000000001</v>
      </c>
      <c r="K10" s="157">
        <f>J10*(100%-'Données projet'!$C$24)*(100%-'Données projet'!$C$25)*(100%-'Données projet'!$C$26)*(100%-'Données projet'!$C$27)</f>
        <v>6.9736322249999994</v>
      </c>
      <c r="L10" s="158">
        <f t="shared" ca="1" si="2"/>
        <v>107.94267683386941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59" t="str">
        <f>IF('Données projet'!$B$14="","",'Données projet'!$B$14)</f>
        <v>Chêne sessile</v>
      </c>
      <c r="B11" s="160">
        <f>'Données projet'!D14</f>
        <v>0.40278000000000003</v>
      </c>
      <c r="C11" s="153">
        <f ca="1">IF(OR('Données projet'!B14="",'Données projet'!C14="",'Données projet'!C14=0%),0,Calculateur!DT3)</f>
        <v>303.73499739059076</v>
      </c>
      <c r="D11" s="153">
        <f>IF(OR('Données projet'!B14="",'Données projet'!C14="",'Données projet'!C14=0%),0,Calculateur!DU3)</f>
        <v>172.32171001882188</v>
      </c>
      <c r="E11" s="153">
        <f t="shared" ca="1" si="0"/>
        <v>172.32171001882188</v>
      </c>
      <c r="F11" s="153">
        <f t="shared" ca="1" si="1"/>
        <v>69.407738361381078</v>
      </c>
      <c r="G11" s="153">
        <f ca="1">F11*(100%-'Données projet'!$C$24)*(100%-'Données projet'!$C$25)*(100%-'Données projet'!$C$26)*(100%-'Données projet'!$C$27)</f>
        <v>59.34361629898082</v>
      </c>
      <c r="H11" s="161">
        <f>IF(OR('Données projet'!B14="",'Données projet'!C14="",'Données projet'!C14=0%),0,AVERAGE(Calculateur!$ED$3:$ED$33)*B11)</f>
        <v>0</v>
      </c>
      <c r="I11" s="155">
        <f>H11*(100%-'Données projet'!$C$24)*(100%-'Données projet'!$C$25)*(100%-'Données projet'!$C$26)*(100%-'Données projet'!$C$27)</f>
        <v>0</v>
      </c>
      <c r="J11" s="156">
        <f>IF(OR('Données projet'!B14="",'Données projet'!C14="",'Données projet'!C14=0%),0,SUM(Calculateur!$DW$3:$DW$33)*VLOOKUP('Données projet'!$B$14,Paramètres!$A$1:$I$89,9,0)*B11)</f>
        <v>2.9201550000000003</v>
      </c>
      <c r="K11" s="157">
        <f>J11*(100%-'Données projet'!$C$24)*(100%-'Données projet'!$C$25)*(100%-'Données projet'!$C$26)*(100%-'Données projet'!$C$27)</f>
        <v>2.4967325250000005</v>
      </c>
      <c r="L11" s="158">
        <f t="shared" ca="1" si="2"/>
        <v>61.840348823980818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59" t="str">
        <f>IF('Données projet'!$B$15="","",'Données projet'!$B$15)</f>
        <v>Pin laricio</v>
      </c>
      <c r="B12" s="160">
        <f>'Données projet'!D15</f>
        <v>0.25892999999999999</v>
      </c>
      <c r="C12" s="153">
        <f ca="1">IF(OR('Données projet'!B15="",'Données projet'!C15="",'Données projet'!C15=0%),0,Calculateur!EO3)</f>
        <v>269.94948820700841</v>
      </c>
      <c r="D12" s="153">
        <f>IF(OR('Données projet'!B15="",'Données projet'!C15="",'Données projet'!C15=0%),0,Calculateur!EP3)</f>
        <v>183.45158355135192</v>
      </c>
      <c r="E12" s="153">
        <f t="shared" ca="1" si="0"/>
        <v>183.45158355135192</v>
      </c>
      <c r="F12" s="153">
        <f t="shared" ca="1" si="1"/>
        <v>47.501118528951551</v>
      </c>
      <c r="G12" s="153">
        <f ca="1">F12*(100%-'Données projet'!$C$24)*(100%-'Données projet'!$C$25)*(100%-'Données projet'!$C$26)*(100%-'Données projet'!$C$27)</f>
        <v>40.613456342253578</v>
      </c>
      <c r="H12" s="161">
        <f>IF(OR('Données projet'!B15="",'Données projet'!C15="",'Données projet'!C15=0%),0,AVERAGE(Calculateur!$EY$3:$EY$33)*B12)</f>
        <v>1.6018446119975305</v>
      </c>
      <c r="I12" s="155">
        <f>H12*(100%-'Données projet'!$C$24)*(100%-'Données projet'!$C$25)*(100%-'Données projet'!$C$26)*(100%-'Données projet'!$C$27)</f>
        <v>1.3695771432578887</v>
      </c>
      <c r="J12" s="156">
        <f>IF(OR('Données projet'!B15="",'Données projet'!C15="",'Données projet'!C15=0%),0,SUM(Calculateur!$ER$3:$ER$33)*VLOOKUP('Données projet'!$B$15,Paramètres!$A$1:$I$89,9,0)*B12)</f>
        <v>10.048425974999999</v>
      </c>
      <c r="K12" s="157">
        <f>J12*(100%-'Données projet'!$C$24)*(100%-'Données projet'!$C$25)*(100%-'Données projet'!$C$26)*(100%-'Données projet'!$C$27)</f>
        <v>8.5914042086249989</v>
      </c>
      <c r="L12" s="158">
        <f t="shared" ca="1" si="2"/>
        <v>50.574437694136471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59" t="str">
        <f>IF('Données projet'!$B$16="","",'Données projet'!$B$16)</f>
        <v>Pin de Salzmann</v>
      </c>
      <c r="B13" s="160">
        <f>'Données projet'!D16</f>
        <v>0.24166799999999999</v>
      </c>
      <c r="C13" s="153">
        <f ca="1">IF(OR('Données projet'!B16="",'Données projet'!C16="",'Données projet'!C16=0%),0,Calculateur!FJ3)</f>
        <v>111.24788725253484</v>
      </c>
      <c r="D13" s="153">
        <f>IF(OR('Données projet'!B16="",'Données projet'!C16="",'Données projet'!C16=0%),0,Calculateur!FK3)</f>
        <v>82.434879813357327</v>
      </c>
      <c r="E13" s="153">
        <f t="shared" ca="1" si="0"/>
        <v>82.434879813357327</v>
      </c>
      <c r="F13" s="153">
        <f t="shared" ca="1" si="1"/>
        <v>19.921872534734437</v>
      </c>
      <c r="G13" s="153">
        <f ca="1">F13*(100%-'Données projet'!$C$24)*(100%-'Données projet'!$C$25)*(100%-'Données projet'!$C$26)*(100%-'Données projet'!$C$27)</f>
        <v>17.033201017197943</v>
      </c>
      <c r="H13" s="161">
        <f>IF(OR('Données projet'!B16="",'Données projet'!C16="",'Données projet'!C16=0%),0,AVERAGE(Calculateur!$FT$3:$FT$33)*B13)</f>
        <v>0</v>
      </c>
      <c r="I13" s="155">
        <f>H13*(100%-'Données projet'!$C$24)*(100%-'Données projet'!$C$25)*(100%-'Données projet'!$C$26)*(100%-'Données projet'!$C$27)</f>
        <v>0</v>
      </c>
      <c r="J13" s="156">
        <f>IF(OR('Données projet'!C16="",'Données projet'!C16=0%),0,SUM(Calculateur!$FM$3:$FM$33)*VLOOKUP('Données projet'!$B$16,Paramètres!$A$1:$I$89,9,0)*B13)</f>
        <v>0</v>
      </c>
      <c r="K13" s="157">
        <f>J13*(100%-'Données projet'!$C$24)*(100%-'Données projet'!$C$25)*(100%-'Données projet'!$C$26)*(100%-'Données projet'!$C$27)</f>
        <v>0</v>
      </c>
      <c r="L13" s="158">
        <f t="shared" ca="1" si="2"/>
        <v>17.033201017197943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59" t="str">
        <f>IF('Données projet'!$B$17="","",'Données projet'!$B$17)</f>
        <v>Séquoia toujours vert</v>
      </c>
      <c r="B14" s="160">
        <f>'Données projet'!D17</f>
        <v>5.1785999999999992E-2</v>
      </c>
      <c r="C14" s="153">
        <f ca="1">IF(OR('Données projet'!B17="",'Données projet'!C17="",'Données projet'!C17=0%),0,Calculateur!GE3)</f>
        <v>323.56667371063662</v>
      </c>
      <c r="D14" s="153">
        <f>IF(OR('Données projet'!B17="",'Données projet'!C17="",'Données projet'!C17=0%),0,Calculateur!GF3)</f>
        <v>275.70373467723385</v>
      </c>
      <c r="E14" s="153">
        <f t="shared" ca="1" si="0"/>
        <v>275.70373467723385</v>
      </c>
      <c r="F14" s="153">
        <f t="shared" ca="1" si="1"/>
        <v>14.27759360399523</v>
      </c>
      <c r="G14" s="153">
        <f ca="1">F14*(100%-'Données projet'!$C$24)*(100%-'Données projet'!$C$25)*(100%-'Données projet'!$C$26)*(100%-'Données projet'!$C$27)</f>
        <v>12.207342531415922</v>
      </c>
      <c r="H14" s="161">
        <f>IF(OR('Données projet'!B17="",'Données projet'!C17="",'Données projet'!C17=0%),0,AVERAGE(Calculateur!$GO$3:$GO$33)*B14)</f>
        <v>0</v>
      </c>
      <c r="I14" s="155">
        <f>H14*(100%-'Données projet'!$C$24)*(100%-'Données projet'!$C$25)*(100%-'Données projet'!$C$26)*(100%-'Données projet'!$C$27)</f>
        <v>0</v>
      </c>
      <c r="J14" s="156">
        <f>IF(OR('Données projet'!B17="",'Données projet'!C17="",'Données projet'!C17=0%),0,SUM(Calculateur!$GH$3:$GH$33)*VLOOKUP('Données projet'!$B$17,Paramètres!$A$1:$I$89,9,0)*B14)</f>
        <v>1.4028827399999997</v>
      </c>
      <c r="K14" s="157">
        <f>J14*(100%-'Données projet'!$C$24)*(100%-'Données projet'!$C$25)*(100%-'Données projet'!$C$26)*(100%-'Données projet'!$C$27)</f>
        <v>1.1994647426999996</v>
      </c>
      <c r="L14" s="158">
        <f t="shared" ca="1" si="2"/>
        <v>13.406807274115922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2" t="str">
        <f>IF('Données projet'!B18="","",'Données projet'!B18)</f>
        <v/>
      </c>
      <c r="B15" s="163">
        <f>'Données projet'!D18</f>
        <v>0</v>
      </c>
      <c r="C15" s="164">
        <f>IF(OR('Données projet'!B18="",'Données projet'!C18="",'Données projet'!C18=0%),0,Calculateur!GZ3)</f>
        <v>0</v>
      </c>
      <c r="D15" s="164">
        <f>IF(OR('Données projet'!B18="",'Données projet'!C18="",'Données projet'!C18=0%),0,Calculateur!HA3)</f>
        <v>0</v>
      </c>
      <c r="E15" s="164">
        <f t="shared" si="0"/>
        <v>0</v>
      </c>
      <c r="F15" s="165">
        <f t="shared" si="1"/>
        <v>0</v>
      </c>
      <c r="G15" s="165">
        <f>F15*(100%-'Données projet'!$C$24)*(100%-'Données projet'!$C$25)*(100%-'Données projet'!$C$26)*(100%-'Données projet'!$C$27)</f>
        <v>0</v>
      </c>
      <c r="H15" s="166">
        <f>IF(OR('Données projet'!B18="",'Données projet'!C18="",'Données projet'!C18=0%),0,AVERAGE(Calculateur!$HJ$3:$HJ$33)*B15)</f>
        <v>0</v>
      </c>
      <c r="I15" s="167">
        <f>H15*(100%-'Données projet'!$C$24)*(100%-'Données projet'!$C$25)*(100%-'Données projet'!$C$26)*(100%-'Données projet'!$C$27)</f>
        <v>0</v>
      </c>
      <c r="J15" s="168">
        <f>IF(OR('Données projet'!B18="",'Données projet'!C18="",'Données projet'!C18=0%),0,SUM(Calculateur!$HC$3:$HC$33)*VLOOKUP('Données projet'!$B$18,Paramètres!$A$1:$I$89,9,0)*B15)</f>
        <v>0</v>
      </c>
      <c r="K15" s="169">
        <f>J15*(100%-'Données projet'!$C$24)*(100%-'Données projet'!$C$25)*(100%-'Données projet'!$C$26)*(100%-'Données projet'!$C$27)</f>
        <v>0</v>
      </c>
      <c r="L15" s="170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2"/>
      <c r="B16" s="229"/>
      <c r="C16" s="230"/>
      <c r="D16" s="25"/>
      <c r="E16" s="25"/>
      <c r="F16" s="171">
        <f t="shared" ref="F16:L16" ca="1" si="3">SUM(F6:F15)</f>
        <v>1129.3556461218834</v>
      </c>
      <c r="G16" s="172">
        <f t="shared" ca="1" si="3"/>
        <v>965.59907743421036</v>
      </c>
      <c r="H16" s="173">
        <f t="shared" si="3"/>
        <v>15.765611736524683</v>
      </c>
      <c r="I16" s="173">
        <f t="shared" si="3"/>
        <v>13.479598034728603</v>
      </c>
      <c r="J16" s="174">
        <f t="shared" si="3"/>
        <v>173.37960007253841</v>
      </c>
      <c r="K16" s="174">
        <f t="shared" si="3"/>
        <v>148.23955806202034</v>
      </c>
      <c r="L16" s="175">
        <f t="shared" ca="1" si="3"/>
        <v>1127.3182335309596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2"/>
      <c r="B17" s="229"/>
      <c r="C17" s="230"/>
      <c r="D17" s="227"/>
      <c r="E17" s="227"/>
      <c r="F17" s="316" t="s">
        <v>246</v>
      </c>
      <c r="G17" s="317"/>
      <c r="H17" s="317"/>
      <c r="I17" s="317"/>
      <c r="J17" s="317"/>
      <c r="K17" s="317"/>
      <c r="L17" s="317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2"/>
      <c r="B18" s="229"/>
      <c r="C18" s="230"/>
      <c r="D18" s="227"/>
      <c r="E18" s="227"/>
      <c r="F18" s="318"/>
      <c r="G18" s="318"/>
      <c r="H18" s="318"/>
      <c r="I18" s="318"/>
      <c r="J18" s="318"/>
      <c r="K18" s="318"/>
      <c r="L18" s="318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27"/>
      <c r="J19" s="227"/>
      <c r="K19" s="227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27"/>
      <c r="J20" s="227"/>
      <c r="K20" s="227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6" t="str">
        <f>A6</f>
        <v>Pin maritime</v>
      </c>
      <c r="B21" s="5"/>
      <c r="C21" s="5"/>
      <c r="D21" s="5"/>
      <c r="E21" s="5"/>
      <c r="F21" s="5"/>
      <c r="G21" s="5"/>
      <c r="H21" s="5"/>
      <c r="I21" s="227"/>
      <c r="J21" s="227"/>
      <c r="K21" s="227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27"/>
      <c r="J22" s="227"/>
      <c r="K22" s="227"/>
      <c r="L22" s="227"/>
      <c r="M22" s="227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27"/>
      <c r="J23" s="227"/>
      <c r="K23" s="227"/>
      <c r="L23" s="227"/>
      <c r="M23" s="227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27"/>
      <c r="J24" s="227"/>
      <c r="K24" s="227"/>
      <c r="L24" s="227"/>
      <c r="M24" s="227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27"/>
      <c r="J25" s="227"/>
      <c r="K25" s="227"/>
      <c r="L25" s="227"/>
      <c r="M25" s="227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27"/>
      <c r="J26" s="227"/>
      <c r="K26" s="227"/>
      <c r="L26" s="227"/>
      <c r="M26" s="227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27"/>
      <c r="J27" s="227"/>
      <c r="K27" s="227"/>
      <c r="L27" s="227"/>
      <c r="M27" s="227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27"/>
      <c r="J28" s="227"/>
      <c r="K28" s="227"/>
      <c r="L28" s="227"/>
      <c r="M28" s="227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27"/>
      <c r="J29" s="227"/>
      <c r="K29" s="227"/>
      <c r="L29" s="227"/>
      <c r="M29" s="227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27"/>
      <c r="J30" s="227"/>
      <c r="K30" s="227"/>
      <c r="L30" s="227"/>
      <c r="M30" s="227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27"/>
      <c r="J31" s="227"/>
      <c r="K31" s="227"/>
      <c r="L31" s="227"/>
      <c r="M31" s="227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27"/>
      <c r="J32" s="227"/>
      <c r="K32" s="227"/>
      <c r="L32" s="227"/>
      <c r="M32" s="227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27"/>
      <c r="J33" s="227"/>
      <c r="K33" s="227"/>
      <c r="L33" s="227"/>
      <c r="M33" s="227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27"/>
      <c r="J34" s="227"/>
      <c r="K34" s="227"/>
      <c r="L34" s="227"/>
      <c r="M34" s="227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27"/>
      <c r="J35" s="227"/>
      <c r="K35" s="227"/>
      <c r="L35" s="227"/>
      <c r="M35" s="227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27"/>
      <c r="J36" s="227"/>
      <c r="K36" s="227"/>
      <c r="L36" s="227"/>
      <c r="M36" s="227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27"/>
      <c r="J37" s="227"/>
      <c r="K37" s="227"/>
      <c r="L37" s="227"/>
      <c r="M37" s="227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27"/>
      <c r="J38" s="227"/>
      <c r="K38" s="227"/>
      <c r="L38" s="227"/>
      <c r="M38" s="227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6" t="str">
        <f>A7</f>
        <v>Chêne pubescent</v>
      </c>
      <c r="B39" s="5"/>
      <c r="C39" s="5"/>
      <c r="D39" s="5"/>
      <c r="E39" s="5"/>
      <c r="F39" s="5"/>
      <c r="G39" s="5"/>
      <c r="H39" s="5"/>
      <c r="I39" s="227"/>
      <c r="J39" s="227"/>
      <c r="K39" s="227"/>
      <c r="L39" s="227"/>
      <c r="M39" s="227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27"/>
      <c r="J40" s="227"/>
      <c r="K40" s="227"/>
      <c r="L40" s="227"/>
      <c r="M40" s="227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27"/>
      <c r="J41" s="227"/>
      <c r="K41" s="227"/>
      <c r="L41" s="227"/>
      <c r="M41" s="227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27"/>
      <c r="J42" s="227"/>
      <c r="K42" s="227"/>
      <c r="L42" s="227"/>
      <c r="M42" s="227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27"/>
      <c r="J43" s="227"/>
      <c r="K43" s="227"/>
      <c r="L43" s="227"/>
      <c r="M43" s="227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27"/>
      <c r="J44" s="227"/>
      <c r="K44" s="227"/>
      <c r="L44" s="227"/>
      <c r="M44" s="227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27"/>
      <c r="J45" s="227"/>
      <c r="K45" s="227"/>
      <c r="L45" s="227"/>
      <c r="M45" s="227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27"/>
      <c r="J46" s="227"/>
      <c r="K46" s="227"/>
      <c r="L46" s="227"/>
      <c r="M46" s="227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27"/>
      <c r="J47" s="227"/>
      <c r="K47" s="227"/>
      <c r="L47" s="227"/>
      <c r="M47" s="227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27"/>
      <c r="J48" s="227"/>
      <c r="K48" s="227"/>
      <c r="L48" s="227"/>
      <c r="M48" s="227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27"/>
      <c r="J49" s="227"/>
      <c r="K49" s="227"/>
      <c r="L49" s="227"/>
      <c r="M49" s="227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27"/>
      <c r="J50" s="227"/>
      <c r="K50" s="227"/>
      <c r="L50" s="227"/>
      <c r="M50" s="227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27"/>
      <c r="J51" s="227"/>
      <c r="K51" s="227"/>
      <c r="L51" s="227"/>
      <c r="M51" s="227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27"/>
      <c r="J52" s="227"/>
      <c r="K52" s="227"/>
      <c r="L52" s="227"/>
      <c r="M52" s="227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27"/>
      <c r="J53" s="227"/>
      <c r="K53" s="227"/>
      <c r="L53" s="227"/>
      <c r="M53" s="227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27"/>
      <c r="J54" s="227"/>
      <c r="K54" s="227"/>
      <c r="L54" s="227"/>
      <c r="M54" s="227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27"/>
      <c r="J55" s="227"/>
      <c r="K55" s="227"/>
      <c r="L55" s="227"/>
      <c r="M55" s="227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27"/>
      <c r="J56" s="227"/>
      <c r="K56" s="227"/>
      <c r="L56" s="227"/>
      <c r="M56" s="227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6" t="str">
        <f>A8</f>
        <v>Alisier torminal</v>
      </c>
      <c r="B57" s="5"/>
      <c r="C57" s="5"/>
      <c r="D57" s="5"/>
      <c r="E57" s="5"/>
      <c r="F57" s="5"/>
      <c r="G57" s="5"/>
      <c r="H57" s="5"/>
      <c r="I57" s="227"/>
      <c r="J57" s="227"/>
      <c r="K57" s="227"/>
      <c r="L57" s="227"/>
      <c r="M57" s="227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27"/>
      <c r="J58" s="227"/>
      <c r="K58" s="227"/>
      <c r="L58" s="227"/>
      <c r="M58" s="227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27"/>
      <c r="J59" s="227"/>
      <c r="K59" s="227"/>
      <c r="L59" s="227"/>
      <c r="M59" s="227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27"/>
      <c r="J60" s="227"/>
      <c r="K60" s="227"/>
      <c r="L60" s="227"/>
      <c r="M60" s="227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27"/>
      <c r="J61" s="227"/>
      <c r="K61" s="227"/>
      <c r="L61" s="227"/>
      <c r="M61" s="227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27"/>
      <c r="J62" s="227"/>
      <c r="K62" s="227"/>
      <c r="L62" s="227"/>
      <c r="M62" s="227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27"/>
      <c r="J63" s="227"/>
      <c r="K63" s="227"/>
      <c r="L63" s="227"/>
      <c r="M63" s="227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27"/>
      <c r="J64" s="227"/>
      <c r="K64" s="227"/>
      <c r="L64" s="227"/>
      <c r="M64" s="227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27"/>
      <c r="J65" s="227"/>
      <c r="K65" s="227"/>
      <c r="L65" s="227"/>
      <c r="M65" s="227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27"/>
      <c r="J66" s="227"/>
      <c r="K66" s="227"/>
      <c r="L66" s="227"/>
      <c r="M66" s="227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27"/>
      <c r="J67" s="227"/>
      <c r="K67" s="227"/>
      <c r="L67" s="227"/>
      <c r="M67" s="227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27"/>
      <c r="J68" s="227"/>
      <c r="K68" s="227"/>
      <c r="L68" s="227"/>
      <c r="M68" s="227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27"/>
      <c r="J69" s="227"/>
      <c r="K69" s="227"/>
      <c r="L69" s="227"/>
      <c r="M69" s="227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27"/>
      <c r="J70" s="227"/>
      <c r="K70" s="227"/>
      <c r="L70" s="227"/>
      <c r="M70" s="227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27"/>
      <c r="J71" s="227"/>
      <c r="K71" s="227"/>
      <c r="L71" s="227"/>
      <c r="M71" s="227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27"/>
      <c r="J72" s="227"/>
      <c r="K72" s="227"/>
      <c r="L72" s="227"/>
      <c r="M72" s="227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27"/>
      <c r="J73" s="227"/>
      <c r="K73" s="227"/>
      <c r="L73" s="227"/>
      <c r="M73" s="227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27"/>
      <c r="J74" s="227"/>
      <c r="K74" s="227"/>
      <c r="L74" s="227"/>
      <c r="M74" s="227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27"/>
      <c r="J75" s="227"/>
      <c r="K75" s="227"/>
      <c r="L75" s="227"/>
      <c r="M75" s="227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6" t="str">
        <f>A9</f>
        <v>Tilleul</v>
      </c>
      <c r="B76" s="5"/>
      <c r="C76" s="5"/>
      <c r="D76" s="5"/>
      <c r="E76" s="5"/>
      <c r="F76" s="5"/>
      <c r="G76" s="5"/>
      <c r="H76" s="5"/>
      <c r="I76" s="227"/>
      <c r="J76" s="227"/>
      <c r="K76" s="227"/>
      <c r="L76" s="227"/>
      <c r="M76" s="227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27"/>
      <c r="J77" s="227"/>
      <c r="K77" s="227"/>
      <c r="L77" s="227"/>
      <c r="M77" s="227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27"/>
      <c r="J78" s="227"/>
      <c r="K78" s="227"/>
      <c r="L78" s="227"/>
      <c r="M78" s="227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27"/>
      <c r="J79" s="227"/>
      <c r="K79" s="227"/>
      <c r="L79" s="227"/>
      <c r="M79" s="227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27"/>
      <c r="J80" s="227"/>
      <c r="K80" s="227"/>
      <c r="L80" s="227"/>
      <c r="M80" s="227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27"/>
      <c r="J81" s="227"/>
      <c r="K81" s="227"/>
      <c r="L81" s="227"/>
      <c r="M81" s="227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27"/>
      <c r="J82" s="227"/>
      <c r="K82" s="227"/>
      <c r="L82" s="227"/>
      <c r="M82" s="227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27"/>
      <c r="J83" s="227"/>
      <c r="K83" s="227"/>
      <c r="L83" s="227"/>
      <c r="M83" s="227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27"/>
      <c r="J84" s="227"/>
      <c r="K84" s="227"/>
      <c r="L84" s="227"/>
      <c r="M84" s="227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27"/>
      <c r="J85" s="227"/>
      <c r="K85" s="227"/>
      <c r="L85" s="227"/>
      <c r="M85" s="227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27"/>
      <c r="J86" s="227"/>
      <c r="K86" s="227"/>
      <c r="L86" s="227"/>
      <c r="M86" s="227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27"/>
      <c r="J87" s="227"/>
      <c r="K87" s="227"/>
      <c r="L87" s="227"/>
      <c r="M87" s="227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27"/>
      <c r="J88" s="227"/>
      <c r="K88" s="227"/>
      <c r="L88" s="227"/>
      <c r="M88" s="227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27"/>
      <c r="J89" s="227"/>
      <c r="K89" s="227"/>
      <c r="L89" s="227"/>
      <c r="M89" s="227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27"/>
      <c r="J90" s="227"/>
      <c r="K90" s="227"/>
      <c r="L90" s="227"/>
      <c r="M90" s="227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27"/>
      <c r="J91" s="227"/>
      <c r="K91" s="227"/>
      <c r="L91" s="227"/>
      <c r="M91" s="227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27"/>
      <c r="J92" s="227"/>
      <c r="K92" s="227"/>
      <c r="L92" s="227"/>
      <c r="M92" s="227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27"/>
      <c r="J93" s="227"/>
      <c r="K93" s="227"/>
      <c r="L93" s="227"/>
      <c r="M93" s="227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6" t="str">
        <f>A10</f>
        <v>Chêne rouge d'Amérique</v>
      </c>
      <c r="B94" s="5"/>
      <c r="C94" s="5"/>
      <c r="D94" s="5"/>
      <c r="E94" s="5"/>
      <c r="F94" s="5"/>
      <c r="G94" s="5"/>
      <c r="H94" s="5"/>
      <c r="I94" s="227"/>
      <c r="J94" s="227"/>
      <c r="K94" s="227"/>
      <c r="L94" s="227"/>
      <c r="M94" s="227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27"/>
      <c r="J95" s="227"/>
      <c r="K95" s="227"/>
      <c r="L95" s="227"/>
      <c r="M95" s="227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27"/>
      <c r="J96" s="227"/>
      <c r="K96" s="227"/>
      <c r="L96" s="227"/>
      <c r="M96" s="227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27"/>
      <c r="J97" s="227"/>
      <c r="K97" s="227"/>
      <c r="L97" s="227"/>
      <c r="M97" s="227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27"/>
      <c r="J98" s="227"/>
      <c r="K98" s="227"/>
      <c r="L98" s="227"/>
      <c r="M98" s="227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27"/>
      <c r="J99" s="227"/>
      <c r="K99" s="227"/>
      <c r="L99" s="227"/>
      <c r="M99" s="227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27"/>
      <c r="J100" s="227"/>
      <c r="K100" s="227"/>
      <c r="L100" s="227"/>
      <c r="M100" s="227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27"/>
      <c r="J101" s="227"/>
      <c r="K101" s="227"/>
      <c r="L101" s="227"/>
      <c r="M101" s="227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27"/>
      <c r="J102" s="227"/>
      <c r="K102" s="227"/>
      <c r="L102" s="227"/>
      <c r="M102" s="227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27"/>
      <c r="J103" s="227"/>
      <c r="K103" s="227"/>
      <c r="L103" s="227"/>
      <c r="M103" s="227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27"/>
      <c r="J104" s="227"/>
      <c r="K104" s="227"/>
      <c r="L104" s="227"/>
      <c r="M104" s="227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27"/>
      <c r="J105" s="227"/>
      <c r="K105" s="227"/>
      <c r="L105" s="227"/>
      <c r="M105" s="227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27"/>
      <c r="J106" s="227"/>
      <c r="K106" s="227"/>
      <c r="L106" s="227"/>
      <c r="M106" s="227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27"/>
      <c r="J107" s="227"/>
      <c r="K107" s="227"/>
      <c r="L107" s="227"/>
      <c r="M107" s="227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27"/>
      <c r="J108" s="227"/>
      <c r="K108" s="227"/>
      <c r="L108" s="227"/>
      <c r="M108" s="227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27"/>
      <c r="J109" s="227"/>
      <c r="K109" s="227"/>
      <c r="L109" s="227"/>
      <c r="M109" s="227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27"/>
      <c r="J110" s="227"/>
      <c r="K110" s="227"/>
      <c r="L110" s="227"/>
      <c r="M110" s="227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27"/>
      <c r="J111" s="227"/>
      <c r="K111" s="227"/>
      <c r="L111" s="227"/>
      <c r="M111" s="227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6" t="str">
        <f>A11</f>
        <v>Chêne sessile</v>
      </c>
      <c r="B112" s="5"/>
      <c r="C112" s="5"/>
      <c r="D112" s="5"/>
      <c r="E112" s="5"/>
      <c r="F112" s="5"/>
      <c r="G112" s="5"/>
      <c r="H112" s="5"/>
      <c r="I112" s="227"/>
      <c r="J112" s="227"/>
      <c r="K112" s="227"/>
      <c r="L112" s="227"/>
      <c r="M112" s="227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27"/>
      <c r="J113" s="227"/>
      <c r="K113" s="227"/>
      <c r="L113" s="227"/>
      <c r="M113" s="227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27"/>
      <c r="J114" s="227"/>
      <c r="K114" s="227"/>
      <c r="L114" s="227"/>
      <c r="M114" s="227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27"/>
      <c r="J115" s="227"/>
      <c r="K115" s="227"/>
      <c r="L115" s="227"/>
      <c r="M115" s="227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27"/>
      <c r="J116" s="227"/>
      <c r="K116" s="227"/>
      <c r="L116" s="227"/>
      <c r="M116" s="227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27"/>
      <c r="J117" s="227"/>
      <c r="K117" s="227"/>
      <c r="L117" s="227"/>
      <c r="M117" s="227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27"/>
      <c r="J118" s="227"/>
      <c r="K118" s="227"/>
      <c r="L118" s="227"/>
      <c r="M118" s="227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27"/>
      <c r="J119" s="227"/>
      <c r="K119" s="227"/>
      <c r="L119" s="227"/>
      <c r="M119" s="227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27"/>
      <c r="J120" s="227"/>
      <c r="K120" s="227"/>
      <c r="L120" s="227"/>
      <c r="M120" s="227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27"/>
      <c r="J121" s="227"/>
      <c r="K121" s="227"/>
      <c r="L121" s="227"/>
      <c r="M121" s="227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27"/>
      <c r="J122" s="227"/>
      <c r="K122" s="227"/>
      <c r="L122" s="227"/>
      <c r="M122" s="227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27"/>
      <c r="J123" s="227"/>
      <c r="K123" s="227"/>
      <c r="L123" s="227"/>
      <c r="M123" s="227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27"/>
      <c r="J124" s="227"/>
      <c r="K124" s="227"/>
      <c r="L124" s="227"/>
      <c r="M124" s="227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27"/>
      <c r="J125" s="227"/>
      <c r="K125" s="227"/>
      <c r="L125" s="227"/>
      <c r="M125" s="227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27"/>
      <c r="J126" s="227"/>
      <c r="K126" s="227"/>
      <c r="L126" s="227"/>
      <c r="M126" s="227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27"/>
      <c r="J127" s="227"/>
      <c r="K127" s="227"/>
      <c r="L127" s="227"/>
      <c r="M127" s="227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27"/>
      <c r="J128" s="227"/>
      <c r="K128" s="227"/>
      <c r="L128" s="227"/>
      <c r="M128" s="227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27"/>
      <c r="J129" s="227"/>
      <c r="K129" s="227"/>
      <c r="L129" s="227"/>
      <c r="M129" s="227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6" t="str">
        <f>A12</f>
        <v>Pin laricio</v>
      </c>
      <c r="B130" s="5"/>
      <c r="C130" s="5"/>
      <c r="D130" s="5"/>
      <c r="E130" s="5"/>
      <c r="F130" s="5"/>
      <c r="G130" s="5"/>
      <c r="H130" s="5"/>
      <c r="I130" s="227"/>
      <c r="J130" s="227"/>
      <c r="K130" s="227"/>
      <c r="L130" s="227"/>
      <c r="M130" s="227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27"/>
      <c r="J131" s="227"/>
      <c r="K131" s="227"/>
      <c r="L131" s="227"/>
      <c r="M131" s="227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27"/>
      <c r="J132" s="227"/>
      <c r="K132" s="227"/>
      <c r="L132" s="227"/>
      <c r="M132" s="227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27"/>
      <c r="J133" s="227"/>
      <c r="K133" s="227"/>
      <c r="L133" s="227"/>
      <c r="M133" s="227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27"/>
      <c r="J134" s="227"/>
      <c r="K134" s="227"/>
      <c r="L134" s="227"/>
      <c r="M134" s="227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27"/>
      <c r="J135" s="227"/>
      <c r="K135" s="227"/>
      <c r="L135" s="227"/>
      <c r="M135" s="227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27"/>
      <c r="J136" s="227"/>
      <c r="K136" s="227"/>
      <c r="L136" s="227"/>
      <c r="M136" s="227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27"/>
      <c r="J137" s="227"/>
      <c r="K137" s="227"/>
      <c r="L137" s="227"/>
      <c r="M137" s="227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27"/>
      <c r="J138" s="227"/>
      <c r="K138" s="227"/>
      <c r="L138" s="227"/>
      <c r="M138" s="227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27"/>
      <c r="J139" s="227"/>
      <c r="K139" s="227"/>
      <c r="L139" s="227"/>
      <c r="M139" s="227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27"/>
      <c r="J140" s="227"/>
      <c r="K140" s="227"/>
      <c r="L140" s="227"/>
      <c r="M140" s="227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27"/>
      <c r="J141" s="227"/>
      <c r="K141" s="227"/>
      <c r="L141" s="227"/>
      <c r="M141" s="227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27"/>
      <c r="J142" s="227"/>
      <c r="K142" s="227"/>
      <c r="L142" s="227"/>
      <c r="M142" s="227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27"/>
      <c r="J143" s="227"/>
      <c r="K143" s="227"/>
      <c r="L143" s="227"/>
      <c r="M143" s="227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27"/>
      <c r="J144" s="227"/>
      <c r="K144" s="227"/>
      <c r="L144" s="227"/>
      <c r="M144" s="227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27"/>
      <c r="J145" s="227"/>
      <c r="K145" s="227"/>
      <c r="L145" s="227"/>
      <c r="M145" s="227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27"/>
      <c r="J146" s="227"/>
      <c r="K146" s="227"/>
      <c r="L146" s="227"/>
      <c r="M146" s="227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27"/>
      <c r="J147" s="227"/>
      <c r="K147" s="227"/>
      <c r="L147" s="227"/>
      <c r="M147" s="227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6" t="str">
        <f>A13</f>
        <v>Pin de Salzmann</v>
      </c>
      <c r="B148" s="5"/>
      <c r="C148" s="5"/>
      <c r="D148" s="5"/>
      <c r="E148" s="5"/>
      <c r="F148" s="5"/>
      <c r="G148" s="5"/>
      <c r="H148" s="5"/>
      <c r="I148" s="227"/>
      <c r="J148" s="227"/>
      <c r="K148" s="227"/>
      <c r="L148" s="227"/>
      <c r="M148" s="227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27"/>
      <c r="J149" s="227"/>
      <c r="K149" s="227"/>
      <c r="L149" s="227"/>
      <c r="M149" s="227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27"/>
      <c r="J150" s="227"/>
      <c r="K150" s="227"/>
      <c r="L150" s="227"/>
      <c r="M150" s="227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27"/>
      <c r="J151" s="227"/>
      <c r="K151" s="227"/>
      <c r="L151" s="227"/>
      <c r="M151" s="227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27"/>
      <c r="J152" s="227"/>
      <c r="K152" s="227"/>
      <c r="L152" s="227"/>
      <c r="M152" s="227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27"/>
      <c r="J153" s="227"/>
      <c r="K153" s="227"/>
      <c r="L153" s="227"/>
      <c r="M153" s="227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27"/>
      <c r="J154" s="227"/>
      <c r="K154" s="227"/>
      <c r="L154" s="227"/>
      <c r="M154" s="227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27"/>
      <c r="J155" s="227"/>
      <c r="K155" s="227"/>
      <c r="L155" s="227"/>
      <c r="M155" s="227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27"/>
      <c r="J156" s="227"/>
      <c r="K156" s="227"/>
      <c r="L156" s="227"/>
      <c r="M156" s="227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27"/>
      <c r="J157" s="227"/>
      <c r="K157" s="227"/>
      <c r="L157" s="227"/>
      <c r="M157" s="227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27"/>
      <c r="J158" s="227"/>
      <c r="K158" s="227"/>
      <c r="L158" s="227"/>
      <c r="M158" s="227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27"/>
      <c r="J159" s="227"/>
      <c r="K159" s="227"/>
      <c r="L159" s="227"/>
      <c r="M159" s="227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27"/>
      <c r="J160" s="227"/>
      <c r="K160" s="227"/>
      <c r="L160" s="227"/>
      <c r="M160" s="227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27"/>
      <c r="J161" s="227"/>
      <c r="K161" s="227"/>
      <c r="L161" s="227"/>
      <c r="M161" s="227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27"/>
      <c r="J162" s="227"/>
      <c r="K162" s="227"/>
      <c r="L162" s="227"/>
      <c r="M162" s="227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27"/>
      <c r="J163" s="227"/>
      <c r="K163" s="227"/>
      <c r="L163" s="227"/>
      <c r="M163" s="227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27"/>
      <c r="J164" s="227"/>
      <c r="K164" s="227"/>
      <c r="L164" s="227"/>
      <c r="M164" s="227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27"/>
      <c r="J165" s="227"/>
      <c r="K165" s="227"/>
      <c r="L165" s="227"/>
      <c r="M165" s="227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6" t="str">
        <f>A14</f>
        <v>Séquoia toujours vert</v>
      </c>
      <c r="B166" s="5"/>
      <c r="C166" s="5"/>
      <c r="D166" s="5"/>
      <c r="E166" s="5"/>
      <c r="F166" s="5"/>
      <c r="G166" s="5"/>
      <c r="H166" s="5"/>
      <c r="I166" s="227"/>
      <c r="J166" s="227"/>
      <c r="K166" s="227"/>
      <c r="L166" s="227"/>
      <c r="M166" s="227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27"/>
      <c r="J167" s="227"/>
      <c r="K167" s="227"/>
      <c r="L167" s="227"/>
      <c r="M167" s="227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27"/>
      <c r="J168" s="227"/>
      <c r="K168" s="227"/>
      <c r="L168" s="227"/>
      <c r="M168" s="227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27"/>
      <c r="J169" s="227"/>
      <c r="K169" s="227"/>
      <c r="L169" s="227"/>
      <c r="M169" s="227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27"/>
      <c r="J170" s="227"/>
      <c r="K170" s="227"/>
      <c r="L170" s="227"/>
      <c r="M170" s="227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27"/>
      <c r="J171" s="227"/>
      <c r="K171" s="227"/>
      <c r="L171" s="227"/>
      <c r="M171" s="227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27"/>
      <c r="J172" s="227"/>
      <c r="K172" s="227"/>
      <c r="L172" s="227"/>
      <c r="M172" s="227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27"/>
      <c r="J173" s="227"/>
      <c r="K173" s="227"/>
      <c r="L173" s="227"/>
      <c r="M173" s="227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27"/>
      <c r="J174" s="227"/>
      <c r="K174" s="227"/>
      <c r="L174" s="227"/>
      <c r="M174" s="227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27"/>
      <c r="J175" s="227"/>
      <c r="K175" s="227"/>
      <c r="L175" s="227"/>
      <c r="M175" s="227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27"/>
      <c r="J176" s="227"/>
      <c r="K176" s="227"/>
      <c r="L176" s="227"/>
      <c r="M176" s="227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27"/>
      <c r="J177" s="227"/>
      <c r="K177" s="227"/>
      <c r="L177" s="227"/>
      <c r="M177" s="227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27"/>
      <c r="J178" s="227"/>
      <c r="K178" s="227"/>
      <c r="L178" s="227"/>
      <c r="M178" s="227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27"/>
      <c r="J179" s="227"/>
      <c r="K179" s="227"/>
      <c r="L179" s="227"/>
      <c r="M179" s="227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27"/>
      <c r="J180" s="227"/>
      <c r="K180" s="227"/>
      <c r="L180" s="227"/>
      <c r="M180" s="227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27"/>
      <c r="J181" s="227"/>
      <c r="K181" s="227"/>
      <c r="L181" s="227"/>
      <c r="M181" s="227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27"/>
      <c r="J182" s="227"/>
      <c r="K182" s="227"/>
      <c r="L182" s="227"/>
      <c r="M182" s="227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27"/>
      <c r="J183" s="227"/>
      <c r="K183" s="227"/>
      <c r="L183" s="227"/>
      <c r="M183" s="227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6" t="str">
        <f>A15</f>
        <v/>
      </c>
      <c r="B184" s="5"/>
      <c r="C184" s="5"/>
      <c r="D184" s="5"/>
      <c r="E184" s="5"/>
      <c r="F184" s="5"/>
      <c r="G184" s="5"/>
      <c r="H184" s="5"/>
      <c r="I184" s="227"/>
      <c r="J184" s="227"/>
      <c r="K184" s="227"/>
      <c r="L184" s="227"/>
      <c r="M184" s="227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27"/>
      <c r="J185" s="227"/>
      <c r="K185" s="227"/>
      <c r="L185" s="227"/>
      <c r="M185" s="227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27"/>
      <c r="J186" s="227"/>
      <c r="K186" s="227"/>
      <c r="L186" s="227"/>
      <c r="M186" s="227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27"/>
      <c r="J187" s="227"/>
      <c r="K187" s="227"/>
      <c r="L187" s="227"/>
      <c r="M187" s="227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27"/>
      <c r="J188" s="227"/>
      <c r="K188" s="227"/>
      <c r="L188" s="227"/>
      <c r="M188" s="227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27"/>
      <c r="J189" s="227"/>
      <c r="K189" s="227"/>
      <c r="L189" s="227"/>
      <c r="M189" s="227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27"/>
      <c r="J190" s="227"/>
      <c r="K190" s="227"/>
      <c r="L190" s="227"/>
      <c r="M190" s="227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27"/>
      <c r="J191" s="227"/>
      <c r="K191" s="227"/>
      <c r="L191" s="227"/>
      <c r="M191" s="227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27"/>
      <c r="J192" s="227"/>
      <c r="K192" s="227"/>
      <c r="L192" s="227"/>
      <c r="M192" s="227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27"/>
      <c r="J193" s="227"/>
      <c r="K193" s="227"/>
      <c r="L193" s="227"/>
      <c r="M193" s="227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27"/>
      <c r="J194" s="227"/>
      <c r="K194" s="227"/>
      <c r="L194" s="227"/>
      <c r="M194" s="227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27"/>
      <c r="J195" s="227"/>
      <c r="K195" s="227"/>
      <c r="L195" s="227"/>
      <c r="M195" s="227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27"/>
      <c r="J196" s="227"/>
      <c r="K196" s="227"/>
      <c r="L196" s="227"/>
      <c r="M196" s="227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27"/>
      <c r="J197" s="227"/>
      <c r="K197" s="227"/>
      <c r="L197" s="227"/>
      <c r="M197" s="227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27"/>
      <c r="J198" s="227"/>
      <c r="K198" s="227"/>
      <c r="L198" s="227"/>
      <c r="M198" s="227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27"/>
      <c r="J199" s="227"/>
      <c r="K199" s="227"/>
      <c r="L199" s="227"/>
      <c r="M199" s="227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27"/>
      <c r="J200" s="227"/>
      <c r="K200" s="227"/>
      <c r="L200" s="227"/>
      <c r="M200" s="227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27"/>
      <c r="J201" s="227"/>
      <c r="K201" s="227"/>
      <c r="L201" s="227"/>
      <c r="M201" s="227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27"/>
      <c r="J202" s="227"/>
      <c r="K202" s="227"/>
      <c r="L202" s="227"/>
      <c r="M202" s="227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68"/>
      <c r="J203" s="68"/>
      <c r="K203" s="68"/>
      <c r="L203" s="68"/>
      <c r="M203" s="227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68"/>
      <c r="J204" s="68"/>
      <c r="K204" s="68"/>
      <c r="L204" s="68"/>
      <c r="M204" s="68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68"/>
      <c r="J205" s="68"/>
      <c r="K205" s="68"/>
      <c r="L205" s="68"/>
      <c r="M205" s="68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68"/>
      <c r="J206" s="68"/>
      <c r="K206" s="68"/>
      <c r="L206" s="68"/>
      <c r="M206" s="68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68"/>
      <c r="J207" s="68"/>
      <c r="K207" s="68"/>
      <c r="L207" s="68"/>
      <c r="M207" s="68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68"/>
      <c r="J208" s="68"/>
      <c r="K208" s="68"/>
      <c r="L208" s="68"/>
      <c r="M208" s="68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68"/>
      <c r="J209" s="68"/>
      <c r="K209" s="68"/>
      <c r="L209" s="68"/>
      <c r="M209" s="68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68"/>
      <c r="J210" s="68"/>
      <c r="K210" s="68"/>
      <c r="L210" s="68"/>
      <c r="M210" s="68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68"/>
      <c r="J211" s="68"/>
      <c r="K211" s="68"/>
      <c r="L211" s="68"/>
      <c r="M211" s="68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68"/>
      <c r="J212" s="68"/>
      <c r="K212" s="68"/>
      <c r="L212" s="68"/>
      <c r="M212" s="68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68"/>
      <c r="J213" s="68"/>
      <c r="K213" s="68"/>
      <c r="L213" s="68"/>
      <c r="M213" s="68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68"/>
      <c r="J214" s="68"/>
      <c r="K214" s="68"/>
      <c r="L214" s="68"/>
      <c r="M214" s="68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68"/>
      <c r="J215" s="68"/>
      <c r="K215" s="68"/>
      <c r="L215" s="68"/>
      <c r="M215" s="68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68"/>
      <c r="J216" s="68"/>
      <c r="K216" s="68"/>
      <c r="L216" s="68"/>
      <c r="M216" s="68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68"/>
      <c r="J217" s="68"/>
      <c r="K217" s="68"/>
      <c r="L217" s="68"/>
      <c r="M217" s="68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68"/>
      <c r="J218" s="68"/>
      <c r="K218" s="68"/>
      <c r="L218" s="68"/>
      <c r="M218" s="68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68"/>
      <c r="J219" s="68"/>
      <c r="K219" s="68"/>
      <c r="L219" s="68"/>
      <c r="M219" s="68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68"/>
      <c r="J220" s="68"/>
      <c r="K220" s="68"/>
      <c r="L220" s="68"/>
      <c r="M220" s="68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68"/>
      <c r="J221" s="68"/>
      <c r="K221" s="68"/>
      <c r="L221" s="68"/>
      <c r="M221" s="68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68"/>
      <c r="J222" s="68"/>
      <c r="K222" s="68"/>
      <c r="L222" s="68"/>
      <c r="M222" s="68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68"/>
      <c r="J223" s="68"/>
      <c r="K223" s="68"/>
      <c r="L223" s="68"/>
      <c r="M223" s="68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68"/>
      <c r="J224" s="68"/>
      <c r="K224" s="68"/>
      <c r="L224" s="68"/>
      <c r="M224" s="68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68"/>
      <c r="J225" s="68"/>
      <c r="K225" s="68"/>
      <c r="L225" s="68"/>
      <c r="M225" s="68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68"/>
      <c r="J226" s="68"/>
      <c r="K226" s="68"/>
      <c r="L226" s="68"/>
      <c r="M226" s="68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68"/>
      <c r="J227" s="68"/>
      <c r="K227" s="68"/>
      <c r="L227" s="68"/>
      <c r="M227" s="68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68"/>
      <c r="J228" s="68"/>
      <c r="K228" s="68"/>
      <c r="L228" s="68"/>
      <c r="M228" s="68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68"/>
      <c r="J229" s="68"/>
      <c r="K229" s="68"/>
      <c r="L229" s="68"/>
      <c r="M229" s="68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68"/>
      <c r="J230" s="68"/>
      <c r="K230" s="68"/>
      <c r="L230" s="68"/>
      <c r="M230" s="68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68"/>
      <c r="J231" s="68"/>
      <c r="K231" s="68"/>
      <c r="L231" s="68"/>
      <c r="M231" s="68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68"/>
      <c r="J232" s="68"/>
      <c r="K232" s="68"/>
      <c r="L232" s="68"/>
      <c r="M232" s="68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68"/>
      <c r="J233" s="68"/>
      <c r="K233" s="68"/>
      <c r="L233" s="68"/>
      <c r="M233" s="68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68"/>
      <c r="J234" s="68"/>
      <c r="K234" s="68"/>
      <c r="L234" s="68"/>
      <c r="M234" s="68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68"/>
      <c r="J235" s="68"/>
      <c r="K235" s="68"/>
      <c r="L235" s="68"/>
      <c r="M235" s="68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68"/>
      <c r="J236" s="68"/>
      <c r="K236" s="68"/>
      <c r="L236" s="68"/>
      <c r="M236" s="68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68"/>
      <c r="J237" s="68"/>
      <c r="K237" s="68"/>
      <c r="L237" s="68"/>
      <c r="M237" s="68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68"/>
      <c r="J238" s="68"/>
      <c r="K238" s="68"/>
      <c r="L238" s="68"/>
      <c r="M238" s="68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68"/>
      <c r="J239" s="68"/>
      <c r="K239" s="68"/>
      <c r="L239" s="68"/>
      <c r="M239" s="68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68"/>
      <c r="J240" s="68"/>
      <c r="K240" s="68"/>
      <c r="L240" s="68"/>
      <c r="M240" s="68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68"/>
      <c r="J241" s="68"/>
      <c r="K241" s="68"/>
      <c r="L241" s="68"/>
      <c r="M241" s="68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68"/>
      <c r="J242" s="68"/>
      <c r="K242" s="68"/>
      <c r="L242" s="68"/>
      <c r="M242" s="68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68"/>
      <c r="J243" s="68"/>
      <c r="K243" s="68"/>
      <c r="L243" s="68"/>
      <c r="M243" s="68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68"/>
      <c r="J244" s="68"/>
      <c r="K244" s="68"/>
      <c r="L244" s="68"/>
      <c r="M244" s="68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68"/>
      <c r="J245" s="68"/>
      <c r="K245" s="68"/>
      <c r="L245" s="68"/>
      <c r="M245" s="68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68"/>
      <c r="J246" s="68"/>
      <c r="K246" s="68"/>
      <c r="L246" s="68"/>
      <c r="M246" s="68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68"/>
      <c r="J247" s="68"/>
      <c r="K247" s="68"/>
      <c r="L247" s="68"/>
      <c r="M247" s="68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68"/>
      <c r="J248" s="68"/>
      <c r="K248" s="68"/>
      <c r="L248" s="68"/>
      <c r="M248" s="68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68"/>
      <c r="J249" s="68"/>
      <c r="K249" s="68"/>
      <c r="L249" s="68"/>
      <c r="M249" s="68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68"/>
      <c r="J250" s="68"/>
      <c r="K250" s="68"/>
      <c r="L250" s="68"/>
      <c r="M250" s="68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68"/>
      <c r="J251" s="68"/>
      <c r="K251" s="68"/>
      <c r="L251" s="68"/>
      <c r="M251" s="68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68"/>
      <c r="J252" s="68"/>
      <c r="K252" s="68"/>
      <c r="L252" s="68"/>
      <c r="M252" s="68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68"/>
      <c r="J253" s="68"/>
      <c r="K253" s="68"/>
      <c r="L253" s="68"/>
      <c r="M253" s="68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68"/>
      <c r="J254" s="68"/>
      <c r="K254" s="68"/>
      <c r="L254" s="68"/>
      <c r="M254" s="68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68"/>
      <c r="J255" s="68"/>
      <c r="K255" s="68"/>
      <c r="L255" s="68"/>
      <c r="M255" s="68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68"/>
      <c r="J256" s="68"/>
      <c r="K256" s="68"/>
      <c r="L256" s="68"/>
      <c r="M256" s="68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68"/>
      <c r="J257" s="68"/>
      <c r="K257" s="68"/>
      <c r="L257" s="68"/>
      <c r="M257" s="68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68"/>
      <c r="J258" s="68"/>
      <c r="K258" s="68"/>
      <c r="L258" s="68"/>
      <c r="M258" s="68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68"/>
      <c r="J259" s="68"/>
      <c r="K259" s="68"/>
      <c r="L259" s="68"/>
      <c r="M259" s="68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68"/>
      <c r="J260" s="68"/>
      <c r="K260" s="68"/>
      <c r="L260" s="68"/>
      <c r="M260" s="68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68"/>
      <c r="J261" s="68"/>
      <c r="K261" s="68"/>
      <c r="L261" s="68"/>
      <c r="M261" s="68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68"/>
      <c r="J262" s="68"/>
      <c r="K262" s="68"/>
      <c r="L262" s="68"/>
      <c r="M262" s="68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68"/>
      <c r="J263" s="68"/>
      <c r="K263" s="68"/>
      <c r="L263" s="68"/>
      <c r="M263" s="68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68"/>
      <c r="J264" s="68"/>
      <c r="K264" s="68"/>
      <c r="L264" s="68"/>
      <c r="M264" s="68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68"/>
      <c r="J265" s="68"/>
      <c r="K265" s="68"/>
      <c r="L265" s="68"/>
      <c r="M265" s="68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68"/>
      <c r="J266" s="68"/>
      <c r="K266" s="68"/>
      <c r="L266" s="68"/>
      <c r="M266" s="68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68"/>
      <c r="J267" s="68"/>
      <c r="K267" s="68"/>
      <c r="L267" s="68"/>
      <c r="M267" s="68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68"/>
      <c r="J268" s="68"/>
      <c r="K268" s="68"/>
      <c r="L268" s="68"/>
      <c r="M268" s="68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68"/>
      <c r="J269" s="68"/>
      <c r="K269" s="68"/>
      <c r="L269" s="68"/>
      <c r="M269" s="68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68"/>
      <c r="J270" s="68"/>
      <c r="K270" s="68"/>
      <c r="L270" s="68"/>
      <c r="M270" s="68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68"/>
      <c r="J271" s="68"/>
      <c r="K271" s="68"/>
      <c r="L271" s="68"/>
      <c r="M271" s="68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68"/>
      <c r="J272" s="68"/>
      <c r="K272" s="68"/>
      <c r="L272" s="68"/>
      <c r="M272" s="68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68"/>
      <c r="J273" s="68"/>
      <c r="K273" s="68"/>
      <c r="L273" s="68"/>
      <c r="M273" s="68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68"/>
      <c r="J274" s="68"/>
      <c r="K274" s="68"/>
      <c r="L274" s="68"/>
      <c r="M274" s="68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68"/>
      <c r="J275" s="68"/>
      <c r="K275" s="68"/>
      <c r="L275" s="68"/>
      <c r="M275" s="68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68"/>
      <c r="J276" s="68"/>
      <c r="K276" s="68"/>
      <c r="L276" s="68"/>
      <c r="M276" s="68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68"/>
      <c r="J277" s="68"/>
      <c r="K277" s="68"/>
      <c r="L277" s="68"/>
      <c r="M277" s="68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68"/>
      <c r="J278" s="68"/>
      <c r="K278" s="68"/>
      <c r="L278" s="68"/>
      <c r="M278" s="68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68"/>
      <c r="J279" s="68"/>
      <c r="K279" s="68"/>
      <c r="L279" s="68"/>
      <c r="M279" s="68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68"/>
      <c r="J280" s="68"/>
      <c r="K280" s="68"/>
      <c r="L280" s="68"/>
      <c r="M280" s="68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68"/>
      <c r="J281" s="68"/>
      <c r="K281" s="68"/>
      <c r="L281" s="68"/>
      <c r="M281" s="68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68"/>
      <c r="J282" s="68"/>
      <c r="K282" s="68"/>
      <c r="L282" s="68"/>
      <c r="M282" s="68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68"/>
      <c r="J283" s="68"/>
      <c r="K283" s="68"/>
      <c r="L283" s="68"/>
      <c r="M283" s="68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68"/>
      <c r="J284" s="68"/>
      <c r="K284" s="68"/>
      <c r="L284" s="68"/>
      <c r="M284" s="68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68"/>
      <c r="J285" s="68"/>
      <c r="K285" s="68"/>
      <c r="L285" s="68"/>
      <c r="M285" s="68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68"/>
      <c r="J286" s="68"/>
      <c r="K286" s="68"/>
      <c r="L286" s="68"/>
      <c r="M286" s="68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68"/>
      <c r="J287" s="68"/>
      <c r="K287" s="68"/>
      <c r="L287" s="68"/>
      <c r="M287" s="68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68"/>
      <c r="J288" s="68"/>
      <c r="K288" s="68"/>
      <c r="L288" s="68"/>
      <c r="M288" s="68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68"/>
      <c r="J289" s="68"/>
      <c r="K289" s="68"/>
      <c r="L289" s="68"/>
      <c r="M289" s="68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68"/>
      <c r="J290" s="68"/>
      <c r="K290" s="68"/>
      <c r="L290" s="68"/>
      <c r="M290" s="68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68"/>
      <c r="J291" s="68"/>
      <c r="K291" s="68"/>
      <c r="L291" s="68"/>
      <c r="M291" s="68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68"/>
      <c r="J292" s="68"/>
      <c r="K292" s="68"/>
      <c r="L292" s="68"/>
      <c r="M292" s="68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68"/>
      <c r="J293" s="68"/>
      <c r="K293" s="68"/>
      <c r="L293" s="68"/>
      <c r="M293" s="68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68"/>
      <c r="J294" s="68"/>
      <c r="K294" s="68"/>
      <c r="L294" s="68"/>
      <c r="M294" s="68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68"/>
      <c r="J295" s="68"/>
      <c r="K295" s="68"/>
      <c r="L295" s="68"/>
      <c r="M295" s="68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68"/>
      <c r="J296" s="68"/>
      <c r="K296" s="68"/>
      <c r="L296" s="68"/>
      <c r="M296" s="68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68"/>
      <c r="J297" s="68"/>
      <c r="K297" s="68"/>
      <c r="L297" s="68"/>
      <c r="M297" s="68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68"/>
      <c r="J298" s="68"/>
      <c r="K298" s="68"/>
      <c r="L298" s="68"/>
      <c r="M298" s="68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68"/>
      <c r="J299" s="68"/>
      <c r="K299" s="68"/>
      <c r="L299" s="68"/>
      <c r="M299" s="68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68"/>
      <c r="J300" s="68"/>
      <c r="K300" s="68"/>
      <c r="L300" s="68"/>
      <c r="M300" s="68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68"/>
      <c r="J301" s="68"/>
      <c r="K301" s="68"/>
      <c r="L301" s="68"/>
      <c r="M301" s="68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68"/>
      <c r="J302" s="68"/>
      <c r="K302" s="68"/>
      <c r="L302" s="68"/>
      <c r="M302" s="68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68"/>
      <c r="J303" s="68"/>
      <c r="K303" s="68"/>
      <c r="L303" s="68"/>
      <c r="M303" s="68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68"/>
      <c r="J304" s="68"/>
      <c r="K304" s="68"/>
      <c r="L304" s="68"/>
      <c r="M304" s="68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68"/>
      <c r="J305" s="68"/>
      <c r="K305" s="68"/>
      <c r="L305" s="68"/>
      <c r="M305" s="68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68"/>
      <c r="J306" s="68"/>
      <c r="K306" s="68"/>
      <c r="L306" s="68"/>
      <c r="M306" s="68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68"/>
      <c r="J307" s="68"/>
      <c r="K307" s="68"/>
      <c r="L307" s="68"/>
      <c r="M307" s="68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68"/>
      <c r="J308" s="68"/>
      <c r="K308" s="68"/>
      <c r="L308" s="68"/>
      <c r="M308" s="68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68"/>
      <c r="J309" s="68"/>
      <c r="K309" s="68"/>
      <c r="L309" s="68"/>
      <c r="M309" s="68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68"/>
      <c r="J310" s="68"/>
      <c r="K310" s="68"/>
      <c r="L310" s="68"/>
      <c r="M310" s="68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68"/>
      <c r="J311" s="68"/>
      <c r="K311" s="68"/>
      <c r="L311" s="68"/>
      <c r="M311" s="68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68"/>
      <c r="J312" s="68"/>
      <c r="K312" s="68"/>
      <c r="L312" s="68"/>
      <c r="M312" s="68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68"/>
      <c r="J313" s="68"/>
      <c r="K313" s="68"/>
      <c r="L313" s="68"/>
      <c r="M313" s="68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68"/>
      <c r="J314" s="68"/>
      <c r="K314" s="68"/>
      <c r="L314" s="68"/>
      <c r="M314" s="68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68"/>
      <c r="J315" s="68"/>
      <c r="K315" s="68"/>
      <c r="L315" s="68"/>
      <c r="M315" s="68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68"/>
      <c r="J316" s="68"/>
      <c r="K316" s="68"/>
      <c r="L316" s="68"/>
      <c r="M316" s="68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68"/>
      <c r="J317" s="68"/>
      <c r="K317" s="68"/>
      <c r="L317" s="68"/>
      <c r="M317" s="68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68"/>
      <c r="J318" s="68"/>
      <c r="K318" s="68"/>
      <c r="L318" s="68"/>
      <c r="M318" s="68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68"/>
      <c r="J319" s="68"/>
      <c r="K319" s="68"/>
      <c r="L319" s="68"/>
      <c r="M319" s="68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68"/>
      <c r="J320" s="68"/>
      <c r="K320" s="68"/>
      <c r="L320" s="68"/>
      <c r="M320" s="68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68"/>
      <c r="J321" s="68"/>
      <c r="K321" s="68"/>
      <c r="L321" s="68"/>
      <c r="M321" s="68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68"/>
      <c r="J322" s="68"/>
      <c r="K322" s="68"/>
      <c r="L322" s="68"/>
      <c r="M322" s="68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68"/>
      <c r="J323" s="68"/>
      <c r="K323" s="68"/>
      <c r="L323" s="68"/>
      <c r="M323" s="68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68"/>
      <c r="J324" s="68"/>
      <c r="K324" s="68"/>
      <c r="L324" s="68"/>
      <c r="M324" s="68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68"/>
      <c r="J325" s="68"/>
      <c r="K325" s="68"/>
      <c r="L325" s="68"/>
      <c r="M325" s="68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68"/>
      <c r="J326" s="68"/>
      <c r="K326" s="68"/>
      <c r="L326" s="68"/>
      <c r="M326" s="68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68"/>
      <c r="J327" s="68"/>
      <c r="K327" s="68"/>
      <c r="L327" s="68"/>
      <c r="M327" s="68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68"/>
      <c r="J328" s="68"/>
      <c r="K328" s="68"/>
      <c r="L328" s="68"/>
      <c r="M328" s="68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68"/>
      <c r="J329" s="68"/>
      <c r="K329" s="68"/>
      <c r="L329" s="68"/>
      <c r="M329" s="68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68"/>
      <c r="J330" s="68"/>
      <c r="K330" s="68"/>
      <c r="L330" s="68"/>
      <c r="M330" s="68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68"/>
      <c r="J331" s="68"/>
      <c r="K331" s="68"/>
      <c r="L331" s="68"/>
      <c r="M331" s="68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68"/>
      <c r="J332" s="68"/>
      <c r="K332" s="68"/>
      <c r="L332" s="68"/>
      <c r="M332" s="68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68"/>
      <c r="J333" s="68"/>
      <c r="K333" s="68"/>
      <c r="L333" s="68"/>
      <c r="M333" s="68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68"/>
      <c r="J334" s="68"/>
      <c r="K334" s="68"/>
      <c r="L334" s="68"/>
      <c r="M334" s="68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68"/>
      <c r="J335" s="68"/>
      <c r="K335" s="68"/>
      <c r="L335" s="68"/>
      <c r="M335" s="68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68"/>
      <c r="J336" s="68"/>
      <c r="K336" s="68"/>
      <c r="L336" s="68"/>
      <c r="M336" s="68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68"/>
      <c r="J337" s="68"/>
      <c r="K337" s="68"/>
      <c r="L337" s="68"/>
      <c r="M337" s="68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68"/>
      <c r="J338" s="68"/>
      <c r="K338" s="68"/>
      <c r="L338" s="68"/>
      <c r="M338" s="68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68"/>
      <c r="J339" s="68"/>
      <c r="K339" s="68"/>
      <c r="L339" s="68"/>
      <c r="M339" s="68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68"/>
      <c r="J340" s="68"/>
      <c r="K340" s="68"/>
      <c r="L340" s="68"/>
      <c r="M340" s="68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68"/>
      <c r="J341" s="68"/>
      <c r="K341" s="68"/>
      <c r="L341" s="68"/>
      <c r="M341" s="68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68"/>
      <c r="J342" s="68"/>
      <c r="K342" s="68"/>
      <c r="L342" s="68"/>
      <c r="M342" s="68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68"/>
      <c r="J343" s="68"/>
      <c r="K343" s="68"/>
      <c r="L343" s="68"/>
      <c r="M343" s="68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68"/>
      <c r="J344" s="68"/>
      <c r="K344" s="68"/>
      <c r="L344" s="68"/>
      <c r="M344" s="68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68"/>
      <c r="J345" s="68"/>
      <c r="K345" s="68"/>
      <c r="L345" s="68"/>
      <c r="M345" s="68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68"/>
      <c r="J346" s="68"/>
      <c r="K346" s="68"/>
      <c r="L346" s="68"/>
      <c r="M346" s="68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68"/>
      <c r="J347" s="68"/>
      <c r="K347" s="68"/>
      <c r="L347" s="68"/>
      <c r="M347" s="68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68"/>
      <c r="J348" s="68"/>
      <c r="K348" s="68"/>
      <c r="L348" s="68"/>
      <c r="M348" s="68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68"/>
      <c r="J349" s="68"/>
      <c r="K349" s="68"/>
      <c r="L349" s="68"/>
      <c r="M349" s="68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68"/>
      <c r="J350" s="68"/>
      <c r="K350" s="68"/>
      <c r="L350" s="68"/>
      <c r="M350" s="68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68"/>
      <c r="J351" s="68"/>
      <c r="K351" s="68"/>
      <c r="L351" s="68"/>
      <c r="M351" s="68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68"/>
      <c r="J352" s="68"/>
      <c r="K352" s="68"/>
      <c r="L352" s="68"/>
      <c r="M352" s="68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68"/>
      <c r="J353" s="68"/>
      <c r="K353" s="68"/>
      <c r="L353" s="68"/>
      <c r="M353" s="68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68"/>
      <c r="J354" s="68"/>
      <c r="K354" s="68"/>
      <c r="L354" s="68"/>
      <c r="M354" s="68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68"/>
      <c r="J355" s="68"/>
      <c r="K355" s="68"/>
      <c r="L355" s="68"/>
      <c r="M355" s="68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68"/>
      <c r="J356" s="68"/>
      <c r="K356" s="68"/>
      <c r="L356" s="68"/>
      <c r="M356" s="68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O9" zoomScale="85" zoomScaleNormal="85" workbookViewId="0">
      <selection activeCell="T25" sqref="T25:V25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68"/>
      <c r="G1" s="68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4" t="s">
        <v>272</v>
      </c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6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199" customFormat="1" x14ac:dyDescent="0.3">
      <c r="A3" s="96"/>
      <c r="B3" s="96"/>
      <c r="C3" s="96"/>
      <c r="D3" s="96"/>
      <c r="E3" s="96"/>
      <c r="F3" s="177"/>
      <c r="G3" s="177"/>
      <c r="H3" s="178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/>
      <c r="AO3" s="96"/>
      <c r="AP3" s="96"/>
    </row>
    <row r="4" spans="1:42" s="199" customFormat="1" x14ac:dyDescent="0.3">
      <c r="A4" s="96"/>
      <c r="B4" s="96"/>
      <c r="C4" s="96"/>
      <c r="D4" s="96"/>
      <c r="E4" s="96"/>
      <c r="G4" s="177"/>
      <c r="H4" s="336" t="s">
        <v>315</v>
      </c>
      <c r="I4" s="336"/>
      <c r="K4" s="333" t="s">
        <v>253</v>
      </c>
      <c r="L4" s="334"/>
      <c r="M4" s="264">
        <v>4.4999999999999998E-2</v>
      </c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</row>
    <row r="5" spans="1:42" s="199" customFormat="1" x14ac:dyDescent="0.3">
      <c r="A5" s="96"/>
      <c r="B5" s="96"/>
      <c r="C5" s="96"/>
      <c r="D5" s="96"/>
      <c r="E5" s="96"/>
      <c r="G5" s="177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</row>
    <row r="6" spans="1:42" s="199" customFormat="1" ht="15" thickBot="1" x14ac:dyDescent="0.35">
      <c r="A6" s="96"/>
      <c r="B6" s="96"/>
      <c r="C6" s="96"/>
      <c r="D6" s="96"/>
      <c r="E6" s="96"/>
      <c r="F6" s="225"/>
      <c r="G6" s="177"/>
      <c r="H6" s="179"/>
      <c r="I6" s="179"/>
      <c r="J6" s="179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</row>
    <row r="7" spans="1:42" s="199" customFormat="1" ht="27.75" customHeight="1" thickBot="1" x14ac:dyDescent="0.55000000000000004">
      <c r="A7" s="271"/>
      <c r="B7" s="272"/>
      <c r="C7" s="272"/>
      <c r="D7" s="272"/>
      <c r="E7" s="273"/>
      <c r="F7" s="273" t="s">
        <v>192</v>
      </c>
      <c r="G7" s="274"/>
      <c r="H7" s="272"/>
      <c r="I7" s="272"/>
      <c r="J7" s="275"/>
      <c r="K7" s="269"/>
      <c r="L7" s="270"/>
      <c r="M7" s="270"/>
      <c r="N7" s="276" t="s">
        <v>191</v>
      </c>
      <c r="O7" s="276"/>
      <c r="P7" s="277"/>
      <c r="Q7" s="278"/>
      <c r="R7" s="325" t="s">
        <v>310</v>
      </c>
      <c r="S7" s="326"/>
      <c r="T7" s="326"/>
      <c r="U7" s="326"/>
      <c r="V7" s="327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</row>
    <row r="8" spans="1:42" x14ac:dyDescent="0.3">
      <c r="A8" s="25"/>
      <c r="C8" s="25"/>
      <c r="D8" s="25"/>
      <c r="E8" s="25"/>
      <c r="F8" s="217"/>
      <c r="G8" s="217"/>
      <c r="H8" s="5"/>
      <c r="I8" s="5"/>
      <c r="J8" s="210"/>
      <c r="K8" s="221"/>
      <c r="L8" s="25"/>
      <c r="M8" s="25"/>
      <c r="N8" s="25"/>
      <c r="O8" s="25"/>
      <c r="P8" s="25"/>
      <c r="Q8" s="261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56" t="s">
        <v>311</v>
      </c>
      <c r="C9" s="25"/>
      <c r="D9" s="25"/>
      <c r="E9" s="25"/>
      <c r="F9" s="257"/>
      <c r="G9" s="256" t="s">
        <v>314</v>
      </c>
      <c r="J9" s="210"/>
      <c r="K9" s="221"/>
      <c r="O9" s="25"/>
      <c r="P9" s="25"/>
      <c r="Q9" s="261"/>
      <c r="R9" s="25"/>
      <c r="S9" s="5"/>
      <c r="T9" s="182" t="s">
        <v>262</v>
      </c>
      <c r="U9" s="185" t="s">
        <v>249</v>
      </c>
      <c r="V9" s="182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56" t="s">
        <v>317</v>
      </c>
      <c r="C10" s="25"/>
      <c r="D10" s="25"/>
      <c r="E10" s="25"/>
      <c r="F10" s="257"/>
      <c r="G10" s="256" t="s">
        <v>316</v>
      </c>
      <c r="J10" s="210"/>
      <c r="K10" s="221"/>
      <c r="O10" s="25"/>
      <c r="P10" s="25"/>
      <c r="Q10" s="261"/>
      <c r="R10" s="25"/>
      <c r="S10" s="182" t="str">
        <f>B14</f>
        <v>Pin maritime</v>
      </c>
      <c r="T10" s="186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3051.0992638171542</v>
      </c>
      <c r="U10" s="187">
        <f>'Données projet'!D9</f>
        <v>1.4039759999999999</v>
      </c>
      <c r="V10" s="186">
        <f>U10*T10</f>
        <v>4283.6701400169522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56" t="s">
        <v>312</v>
      </c>
      <c r="B11" s="25"/>
      <c r="C11" s="25"/>
      <c r="D11" s="25"/>
      <c r="E11" s="25"/>
      <c r="F11" s="257"/>
      <c r="G11" s="256" t="s">
        <v>313</v>
      </c>
      <c r="J11" s="210"/>
      <c r="K11" s="221"/>
      <c r="M11" s="5"/>
      <c r="N11" s="5"/>
      <c r="O11" s="25"/>
      <c r="P11" s="25"/>
      <c r="Q11" s="261"/>
      <c r="R11" s="25"/>
      <c r="S11" s="182" t="str">
        <f>B45</f>
        <v>Chêne pubescent</v>
      </c>
      <c r="T11" s="26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705.5478114794895</v>
      </c>
      <c r="U11" s="187">
        <f>'Données projet'!D10</f>
        <v>1.1565540000000001</v>
      </c>
      <c r="V11" s="186">
        <f t="shared" ref="V11" si="0">U11*T11</f>
        <v>816.0041435578496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57"/>
      <c r="G12" s="1"/>
      <c r="J12" s="210"/>
      <c r="K12" s="221"/>
      <c r="L12" s="213"/>
      <c r="M12" s="25"/>
      <c r="N12" s="25"/>
      <c r="O12" s="25"/>
      <c r="P12" s="25"/>
      <c r="Q12" s="261"/>
      <c r="R12" s="25"/>
      <c r="S12" s="182" t="str">
        <f>B76</f>
        <v>Alisier torminal</v>
      </c>
      <c r="T12" s="26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705.5478114794895</v>
      </c>
      <c r="U12" s="187">
        <f>'Données projet'!D11</f>
        <v>1.145046</v>
      </c>
      <c r="V12" s="186">
        <f t="shared" ref="V12:V19" si="1">U12*T12</f>
        <v>807.88469934334353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57"/>
      <c r="J13" s="25"/>
      <c r="K13" s="221"/>
      <c r="L13" s="181" t="s">
        <v>257</v>
      </c>
      <c r="M13" s="25"/>
      <c r="N13" s="25"/>
      <c r="O13" s="25"/>
      <c r="P13" s="25"/>
      <c r="Q13" s="261"/>
      <c r="R13" s="25"/>
      <c r="S13" s="182" t="str">
        <f>B107</f>
        <v>Tilleul</v>
      </c>
      <c r="T13" s="26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725.19010074067182</v>
      </c>
      <c r="U13" s="187">
        <f>'Données projet'!D12</f>
        <v>0.51210599999999995</v>
      </c>
      <c r="V13" s="186">
        <f t="shared" si="1"/>
        <v>371.37420172990244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3" t="str">
        <f>IF('Données projet'!$B$9="","",'Données projet'!$B$9)</f>
        <v>Pin maritime</v>
      </c>
      <c r="C14" s="5"/>
      <c r="D14" s="5"/>
      <c r="E14" s="5"/>
      <c r="F14" s="257"/>
      <c r="G14" s="217"/>
      <c r="H14" s="182" t="s">
        <v>178</v>
      </c>
      <c r="I14" s="182" t="s">
        <v>290</v>
      </c>
      <c r="J14" s="211"/>
      <c r="K14" s="180"/>
      <c r="L14" s="213"/>
      <c r="M14" s="25"/>
      <c r="N14" s="25"/>
      <c r="O14" s="5"/>
      <c r="P14" s="5"/>
      <c r="Q14" s="262"/>
      <c r="R14" s="5"/>
      <c r="S14" s="182" t="str">
        <f>B138</f>
        <v>Chêne rouge d'Amérique</v>
      </c>
      <c r="T14" s="26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1231.9476251683818</v>
      </c>
      <c r="U14" s="187">
        <f>'Données projet'!D13</f>
        <v>0.51785999999999999</v>
      </c>
      <c r="V14" s="186">
        <f t="shared" si="1"/>
        <v>637.9763971696982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57"/>
      <c r="G15" s="337" t="s">
        <v>318</v>
      </c>
      <c r="H15" s="200">
        <v>0</v>
      </c>
      <c r="I15" s="201">
        <v>0</v>
      </c>
      <c r="J15" s="212"/>
      <c r="K15" s="221"/>
      <c r="L15" s="213"/>
      <c r="M15" s="25"/>
      <c r="N15" s="25"/>
      <c r="O15" s="25"/>
      <c r="P15" s="25"/>
      <c r="Q15" s="261"/>
      <c r="R15" s="25"/>
      <c r="S15" s="182" t="str">
        <f>B169</f>
        <v>Chêne sessile</v>
      </c>
      <c r="T15" s="26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705.5478114794895</v>
      </c>
      <c r="U15" s="187">
        <f>'Données projet'!D14</f>
        <v>0.40278000000000003</v>
      </c>
      <c r="V15" s="186">
        <f t="shared" si="1"/>
        <v>284.18054750770881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3" t="s">
        <v>180</v>
      </c>
      <c r="B16" s="51" t="s">
        <v>256</v>
      </c>
      <c r="C16" s="51" t="s">
        <v>255</v>
      </c>
      <c r="D16" s="253" t="s">
        <v>252</v>
      </c>
      <c r="E16" s="253" t="s">
        <v>320</v>
      </c>
      <c r="F16" s="257"/>
      <c r="G16" s="337"/>
      <c r="H16" s="200"/>
      <c r="I16" s="201"/>
      <c r="J16" s="212"/>
      <c r="K16" s="221"/>
      <c r="L16" s="333" t="s">
        <v>254</v>
      </c>
      <c r="M16" s="334"/>
      <c r="N16" s="2">
        <v>100</v>
      </c>
      <c r="O16" s="25"/>
      <c r="P16" s="25"/>
      <c r="Q16" s="261"/>
      <c r="R16" s="25"/>
      <c r="S16" s="182" t="str">
        <f>B200</f>
        <v>Pin laricio</v>
      </c>
      <c r="T16" s="26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2070.6373384122871</v>
      </c>
      <c r="U16" s="187">
        <f>'Données projet'!D15</f>
        <v>0.25892999999999999</v>
      </c>
      <c r="V16" s="186">
        <f t="shared" si="1"/>
        <v>536.15012603509354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06">
        <v>0</v>
      </c>
      <c r="B17" s="209" t="s">
        <v>132</v>
      </c>
      <c r="C17" s="208" t="s">
        <v>132</v>
      </c>
      <c r="D17" s="207" t="s">
        <v>132</v>
      </c>
      <c r="E17" s="203"/>
      <c r="F17" s="257"/>
      <c r="G17" s="337"/>
      <c r="J17" s="212"/>
      <c r="K17" s="221"/>
      <c r="L17" s="291" t="s">
        <v>289</v>
      </c>
      <c r="M17" s="293"/>
      <c r="N17" s="184">
        <f>VLOOKUP(N16,Calculateur!$A$2:$H$153,3,0)/VLOOKUP('Scénario référence'!$G$15,Paramètres!A1:I89,3,0)/VLOOKUP('Scénario référence'!$G$15,Paramètres!A1:I89,5,0)</f>
        <v>99.999999999999915</v>
      </c>
      <c r="O17" s="25"/>
      <c r="P17" s="25"/>
      <c r="Q17" s="261"/>
      <c r="R17" s="25"/>
      <c r="S17" s="182" t="str">
        <f>B231</f>
        <v>Pin de Salzmann</v>
      </c>
      <c r="T17" s="26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905.30850148966942</v>
      </c>
      <c r="U17" s="187">
        <f>'Données projet'!D16</f>
        <v>0.24166799999999999</v>
      </c>
      <c r="V17" s="186">
        <f t="shared" si="1"/>
        <v>218.78409493800544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06">
        <v>1</v>
      </c>
      <c r="B18" s="209" t="s">
        <v>132</v>
      </c>
      <c r="C18" s="208" t="s">
        <v>132</v>
      </c>
      <c r="D18" s="207" t="s">
        <v>132</v>
      </c>
      <c r="E18" s="203"/>
      <c r="F18" s="257"/>
      <c r="G18" s="337"/>
      <c r="J18" s="212"/>
      <c r="K18" s="221"/>
      <c r="L18" s="291" t="s">
        <v>255</v>
      </c>
      <c r="M18" s="293"/>
      <c r="N18" s="202">
        <v>20</v>
      </c>
      <c r="O18" s="25"/>
      <c r="P18" s="25"/>
      <c r="Q18" s="261"/>
      <c r="R18" s="25"/>
      <c r="S18" s="182" t="str">
        <f>B262</f>
        <v>Séquoia toujours vert</v>
      </c>
      <c r="T18" s="26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3017.4070665838449</v>
      </c>
      <c r="U18" s="187">
        <f>'Données projet'!D17</f>
        <v>5.1785999999999992E-2</v>
      </c>
      <c r="V18" s="186">
        <f t="shared" si="1"/>
        <v>156.25944235011096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06">
        <v>2</v>
      </c>
      <c r="B19" s="209" t="s">
        <v>132</v>
      </c>
      <c r="C19" s="208" t="s">
        <v>132</v>
      </c>
      <c r="D19" s="207" t="s">
        <v>132</v>
      </c>
      <c r="E19" s="203"/>
      <c r="F19" s="257"/>
      <c r="G19" s="337"/>
      <c r="H19" s="228" t="s">
        <v>178</v>
      </c>
      <c r="I19" s="228" t="s">
        <v>287</v>
      </c>
      <c r="J19" s="256"/>
      <c r="K19" s="180"/>
      <c r="L19" s="333" t="s">
        <v>288</v>
      </c>
      <c r="M19" s="334"/>
      <c r="N19" s="188">
        <f>N17*N18</f>
        <v>1999.9999999999982</v>
      </c>
      <c r="O19" s="25"/>
      <c r="P19" s="5"/>
      <c r="Q19" s="262"/>
      <c r="R19" s="5"/>
      <c r="S19" s="182" t="str">
        <f>B293</f>
        <v/>
      </c>
      <c r="T19" s="26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7">
        <f>'Données projet'!D18</f>
        <v>0</v>
      </c>
      <c r="V19" s="186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06">
        <v>3</v>
      </c>
      <c r="B20" s="209" t="s">
        <v>132</v>
      </c>
      <c r="C20" s="208" t="s">
        <v>132</v>
      </c>
      <c r="D20" s="207" t="s">
        <v>132</v>
      </c>
      <c r="E20" s="203"/>
      <c r="F20" s="257"/>
      <c r="G20" s="337"/>
      <c r="H20" s="200">
        <v>0</v>
      </c>
      <c r="I20" s="201">
        <v>16421</v>
      </c>
      <c r="J20" s="5"/>
      <c r="K20" s="180"/>
      <c r="O20" s="25"/>
      <c r="P20" s="5"/>
      <c r="Q20" s="262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06">
        <v>4</v>
      </c>
      <c r="B21" s="209" t="s">
        <v>132</v>
      </c>
      <c r="C21" s="208" t="s">
        <v>132</v>
      </c>
      <c r="D21" s="207" t="s">
        <v>132</v>
      </c>
      <c r="E21" s="203"/>
      <c r="F21" s="257"/>
      <c r="H21" s="200"/>
      <c r="I21" s="201"/>
      <c r="K21" s="180"/>
      <c r="O21" s="25"/>
      <c r="P21" s="5"/>
      <c r="Q21" s="262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06">
        <v>5</v>
      </c>
      <c r="B22" s="209" t="s">
        <v>132</v>
      </c>
      <c r="C22" s="208" t="s">
        <v>132</v>
      </c>
      <c r="D22" s="207" t="s">
        <v>132</v>
      </c>
      <c r="E22" s="203"/>
      <c r="F22" s="257"/>
      <c r="H22" s="200"/>
      <c r="I22" s="201"/>
      <c r="K22" s="180"/>
      <c r="O22" s="25"/>
      <c r="P22" s="5"/>
      <c r="Q22" s="262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89">
        <f>'Données projet'!A36</f>
        <v>17</v>
      </c>
      <c r="B23" s="190">
        <f>'Données projet'!D36</f>
        <v>40.76</v>
      </c>
      <c r="C23" s="203">
        <v>10</v>
      </c>
      <c r="D23" s="191">
        <f>B23*C23</f>
        <v>407.59999999999997</v>
      </c>
      <c r="E23" s="203"/>
      <c r="F23" s="257"/>
      <c r="H23" s="200"/>
      <c r="I23" s="201"/>
      <c r="K23" s="221"/>
      <c r="L23" s="335" t="s">
        <v>260</v>
      </c>
      <c r="M23" s="335"/>
      <c r="N23" s="335"/>
      <c r="O23" s="25"/>
      <c r="P23" s="25"/>
      <c r="Q23" s="261"/>
      <c r="R23" s="25"/>
      <c r="S23" s="182" t="s">
        <v>264</v>
      </c>
      <c r="T23" s="33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-86374.150207351326</v>
      </c>
      <c r="U23" s="330"/>
      <c r="V23" s="33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89">
        <f>'Données projet'!A37</f>
        <v>23</v>
      </c>
      <c r="B24" s="190">
        <f>'Données projet'!D37</f>
        <v>57.75</v>
      </c>
      <c r="C24" s="203">
        <v>15</v>
      </c>
      <c r="D24" s="191">
        <f t="shared" ref="D24:D42" si="2">B24*C24</f>
        <v>866.25</v>
      </c>
      <c r="E24" s="203"/>
      <c r="F24" s="260"/>
      <c r="H24" s="200"/>
      <c r="I24" s="201"/>
      <c r="K24" s="221"/>
      <c r="O24" s="25"/>
      <c r="P24" s="25"/>
      <c r="Q24" s="261"/>
      <c r="R24" s="25"/>
      <c r="S24" s="182" t="s">
        <v>261</v>
      </c>
      <c r="T24" s="331">
        <f ca="1">'Scénario référence'!$B$8*$M$30*'Données projet'!$C$5+('Scénario référence'!B9+'Scénario référence'!B10+'Scénario référence'!F8+'Scénario référence'!F9)*$N$19/(1+M4)^N16*'Données projet'!$C$5</f>
        <v>141.04925886121211</v>
      </c>
      <c r="U24" s="331"/>
      <c r="V24" s="33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89">
        <f>'Données projet'!A38</f>
        <v>29</v>
      </c>
      <c r="B25" s="190">
        <f>'Données projet'!D38</f>
        <v>54.64</v>
      </c>
      <c r="C25" s="203">
        <v>20</v>
      </c>
      <c r="D25" s="191">
        <f t="shared" si="2"/>
        <v>1092.8</v>
      </c>
      <c r="E25" s="203"/>
      <c r="F25" s="260"/>
      <c r="G25" s="1"/>
      <c r="H25" s="200"/>
      <c r="I25" s="201"/>
      <c r="K25" s="221"/>
      <c r="L25" s="267" t="s">
        <v>285</v>
      </c>
      <c r="M25" s="267"/>
      <c r="N25" s="267"/>
      <c r="O25" s="267"/>
      <c r="P25" s="202"/>
      <c r="Q25" s="261"/>
      <c r="R25" s="25"/>
      <c r="S25" s="195" t="s">
        <v>266</v>
      </c>
      <c r="T25" s="332">
        <f ca="1">T23-T24</f>
        <v>-86515.199466212536</v>
      </c>
      <c r="U25" s="332"/>
      <c r="V25" s="33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89">
        <f>'Données projet'!A39</f>
        <v>36</v>
      </c>
      <c r="B26" s="190">
        <f>'Données projet'!D39</f>
        <v>76.069999999999993</v>
      </c>
      <c r="C26" s="203">
        <v>25</v>
      </c>
      <c r="D26" s="191">
        <f t="shared" si="2"/>
        <v>1901.7499999999998</v>
      </c>
      <c r="E26" s="203"/>
      <c r="F26" s="260"/>
      <c r="G26" s="255"/>
      <c r="H26" s="200"/>
      <c r="I26" s="201"/>
      <c r="K26" s="221"/>
      <c r="L26" s="319" t="s">
        <v>258</v>
      </c>
      <c r="M26" s="320"/>
      <c r="N26" s="320"/>
      <c r="O26" s="320"/>
      <c r="P26" s="321"/>
      <c r="Q26" s="261"/>
      <c r="R26" s="25"/>
      <c r="S26" s="195" t="s">
        <v>265</v>
      </c>
      <c r="T26" s="329" t="str">
        <f ca="1">IF(T25&lt;0,"Votre projet est additionnel","Votre projet n'est pas additionnel")</f>
        <v>Votre projet est additionnel</v>
      </c>
      <c r="U26" s="329"/>
      <c r="V26" s="32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89">
        <f>'Données projet'!A40</f>
        <v>44</v>
      </c>
      <c r="B27" s="190">
        <f>'Données projet'!D40</f>
        <v>77.91</v>
      </c>
      <c r="C27" s="203">
        <v>30</v>
      </c>
      <c r="D27" s="191">
        <f t="shared" si="2"/>
        <v>2337.2999999999997</v>
      </c>
      <c r="E27" s="203"/>
      <c r="F27" s="260"/>
      <c r="G27" s="255"/>
      <c r="H27" s="200"/>
      <c r="I27" s="201"/>
      <c r="K27" s="221"/>
      <c r="L27" s="322"/>
      <c r="M27" s="323"/>
      <c r="N27" s="323"/>
      <c r="O27" s="323"/>
      <c r="P27" s="324"/>
      <c r="Q27" s="261"/>
      <c r="R27" s="25"/>
      <c r="S27" s="328" t="s">
        <v>267</v>
      </c>
      <c r="T27" s="328"/>
      <c r="U27" s="328"/>
      <c r="V27" s="32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89">
        <f>'Données projet'!A41</f>
        <v>52</v>
      </c>
      <c r="B28" s="190">
        <f>'Données projet'!D41</f>
        <v>75.37</v>
      </c>
      <c r="C28" s="203">
        <v>35</v>
      </c>
      <c r="D28" s="191">
        <f t="shared" si="2"/>
        <v>2637.9500000000003</v>
      </c>
      <c r="E28" s="203"/>
      <c r="F28" s="260"/>
      <c r="G28" s="218"/>
      <c r="H28" s="200"/>
      <c r="I28" s="201"/>
      <c r="K28" s="221"/>
      <c r="Q28" s="261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89">
        <f>'Données projet'!A42</f>
        <v>60</v>
      </c>
      <c r="B29" s="190">
        <f>'Données projet'!D42</f>
        <v>436.34</v>
      </c>
      <c r="C29" s="203">
        <v>40</v>
      </c>
      <c r="D29" s="191">
        <f t="shared" si="2"/>
        <v>17453.599999999999</v>
      </c>
      <c r="E29" s="203"/>
      <c r="F29" s="260"/>
      <c r="G29" s="214"/>
      <c r="H29" s="200"/>
      <c r="I29" s="201"/>
      <c r="K29" s="221"/>
      <c r="O29" s="25"/>
      <c r="P29" s="25"/>
      <c r="Q29" s="261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89">
        <f>'Données projet'!A43</f>
        <v>0</v>
      </c>
      <c r="B30" s="190">
        <f>'Données projet'!D43</f>
        <v>0</v>
      </c>
      <c r="C30" s="203">
        <v>0</v>
      </c>
      <c r="D30" s="191">
        <f t="shared" si="2"/>
        <v>0</v>
      </c>
      <c r="E30" s="203"/>
      <c r="F30" s="260"/>
      <c r="G30" s="214"/>
      <c r="H30" s="200"/>
      <c r="I30" s="201"/>
      <c r="K30" s="192"/>
      <c r="L30" s="182" t="s">
        <v>259</v>
      </c>
      <c r="M30" s="193">
        <f ca="1">SUM(OFFSET($P$33,0,0,MIN('Données projet'!$E$9:$E$18)+1,1))</f>
        <v>0</v>
      </c>
      <c r="O30" s="5"/>
      <c r="P30" s="5"/>
      <c r="Q30" s="262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89">
        <f>'Données projet'!A44</f>
        <v>0</v>
      </c>
      <c r="B31" s="190">
        <f>'Données projet'!D44</f>
        <v>0</v>
      </c>
      <c r="C31" s="203">
        <v>0</v>
      </c>
      <c r="D31" s="191">
        <f t="shared" si="2"/>
        <v>0</v>
      </c>
      <c r="E31" s="203"/>
      <c r="F31" s="260"/>
      <c r="G31" s="214"/>
      <c r="H31" s="200"/>
      <c r="I31" s="201"/>
      <c r="K31" s="180"/>
      <c r="Q31" s="261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89">
        <f>'Données projet'!A45</f>
        <v>0</v>
      </c>
      <c r="B32" s="190">
        <f>'Données projet'!D45</f>
        <v>0</v>
      </c>
      <c r="C32" s="203">
        <v>0</v>
      </c>
      <c r="D32" s="191">
        <f t="shared" si="2"/>
        <v>0</v>
      </c>
      <c r="E32" s="203"/>
      <c r="F32" s="260"/>
      <c r="G32" s="214"/>
      <c r="H32" s="200"/>
      <c r="I32" s="201"/>
      <c r="K32" s="180"/>
      <c r="N32" s="5"/>
      <c r="O32" s="266" t="s">
        <v>178</v>
      </c>
      <c r="P32" s="266" t="s">
        <v>252</v>
      </c>
      <c r="Q32" s="261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89">
        <f>'Données projet'!A46</f>
        <v>0</v>
      </c>
      <c r="B33" s="190">
        <f>'Données projet'!D46</f>
        <v>0</v>
      </c>
      <c r="C33" s="203">
        <v>0</v>
      </c>
      <c r="D33" s="191">
        <f>B33*C33</f>
        <v>0</v>
      </c>
      <c r="E33" s="203"/>
      <c r="F33" s="260"/>
      <c r="G33" s="214"/>
      <c r="H33" s="200"/>
      <c r="I33" s="201"/>
      <c r="K33" s="180"/>
      <c r="L33" s="5"/>
      <c r="M33" s="5"/>
      <c r="N33" s="5"/>
      <c r="O33" s="204">
        <v>0</v>
      </c>
      <c r="P33" s="194">
        <f t="shared" ref="P33:P64" si="3">$P$25/(1+$M$4)^O33</f>
        <v>0</v>
      </c>
      <c r="Q33" s="261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89">
        <f>'Données projet'!A47</f>
        <v>0</v>
      </c>
      <c r="B34" s="190">
        <f>'Données projet'!D47</f>
        <v>0</v>
      </c>
      <c r="C34" s="203">
        <v>0</v>
      </c>
      <c r="D34" s="191">
        <f>B34*C34</f>
        <v>0</v>
      </c>
      <c r="E34" s="203"/>
      <c r="F34" s="260"/>
      <c r="G34" s="214"/>
      <c r="H34" s="200"/>
      <c r="I34" s="201"/>
      <c r="K34" s="180"/>
      <c r="L34" s="280"/>
      <c r="M34" s="280"/>
      <c r="N34" s="281"/>
      <c r="O34" s="204">
        <f>IF(O33+1&lt;=MIN('Données projet'!$E$9:$E$18),O33+1,"STOP")</f>
        <v>1</v>
      </c>
      <c r="P34" s="194">
        <f t="shared" si="3"/>
        <v>0</v>
      </c>
      <c r="Q34" s="261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89">
        <f>'Données projet'!A48</f>
        <v>0</v>
      </c>
      <c r="B35" s="190">
        <f>'Données projet'!D48</f>
        <v>0</v>
      </c>
      <c r="C35" s="203">
        <v>0</v>
      </c>
      <c r="D35" s="191">
        <f t="shared" si="2"/>
        <v>0</v>
      </c>
      <c r="E35" s="203"/>
      <c r="F35" s="260"/>
      <c r="G35" s="214"/>
      <c r="H35" s="200"/>
      <c r="I35" s="201"/>
      <c r="K35" s="180"/>
      <c r="L35" s="280"/>
      <c r="M35" s="280"/>
      <c r="N35" s="281"/>
      <c r="O35" s="204">
        <f>IF(O34+1&lt;=MIN('Données projet'!$E$9:$E$18),O34+1,"STOP")</f>
        <v>2</v>
      </c>
      <c r="P35" s="194">
        <f t="shared" si="3"/>
        <v>0</v>
      </c>
      <c r="Q35" s="261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89">
        <f>'Données projet'!A49</f>
        <v>0</v>
      </c>
      <c r="B36" s="190">
        <f>'Données projet'!D49</f>
        <v>0</v>
      </c>
      <c r="C36" s="203">
        <v>0</v>
      </c>
      <c r="D36" s="191">
        <f t="shared" si="2"/>
        <v>0</v>
      </c>
      <c r="E36" s="203"/>
      <c r="F36" s="260"/>
      <c r="G36" s="214"/>
      <c r="H36" s="200"/>
      <c r="I36" s="201"/>
      <c r="K36" s="180"/>
      <c r="L36" s="25"/>
      <c r="M36" s="25"/>
      <c r="N36" s="25"/>
      <c r="O36" s="204">
        <f>IF(O35+1&lt;=MIN('Données projet'!$E$9:$E$18),O35+1,"STOP")</f>
        <v>3</v>
      </c>
      <c r="P36" s="194">
        <f t="shared" si="3"/>
        <v>0</v>
      </c>
      <c r="Q36" s="261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89">
        <f>'Données projet'!A50</f>
        <v>0</v>
      </c>
      <c r="B37" s="190">
        <f>'Données projet'!D50</f>
        <v>0</v>
      </c>
      <c r="C37" s="203">
        <v>0</v>
      </c>
      <c r="D37" s="191">
        <f t="shared" si="2"/>
        <v>0</v>
      </c>
      <c r="E37" s="203"/>
      <c r="F37" s="260"/>
      <c r="G37" s="214"/>
      <c r="H37" s="200"/>
      <c r="I37" s="201"/>
      <c r="K37" s="180"/>
      <c r="L37" s="25"/>
      <c r="M37" s="25"/>
      <c r="N37" s="25"/>
      <c r="O37" s="204">
        <f>IF(O36+1&lt;=MIN('Données projet'!$E$9:$E$18),O36+1,"STOP")</f>
        <v>4</v>
      </c>
      <c r="P37" s="194">
        <f t="shared" si="3"/>
        <v>0</v>
      </c>
      <c r="Q37" s="261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89">
        <f>'Données projet'!A51</f>
        <v>0</v>
      </c>
      <c r="B38" s="190">
        <f>'Données projet'!D51</f>
        <v>0</v>
      </c>
      <c r="C38" s="203">
        <v>0</v>
      </c>
      <c r="D38" s="191">
        <f t="shared" si="2"/>
        <v>0</v>
      </c>
      <c r="E38" s="203"/>
      <c r="F38" s="260"/>
      <c r="G38" s="214"/>
      <c r="H38" s="200"/>
      <c r="I38" s="201"/>
      <c r="K38" s="180"/>
      <c r="L38" s="25"/>
      <c r="M38" s="25"/>
      <c r="N38" s="25"/>
      <c r="O38" s="204">
        <f>IF(O37+1&lt;=MIN('Données projet'!$E$9:$E$18),O37+1,"STOP")</f>
        <v>5</v>
      </c>
      <c r="P38" s="194">
        <f t="shared" si="3"/>
        <v>0</v>
      </c>
      <c r="Q38" s="261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89">
        <f>'Données projet'!A52</f>
        <v>0</v>
      </c>
      <c r="B39" s="190">
        <f>'Données projet'!D52</f>
        <v>0</v>
      </c>
      <c r="C39" s="203">
        <v>0</v>
      </c>
      <c r="D39" s="191">
        <f t="shared" si="2"/>
        <v>0</v>
      </c>
      <c r="E39" s="203"/>
      <c r="F39" s="260"/>
      <c r="G39" s="214"/>
      <c r="H39" s="200"/>
      <c r="I39" s="201"/>
      <c r="K39" s="221"/>
      <c r="L39" s="25"/>
      <c r="M39" s="25"/>
      <c r="N39" s="25"/>
      <c r="O39" s="204">
        <f>IF(O38+1&lt;=MIN('Données projet'!$E$9:$E$18),O38+1,"STOP")</f>
        <v>6</v>
      </c>
      <c r="P39" s="194">
        <f t="shared" si="3"/>
        <v>0</v>
      </c>
      <c r="Q39" s="261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89">
        <f>'Données projet'!A53</f>
        <v>0</v>
      </c>
      <c r="B40" s="190">
        <f>'Données projet'!D53</f>
        <v>0</v>
      </c>
      <c r="C40" s="203">
        <v>0</v>
      </c>
      <c r="D40" s="191">
        <f t="shared" si="2"/>
        <v>0</v>
      </c>
      <c r="E40" s="203"/>
      <c r="F40" s="260"/>
      <c r="G40" s="214"/>
      <c r="H40" s="200"/>
      <c r="I40" s="201"/>
      <c r="K40" s="221"/>
      <c r="L40" s="25"/>
      <c r="M40" s="25"/>
      <c r="N40" s="25"/>
      <c r="O40" s="204">
        <f>IF(O39+1&lt;=MIN('Données projet'!$E$9:$E$18),O39+1,"STOP")</f>
        <v>7</v>
      </c>
      <c r="P40" s="194">
        <f t="shared" si="3"/>
        <v>0</v>
      </c>
      <c r="Q40" s="261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89">
        <f>'Données projet'!A54</f>
        <v>0</v>
      </c>
      <c r="B41" s="190">
        <f>'Données projet'!D54</f>
        <v>0</v>
      </c>
      <c r="C41" s="203">
        <v>0</v>
      </c>
      <c r="D41" s="191">
        <f t="shared" si="2"/>
        <v>0</v>
      </c>
      <c r="E41" s="203"/>
      <c r="F41" s="260"/>
      <c r="G41" s="214"/>
      <c r="H41" s="200"/>
      <c r="I41" s="201"/>
      <c r="K41" s="221"/>
      <c r="L41" s="25"/>
      <c r="M41" s="25"/>
      <c r="N41" s="25"/>
      <c r="O41" s="204">
        <f>IF(O40+1&lt;=MIN('Données projet'!$E$9:$E$18),O40+1,"STOP")</f>
        <v>8</v>
      </c>
      <c r="P41" s="194">
        <f t="shared" si="3"/>
        <v>0</v>
      </c>
      <c r="Q41" s="261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89">
        <f>'Données projet'!A55</f>
        <v>0</v>
      </c>
      <c r="B42" s="190">
        <f>'Données projet'!D55</f>
        <v>0</v>
      </c>
      <c r="C42" s="203">
        <v>0</v>
      </c>
      <c r="D42" s="191">
        <f t="shared" si="2"/>
        <v>0</v>
      </c>
      <c r="E42" s="203"/>
      <c r="F42" s="260"/>
      <c r="G42" s="214"/>
      <c r="H42" s="200"/>
      <c r="I42" s="201"/>
      <c r="K42" s="221"/>
      <c r="L42" s="25"/>
      <c r="M42" s="25"/>
      <c r="N42" s="25"/>
      <c r="O42" s="204">
        <f>IF(O41+1&lt;=MIN('Données projet'!$E$9:$E$18),O41+1,"STOP")</f>
        <v>9</v>
      </c>
      <c r="P42" s="194">
        <f t="shared" si="3"/>
        <v>0</v>
      </c>
      <c r="Q42" s="261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6"/>
      <c r="B43" s="196"/>
      <c r="C43" s="196"/>
      <c r="D43" s="252"/>
      <c r="E43" s="252"/>
      <c r="F43" s="265"/>
      <c r="G43" s="214"/>
      <c r="H43" s="200"/>
      <c r="I43" s="201"/>
      <c r="K43" s="221"/>
      <c r="L43" s="25"/>
      <c r="M43" s="25"/>
      <c r="N43" s="25"/>
      <c r="O43" s="204">
        <f>IF(O42+1&lt;=MIN('Données projet'!$E$9:$E$18),O42+1,"STOP")</f>
        <v>10</v>
      </c>
      <c r="P43" s="194">
        <f t="shared" si="3"/>
        <v>0</v>
      </c>
      <c r="Q43" s="262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57"/>
      <c r="G44" s="214"/>
      <c r="H44" s="200"/>
      <c r="I44" s="201"/>
      <c r="K44" s="221"/>
      <c r="L44" s="25"/>
      <c r="M44" s="25"/>
      <c r="N44" s="25"/>
      <c r="O44" s="204">
        <f>IF(O43+1&lt;=MIN('Données projet'!$E$9:$E$18),O43+1,"STOP")</f>
        <v>11</v>
      </c>
      <c r="P44" s="194">
        <f t="shared" si="3"/>
        <v>0</v>
      </c>
      <c r="Q44" s="262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3" t="str">
        <f>IF('Données projet'!$B$10="","",'Données projet'!$B$10)</f>
        <v>Chêne pubescent</v>
      </c>
      <c r="C45" s="5"/>
      <c r="D45" s="5"/>
      <c r="E45" s="5"/>
      <c r="F45" s="257"/>
      <c r="G45" s="214"/>
      <c r="H45" s="200"/>
      <c r="I45" s="201"/>
      <c r="J45" s="25"/>
      <c r="K45" s="221"/>
      <c r="L45" s="25"/>
      <c r="M45" s="25"/>
      <c r="N45" s="25"/>
      <c r="O45" s="204">
        <f>IF(O44+1&lt;=MIN('Données projet'!$E$9:$E$18),O44+1,"STOP")</f>
        <v>12</v>
      </c>
      <c r="P45" s="194">
        <f t="shared" si="3"/>
        <v>0</v>
      </c>
      <c r="Q45" s="262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57"/>
      <c r="G46" s="214"/>
      <c r="H46" s="200"/>
      <c r="I46" s="201"/>
      <c r="J46" s="25"/>
      <c r="K46" s="221"/>
      <c r="L46" s="216"/>
      <c r="M46" s="216"/>
      <c r="N46" s="216"/>
      <c r="O46" s="204">
        <f>IF(O45+1&lt;=MIN('Données projet'!$E$9:$E$18),O45+1,"STOP")</f>
        <v>13</v>
      </c>
      <c r="P46" s="197">
        <f t="shared" si="3"/>
        <v>0</v>
      </c>
      <c r="Q46" s="262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3" t="s">
        <v>180</v>
      </c>
      <c r="B47" s="51" t="s">
        <v>256</v>
      </c>
      <c r="C47" s="51" t="s">
        <v>255</v>
      </c>
      <c r="D47" s="253" t="s">
        <v>252</v>
      </c>
      <c r="E47" s="253" t="s">
        <v>320</v>
      </c>
      <c r="F47" s="258"/>
      <c r="G47" s="214"/>
      <c r="H47" s="200"/>
      <c r="I47" s="201"/>
      <c r="J47" s="25"/>
      <c r="K47" s="221"/>
      <c r="L47" s="5"/>
      <c r="M47" s="5"/>
      <c r="N47" s="5"/>
      <c r="O47" s="204">
        <f>IF(O46+1&lt;=MIN('Données projet'!$E$9:$E$18),O46+1,"STOP")</f>
        <v>14</v>
      </c>
      <c r="P47" s="194">
        <f t="shared" si="3"/>
        <v>0</v>
      </c>
      <c r="Q47" s="262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06">
        <v>0</v>
      </c>
      <c r="B48" s="209" t="s">
        <v>132</v>
      </c>
      <c r="C48" s="208" t="s">
        <v>132</v>
      </c>
      <c r="D48" s="207" t="s">
        <v>132</v>
      </c>
      <c r="E48" s="203"/>
      <c r="F48" s="258"/>
      <c r="G48" s="214"/>
      <c r="H48" s="200"/>
      <c r="I48" s="201"/>
      <c r="J48" s="25"/>
      <c r="K48" s="221"/>
      <c r="L48" s="5"/>
      <c r="M48" s="5"/>
      <c r="N48" s="5"/>
      <c r="O48" s="204">
        <f>IF(O47+1&lt;=MIN('Données projet'!$E$9:$E$18),O47+1,"STOP")</f>
        <v>15</v>
      </c>
      <c r="P48" s="194">
        <f t="shared" si="3"/>
        <v>0</v>
      </c>
      <c r="Q48" s="262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5" customFormat="1" ht="17.25" customHeight="1" x14ac:dyDescent="0.3">
      <c r="A49" s="206">
        <v>1</v>
      </c>
      <c r="B49" s="209" t="s">
        <v>132</v>
      </c>
      <c r="C49" s="208" t="s">
        <v>132</v>
      </c>
      <c r="D49" s="207" t="s">
        <v>132</v>
      </c>
      <c r="E49" s="203"/>
      <c r="F49" s="258"/>
      <c r="G49" s="215"/>
      <c r="H49" s="200"/>
      <c r="I49" s="201"/>
      <c r="J49" s="216"/>
      <c r="K49" s="223"/>
      <c r="L49" s="5"/>
      <c r="M49" s="5"/>
      <c r="N49" s="5"/>
      <c r="O49" s="204">
        <f>IF(O48+1&lt;=MIN('Données projet'!$E$9:$E$18),O48+1,"STOP")</f>
        <v>16</v>
      </c>
      <c r="P49" s="194">
        <f t="shared" si="3"/>
        <v>0</v>
      </c>
      <c r="Q49" s="263"/>
      <c r="R49" s="196"/>
      <c r="S49" s="196"/>
      <c r="T49" s="196"/>
      <c r="U49" s="196"/>
      <c r="V49" s="196"/>
      <c r="W49" s="196"/>
      <c r="X49" s="196"/>
      <c r="Y49" s="196"/>
      <c r="Z49" s="196"/>
      <c r="AA49" s="196"/>
      <c r="AB49" s="196"/>
      <c r="AC49" s="196"/>
      <c r="AD49" s="196"/>
      <c r="AE49" s="196"/>
      <c r="AF49" s="196"/>
      <c r="AG49" s="196"/>
      <c r="AH49" s="196"/>
      <c r="AI49" s="196"/>
      <c r="AJ49" s="196"/>
      <c r="AK49" s="196"/>
      <c r="AL49" s="196"/>
      <c r="AM49" s="196"/>
      <c r="AN49" s="196"/>
      <c r="AO49" s="196"/>
      <c r="AP49" s="196"/>
      <c r="AQ49" s="196"/>
      <c r="AR49" s="196"/>
      <c r="AS49" s="196"/>
      <c r="AT49" s="196"/>
      <c r="AU49" s="196"/>
      <c r="AV49" s="196"/>
      <c r="AW49" s="196"/>
      <c r="AX49" s="196"/>
      <c r="AY49" s="196"/>
      <c r="AZ49" s="196"/>
      <c r="BA49" s="196"/>
      <c r="BB49" s="196"/>
      <c r="BC49" s="196"/>
      <c r="BD49" s="196"/>
    </row>
    <row r="50" spans="1:56" x14ac:dyDescent="0.3">
      <c r="A50" s="206">
        <v>2</v>
      </c>
      <c r="B50" s="209" t="s">
        <v>132</v>
      </c>
      <c r="C50" s="208" t="s">
        <v>132</v>
      </c>
      <c r="D50" s="207" t="s">
        <v>132</v>
      </c>
      <c r="E50" s="203"/>
      <c r="F50" s="258"/>
      <c r="G50" s="217"/>
      <c r="H50" s="200"/>
      <c r="I50" s="201"/>
      <c r="J50" s="25"/>
      <c r="K50" s="180"/>
      <c r="L50" s="5"/>
      <c r="M50" s="5"/>
      <c r="N50" s="5"/>
      <c r="O50" s="204">
        <f>IF(O49+1&lt;=MIN('Données projet'!$E$9:$E$18),O49+1,"STOP")</f>
        <v>17</v>
      </c>
      <c r="P50" s="194">
        <f t="shared" si="3"/>
        <v>0</v>
      </c>
      <c r="Q50" s="262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06">
        <v>3</v>
      </c>
      <c r="B51" s="209" t="s">
        <v>132</v>
      </c>
      <c r="C51" s="208" t="s">
        <v>132</v>
      </c>
      <c r="D51" s="207" t="s">
        <v>132</v>
      </c>
      <c r="E51" s="203"/>
      <c r="F51" s="258"/>
      <c r="G51" s="217"/>
      <c r="H51" s="200"/>
      <c r="I51" s="201"/>
      <c r="J51" s="25"/>
      <c r="K51" s="180"/>
      <c r="L51" s="5"/>
      <c r="M51" s="5"/>
      <c r="N51" s="5"/>
      <c r="O51" s="204">
        <f>IF(O50+1&lt;=MIN('Données projet'!$E$9:$E$18),O50+1,"STOP")</f>
        <v>18</v>
      </c>
      <c r="P51" s="194">
        <f t="shared" si="3"/>
        <v>0</v>
      </c>
      <c r="Q51" s="262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06">
        <v>4</v>
      </c>
      <c r="B52" s="209" t="s">
        <v>132</v>
      </c>
      <c r="C52" s="208" t="s">
        <v>132</v>
      </c>
      <c r="D52" s="207" t="s">
        <v>132</v>
      </c>
      <c r="E52" s="203"/>
      <c r="F52" s="258"/>
      <c r="G52" s="217"/>
      <c r="H52" s="200"/>
      <c r="I52" s="201"/>
      <c r="J52" s="25"/>
      <c r="K52" s="180"/>
      <c r="L52" s="5"/>
      <c r="M52" s="5"/>
      <c r="N52" s="5"/>
      <c r="O52" s="204">
        <f>IF(O51+1&lt;=MIN('Données projet'!$E$9:$E$18),O51+1,"STOP")</f>
        <v>19</v>
      </c>
      <c r="P52" s="194">
        <f t="shared" si="3"/>
        <v>0</v>
      </c>
      <c r="Q52" s="262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06">
        <v>5</v>
      </c>
      <c r="B53" s="209" t="s">
        <v>132</v>
      </c>
      <c r="C53" s="208" t="s">
        <v>132</v>
      </c>
      <c r="D53" s="207" t="s">
        <v>132</v>
      </c>
      <c r="E53" s="203"/>
      <c r="F53" s="258"/>
      <c r="G53" s="218"/>
      <c r="H53" s="200"/>
      <c r="I53" s="201"/>
      <c r="J53" s="25"/>
      <c r="K53" s="180"/>
      <c r="L53" s="5"/>
      <c r="M53" s="5"/>
      <c r="N53" s="5"/>
      <c r="O53" s="204">
        <f>IF(O52+1&lt;=MIN('Données projet'!$E$9:$E$18),O52+1,"STOP")</f>
        <v>20</v>
      </c>
      <c r="P53" s="194">
        <f t="shared" si="3"/>
        <v>0</v>
      </c>
      <c r="Q53" s="262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89">
        <f>'Données projet'!A62</f>
        <v>20</v>
      </c>
      <c r="B54" s="190">
        <f>'Données projet'!D62</f>
        <v>0</v>
      </c>
      <c r="C54" s="203">
        <v>0</v>
      </c>
      <c r="D54" s="188">
        <f>B54*C54</f>
        <v>0</v>
      </c>
      <c r="E54" s="203"/>
      <c r="F54" s="259"/>
      <c r="G54" s="218"/>
      <c r="H54" s="200"/>
      <c r="I54" s="201"/>
      <c r="J54" s="25"/>
      <c r="K54" s="180"/>
      <c r="L54" s="5"/>
      <c r="M54" s="5"/>
      <c r="N54" s="5"/>
      <c r="O54" s="204">
        <f>IF(O53+1&lt;=MIN('Données projet'!$E$9:$E$18),O53+1,"STOP")</f>
        <v>21</v>
      </c>
      <c r="P54" s="194">
        <f t="shared" si="3"/>
        <v>0</v>
      </c>
      <c r="Q54" s="262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89">
        <f>'Données projet'!A63</f>
        <v>25</v>
      </c>
      <c r="B55" s="190">
        <f>'Données projet'!D63</f>
        <v>0</v>
      </c>
      <c r="C55" s="203">
        <v>0</v>
      </c>
      <c r="D55" s="188">
        <f t="shared" ref="D55:D73" si="4">B55*C55</f>
        <v>0</v>
      </c>
      <c r="E55" s="203"/>
      <c r="F55" s="259"/>
      <c r="G55" s="218"/>
      <c r="H55" s="200"/>
      <c r="I55" s="201"/>
      <c r="J55" s="25"/>
      <c r="K55" s="180"/>
      <c r="L55" s="5"/>
      <c r="M55" s="5"/>
      <c r="N55" s="5"/>
      <c r="O55" s="204">
        <f>IF(O54+1&lt;=MIN('Données projet'!$E$9:$E$18),O54+1,"STOP")</f>
        <v>22</v>
      </c>
      <c r="P55" s="194">
        <f t="shared" si="3"/>
        <v>0</v>
      </c>
      <c r="Q55" s="262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89">
        <f>'Données projet'!A64</f>
        <v>30</v>
      </c>
      <c r="B56" s="190">
        <f>'Données projet'!D64</f>
        <v>29</v>
      </c>
      <c r="C56" s="201">
        <v>10</v>
      </c>
      <c r="D56" s="188">
        <f t="shared" si="4"/>
        <v>290</v>
      </c>
      <c r="E56" s="203"/>
      <c r="F56" s="259"/>
      <c r="G56" s="218"/>
      <c r="H56" s="200"/>
      <c r="I56" s="201"/>
      <c r="J56" s="25"/>
      <c r="K56" s="180"/>
      <c r="L56" s="5"/>
      <c r="M56" s="5"/>
      <c r="N56" s="5"/>
      <c r="O56" s="204">
        <f>IF(O55+1&lt;=MIN('Données projet'!$E$9:$E$18),O55+1,"STOP")</f>
        <v>23</v>
      </c>
      <c r="P56" s="194">
        <f t="shared" si="3"/>
        <v>0</v>
      </c>
      <c r="Q56" s="262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89">
        <f>'Données projet'!A65</f>
        <v>35</v>
      </c>
      <c r="B57" s="190">
        <f>'Données projet'!D65</f>
        <v>0</v>
      </c>
      <c r="C57" s="201">
        <v>0</v>
      </c>
      <c r="D57" s="188">
        <f t="shared" si="4"/>
        <v>0</v>
      </c>
      <c r="E57" s="203"/>
      <c r="F57" s="259"/>
      <c r="G57" s="218"/>
      <c r="H57" s="200"/>
      <c r="I57" s="201"/>
      <c r="J57" s="25"/>
      <c r="K57" s="180"/>
      <c r="L57" s="5"/>
      <c r="M57" s="5"/>
      <c r="N57" s="5"/>
      <c r="O57" s="204">
        <f>IF(O56+1&lt;=MIN('Données projet'!$E$9:$E$18),O56+1,"STOP")</f>
        <v>24</v>
      </c>
      <c r="P57" s="194">
        <f t="shared" si="3"/>
        <v>0</v>
      </c>
      <c r="Q57" s="262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89">
        <f>'Données projet'!A66</f>
        <v>40</v>
      </c>
      <c r="B58" s="190">
        <f>'Données projet'!D66</f>
        <v>42</v>
      </c>
      <c r="C58" s="201">
        <v>10</v>
      </c>
      <c r="D58" s="188">
        <f t="shared" si="4"/>
        <v>420</v>
      </c>
      <c r="E58" s="203"/>
      <c r="F58" s="259"/>
      <c r="G58" s="218"/>
      <c r="H58" s="200"/>
      <c r="I58" s="201"/>
      <c r="J58" s="25"/>
      <c r="K58" s="180"/>
      <c r="L58" s="5"/>
      <c r="M58" s="5"/>
      <c r="N58" s="5"/>
      <c r="O58" s="204">
        <f>IF(O57+1&lt;=MIN('Données projet'!$E$9:$E$18),O57+1,"STOP")</f>
        <v>25</v>
      </c>
      <c r="P58" s="194">
        <f t="shared" si="3"/>
        <v>0</v>
      </c>
      <c r="Q58" s="262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89">
        <f>'Données projet'!A67</f>
        <v>45</v>
      </c>
      <c r="B59" s="190">
        <f>'Données projet'!D67</f>
        <v>0</v>
      </c>
      <c r="C59" s="201">
        <v>0</v>
      </c>
      <c r="D59" s="188">
        <f t="shared" si="4"/>
        <v>0</v>
      </c>
      <c r="E59" s="203"/>
      <c r="F59" s="259"/>
      <c r="G59" s="218"/>
      <c r="H59" s="200"/>
      <c r="I59" s="201"/>
      <c r="J59" s="25"/>
      <c r="K59" s="180"/>
      <c r="L59" s="5"/>
      <c r="M59" s="5"/>
      <c r="N59" s="5"/>
      <c r="O59" s="204">
        <f>IF(O58+1&lt;=MIN('Données projet'!$E$9:$E$18),O58+1,"STOP")</f>
        <v>26</v>
      </c>
      <c r="P59" s="194">
        <f t="shared" si="3"/>
        <v>0</v>
      </c>
      <c r="Q59" s="262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89">
        <f>'Données projet'!A68</f>
        <v>50</v>
      </c>
      <c r="B60" s="190">
        <f>'Données projet'!D68</f>
        <v>42</v>
      </c>
      <c r="C60" s="201">
        <v>15</v>
      </c>
      <c r="D60" s="188">
        <f t="shared" si="4"/>
        <v>630</v>
      </c>
      <c r="E60" s="203"/>
      <c r="F60" s="259"/>
      <c r="G60" s="219"/>
      <c r="H60" s="200"/>
      <c r="I60" s="201"/>
      <c r="J60" s="25"/>
      <c r="K60" s="180"/>
      <c r="L60" s="5"/>
      <c r="M60" s="5"/>
      <c r="N60" s="5"/>
      <c r="O60" s="204">
        <f>IF(O59+1&lt;=MIN('Données projet'!$E$9:$E$18),O59+1,"STOP")</f>
        <v>27</v>
      </c>
      <c r="P60" s="194">
        <f t="shared" si="3"/>
        <v>0</v>
      </c>
      <c r="Q60" s="262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89">
        <f>'Données projet'!A69</f>
        <v>55</v>
      </c>
      <c r="B61" s="190">
        <f>'Données projet'!D69</f>
        <v>0</v>
      </c>
      <c r="C61" s="201">
        <v>0</v>
      </c>
      <c r="D61" s="188">
        <f t="shared" si="4"/>
        <v>0</v>
      </c>
      <c r="E61" s="203"/>
      <c r="F61" s="259"/>
      <c r="G61" s="219"/>
      <c r="H61" s="200"/>
      <c r="I61" s="201"/>
      <c r="J61" s="25"/>
      <c r="K61" s="180"/>
      <c r="L61" s="5"/>
      <c r="M61" s="5"/>
      <c r="N61" s="5"/>
      <c r="O61" s="204">
        <f>IF(O60+1&lt;=MIN('Données projet'!$E$9:$E$18),O60+1,"STOP")</f>
        <v>28</v>
      </c>
      <c r="P61" s="194">
        <f t="shared" si="3"/>
        <v>0</v>
      </c>
      <c r="Q61" s="262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89">
        <f>'Données projet'!A70</f>
        <v>60</v>
      </c>
      <c r="B62" s="190">
        <f>'Données projet'!D70</f>
        <v>42</v>
      </c>
      <c r="C62" s="201">
        <v>20</v>
      </c>
      <c r="D62" s="188">
        <f t="shared" si="4"/>
        <v>840</v>
      </c>
      <c r="E62" s="203"/>
      <c r="F62" s="259"/>
      <c r="G62" s="219"/>
      <c r="H62" s="200"/>
      <c r="I62" s="201"/>
      <c r="J62" s="25"/>
      <c r="K62" s="180"/>
      <c r="L62" s="5"/>
      <c r="M62" s="5"/>
      <c r="N62" s="5"/>
      <c r="O62" s="204">
        <f>IF(O61+1&lt;=MIN('Données projet'!$E$9:$E$18),O61+1,"STOP")</f>
        <v>29</v>
      </c>
      <c r="P62" s="194">
        <f t="shared" si="3"/>
        <v>0</v>
      </c>
      <c r="Q62" s="262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89">
        <f>'Données projet'!A71</f>
        <v>65</v>
      </c>
      <c r="B63" s="190">
        <f>'Données projet'!D71</f>
        <v>0</v>
      </c>
      <c r="C63" s="201">
        <v>0</v>
      </c>
      <c r="D63" s="188">
        <f t="shared" si="4"/>
        <v>0</v>
      </c>
      <c r="E63" s="203"/>
      <c r="F63" s="259"/>
      <c r="G63" s="219"/>
      <c r="H63" s="200"/>
      <c r="I63" s="201"/>
      <c r="J63" s="25"/>
      <c r="K63" s="180"/>
      <c r="L63" s="5"/>
      <c r="M63" s="5"/>
      <c r="N63" s="5"/>
      <c r="O63" s="204">
        <f>IF(O62+1&lt;=MIN('Données projet'!$E$9:$E$18),O62+1,"STOP")</f>
        <v>30</v>
      </c>
      <c r="P63" s="194">
        <f t="shared" si="3"/>
        <v>0</v>
      </c>
      <c r="Q63" s="262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89">
        <f>'Données projet'!A72</f>
        <v>70</v>
      </c>
      <c r="B64" s="190">
        <f>'Données projet'!D72</f>
        <v>42</v>
      </c>
      <c r="C64" s="201">
        <v>40</v>
      </c>
      <c r="D64" s="188">
        <f t="shared" si="4"/>
        <v>1680</v>
      </c>
      <c r="E64" s="203"/>
      <c r="F64" s="259"/>
      <c r="G64" s="219"/>
      <c r="H64" s="200"/>
      <c r="I64" s="201"/>
      <c r="J64" s="220"/>
      <c r="K64" s="180"/>
      <c r="L64" s="5"/>
      <c r="M64" s="5"/>
      <c r="N64" s="5"/>
      <c r="O64" s="204">
        <f>IF(O63+1&lt;=MIN('Données projet'!$E$9:$E$18),O63+1,"STOP")</f>
        <v>31</v>
      </c>
      <c r="P64" s="194">
        <f t="shared" si="3"/>
        <v>0</v>
      </c>
      <c r="Q64" s="262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89">
        <f>'Données projet'!A73</f>
        <v>75</v>
      </c>
      <c r="B65" s="190">
        <f>'Données projet'!D73</f>
        <v>0</v>
      </c>
      <c r="C65" s="201">
        <v>0</v>
      </c>
      <c r="D65" s="188">
        <f t="shared" si="4"/>
        <v>0</v>
      </c>
      <c r="E65" s="203"/>
      <c r="F65" s="259"/>
      <c r="G65" s="219"/>
      <c r="H65" s="200"/>
      <c r="I65" s="201"/>
      <c r="J65" s="198"/>
      <c r="K65" s="180"/>
      <c r="L65" s="5"/>
      <c r="M65" s="5"/>
      <c r="N65" s="5"/>
      <c r="O65" s="204">
        <f>IF(O64+1&lt;=MIN('Données projet'!$E$9:$E$18),O64+1,"STOP")</f>
        <v>32</v>
      </c>
      <c r="P65" s="194">
        <f t="shared" ref="P65:P96" si="5">$P$25/(1+$M$4)^O65</f>
        <v>0</v>
      </c>
      <c r="Q65" s="262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89">
        <f>'Données projet'!A74</f>
        <v>80</v>
      </c>
      <c r="B66" s="190">
        <f>'Données projet'!D74</f>
        <v>42</v>
      </c>
      <c r="C66" s="201">
        <v>60</v>
      </c>
      <c r="D66" s="188">
        <f t="shared" si="4"/>
        <v>2520</v>
      </c>
      <c r="E66" s="203"/>
      <c r="F66" s="259"/>
      <c r="G66" s="219"/>
      <c r="H66" s="200"/>
      <c r="I66" s="201"/>
      <c r="J66" s="198"/>
      <c r="K66" s="180"/>
      <c r="L66" s="5"/>
      <c r="M66" s="5"/>
      <c r="N66" s="5"/>
      <c r="O66" s="204">
        <f>IF(O65+1&lt;=MIN('Données projet'!$E$9:$E$18),O65+1,"STOP")</f>
        <v>33</v>
      </c>
      <c r="P66" s="194">
        <f t="shared" si="5"/>
        <v>0</v>
      </c>
      <c r="Q66" s="262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89">
        <f>'Données projet'!A75</f>
        <v>90</v>
      </c>
      <c r="B67" s="190">
        <f>'Données projet'!D75</f>
        <v>42</v>
      </c>
      <c r="C67" s="201">
        <v>80</v>
      </c>
      <c r="D67" s="188">
        <f t="shared" si="4"/>
        <v>3360</v>
      </c>
      <c r="E67" s="203"/>
      <c r="F67" s="259"/>
      <c r="G67" s="219"/>
      <c r="H67" s="200"/>
      <c r="I67" s="201"/>
      <c r="J67" s="198"/>
      <c r="K67" s="180"/>
      <c r="L67" s="5"/>
      <c r="M67" s="5"/>
      <c r="N67" s="5"/>
      <c r="O67" s="204">
        <f>IF(O66+1&lt;=MIN('Données projet'!$E$9:$E$18),O66+1,"STOP")</f>
        <v>34</v>
      </c>
      <c r="P67" s="194">
        <f t="shared" si="5"/>
        <v>0</v>
      </c>
      <c r="Q67" s="262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89">
        <f>'Données projet'!A76</f>
        <v>100</v>
      </c>
      <c r="B68" s="190">
        <f>'Données projet'!D76</f>
        <v>42</v>
      </c>
      <c r="C68" s="201">
        <v>100</v>
      </c>
      <c r="D68" s="188">
        <f t="shared" si="4"/>
        <v>4200</v>
      </c>
      <c r="E68" s="203"/>
      <c r="F68" s="259"/>
      <c r="G68" s="219"/>
      <c r="H68" s="200"/>
      <c r="I68" s="201"/>
      <c r="J68" s="198"/>
      <c r="K68" s="180"/>
      <c r="L68" s="5"/>
      <c r="M68" s="5"/>
      <c r="N68" s="5"/>
      <c r="O68" s="204">
        <f>IF(O67+1&lt;=MIN('Données projet'!$E$9:$E$18),O67+1,"STOP")</f>
        <v>35</v>
      </c>
      <c r="P68" s="194">
        <f t="shared" si="5"/>
        <v>0</v>
      </c>
      <c r="Q68" s="262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89">
        <f>'Données projet'!A77</f>
        <v>110</v>
      </c>
      <c r="B69" s="190">
        <f>'Données projet'!D77</f>
        <v>39</v>
      </c>
      <c r="C69" s="201">
        <v>110</v>
      </c>
      <c r="D69" s="188">
        <f t="shared" si="4"/>
        <v>4290</v>
      </c>
      <c r="E69" s="203"/>
      <c r="F69" s="259"/>
      <c r="G69" s="219"/>
      <c r="H69" s="200"/>
      <c r="I69" s="201"/>
      <c r="J69" s="198"/>
      <c r="K69" s="180"/>
      <c r="L69" s="5"/>
      <c r="M69" s="5"/>
      <c r="N69" s="5"/>
      <c r="O69" s="204">
        <f>IF(O68+1&lt;=MIN('Données projet'!$E$9:$E$18),O68+1,"STOP")</f>
        <v>36</v>
      </c>
      <c r="P69" s="194">
        <f t="shared" si="5"/>
        <v>0</v>
      </c>
      <c r="Q69" s="262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89">
        <f>'Données projet'!A78</f>
        <v>120</v>
      </c>
      <c r="B70" s="190">
        <f>'Données projet'!D78</f>
        <v>35</v>
      </c>
      <c r="C70" s="201">
        <v>130</v>
      </c>
      <c r="D70" s="188">
        <f t="shared" si="4"/>
        <v>4550</v>
      </c>
      <c r="E70" s="203"/>
      <c r="F70" s="259"/>
      <c r="G70" s="219"/>
      <c r="H70" s="200"/>
      <c r="I70" s="201"/>
      <c r="J70" s="198"/>
      <c r="K70" s="180"/>
      <c r="L70" s="5"/>
      <c r="M70" s="5"/>
      <c r="N70" s="5"/>
      <c r="O70" s="204">
        <f>IF(O69+1&lt;=MIN('Données projet'!$E$9:$E$18),O69+1,"STOP")</f>
        <v>37</v>
      </c>
      <c r="P70" s="194">
        <f t="shared" si="5"/>
        <v>0</v>
      </c>
      <c r="Q70" s="262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89">
        <f>'Données projet'!A79</f>
        <v>130</v>
      </c>
      <c r="B71" s="190">
        <f>'Données projet'!D79</f>
        <v>31</v>
      </c>
      <c r="C71" s="201">
        <v>140</v>
      </c>
      <c r="D71" s="188">
        <f t="shared" si="4"/>
        <v>4340</v>
      </c>
      <c r="E71" s="203"/>
      <c r="F71" s="259"/>
      <c r="G71" s="219"/>
      <c r="H71" s="200"/>
      <c r="I71" s="201"/>
      <c r="J71" s="198"/>
      <c r="K71" s="180"/>
      <c r="L71" s="5"/>
      <c r="M71" s="5"/>
      <c r="N71" s="5"/>
      <c r="O71" s="204">
        <f>IF(O70+1&lt;=MIN('Données projet'!$E$9:$E$18),O70+1,"STOP")</f>
        <v>38</v>
      </c>
      <c r="P71" s="194">
        <f t="shared" si="5"/>
        <v>0</v>
      </c>
      <c r="Q71" s="262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89">
        <f>'Données projet'!A80</f>
        <v>140</v>
      </c>
      <c r="B72" s="190">
        <f>'Données projet'!D80</f>
        <v>27</v>
      </c>
      <c r="C72" s="201">
        <v>150</v>
      </c>
      <c r="D72" s="188">
        <f t="shared" si="4"/>
        <v>4050</v>
      </c>
      <c r="E72" s="203"/>
      <c r="F72" s="259"/>
      <c r="G72" s="219"/>
      <c r="H72" s="200"/>
      <c r="I72" s="201"/>
      <c r="J72" s="5"/>
      <c r="K72" s="180"/>
      <c r="L72" s="5"/>
      <c r="M72" s="5"/>
      <c r="N72" s="5"/>
      <c r="O72" s="204">
        <f>IF(O71+1&lt;=MIN('Données projet'!$E$9:$E$18),O71+1,"STOP")</f>
        <v>39</v>
      </c>
      <c r="P72" s="194">
        <f t="shared" si="5"/>
        <v>0</v>
      </c>
      <c r="Q72" s="262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89">
        <f>'Données projet'!A81</f>
        <v>150</v>
      </c>
      <c r="B73" s="190">
        <f>'Données projet'!D81</f>
        <v>293</v>
      </c>
      <c r="C73" s="201">
        <v>200</v>
      </c>
      <c r="D73" s="188">
        <f t="shared" si="4"/>
        <v>58600</v>
      </c>
      <c r="E73" s="203"/>
      <c r="F73" s="259"/>
      <c r="G73" s="219"/>
      <c r="H73" s="200"/>
      <c r="I73" s="201"/>
      <c r="J73" s="5"/>
      <c r="K73" s="180"/>
      <c r="L73" s="5"/>
      <c r="M73" s="5"/>
      <c r="N73" s="5"/>
      <c r="O73" s="204">
        <f>IF(O72+1&lt;=MIN('Données projet'!$E$9:$E$18),O72+1,"STOP")</f>
        <v>40</v>
      </c>
      <c r="P73" s="194">
        <f t="shared" si="5"/>
        <v>0</v>
      </c>
      <c r="Q73" s="262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57"/>
      <c r="G74" s="219"/>
      <c r="H74" s="200"/>
      <c r="I74" s="201"/>
      <c r="J74" s="5"/>
      <c r="K74" s="180"/>
      <c r="L74" s="5"/>
      <c r="M74" s="5"/>
      <c r="N74" s="5"/>
      <c r="O74" s="204">
        <f>IF(O73+1&lt;=MIN('Données projet'!$E$9:$E$18),O73+1,"STOP")</f>
        <v>41</v>
      </c>
      <c r="P74" s="194">
        <f t="shared" si="5"/>
        <v>0</v>
      </c>
      <c r="Q74" s="262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57"/>
      <c r="G75" s="219"/>
      <c r="H75" s="200"/>
      <c r="I75" s="201"/>
      <c r="J75" s="5"/>
      <c r="K75" s="180"/>
      <c r="L75" s="5"/>
      <c r="M75" s="5"/>
      <c r="N75" s="5"/>
      <c r="O75" s="204">
        <f>IF(O74+1&lt;=MIN('Données projet'!$E$9:$E$18),O74+1,"STOP")</f>
        <v>42</v>
      </c>
      <c r="P75" s="194">
        <f t="shared" si="5"/>
        <v>0</v>
      </c>
      <c r="Q75" s="262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3" t="str">
        <f>IF('Données projet'!B11="","",'Données projet'!B11)</f>
        <v>Alisier torminal</v>
      </c>
      <c r="C76" s="5"/>
      <c r="D76" s="5"/>
      <c r="E76" s="5"/>
      <c r="F76" s="257"/>
      <c r="G76" s="219"/>
      <c r="H76" s="200"/>
      <c r="I76" s="201"/>
      <c r="J76" s="5"/>
      <c r="K76" s="180"/>
      <c r="L76" s="5"/>
      <c r="M76" s="5"/>
      <c r="N76" s="5"/>
      <c r="O76" s="204">
        <f>IF(O75+1&lt;=MIN('Données projet'!$E$9:$E$18),O75+1,"STOP")</f>
        <v>43</v>
      </c>
      <c r="P76" s="194">
        <f t="shared" si="5"/>
        <v>0</v>
      </c>
      <c r="Q76" s="262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57"/>
      <c r="G77" s="219"/>
      <c r="H77" s="200"/>
      <c r="I77" s="201"/>
      <c r="J77" s="5"/>
      <c r="K77" s="180"/>
      <c r="L77" s="5"/>
      <c r="M77" s="5"/>
      <c r="N77" s="5"/>
      <c r="O77" s="204">
        <f>IF(O76+1&lt;=MIN('Données projet'!$E$9:$E$18),O76+1,"STOP")</f>
        <v>44</v>
      </c>
      <c r="P77" s="194">
        <f t="shared" si="5"/>
        <v>0</v>
      </c>
      <c r="Q77" s="262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3" t="s">
        <v>180</v>
      </c>
      <c r="B78" s="51" t="s">
        <v>256</v>
      </c>
      <c r="C78" s="51" t="s">
        <v>255</v>
      </c>
      <c r="D78" s="253" t="s">
        <v>252</v>
      </c>
      <c r="E78" s="253" t="s">
        <v>320</v>
      </c>
      <c r="F78" s="258"/>
      <c r="G78" s="219"/>
      <c r="H78" s="200"/>
      <c r="I78" s="201"/>
      <c r="J78" s="5"/>
      <c r="K78" s="180"/>
      <c r="L78" s="5"/>
      <c r="M78" s="5"/>
      <c r="N78" s="5"/>
      <c r="O78" s="204">
        <f>IF(O77+1&lt;=MIN('Données projet'!$E$9:$E$18),O77+1,"STOP")</f>
        <v>45</v>
      </c>
      <c r="P78" s="194">
        <f t="shared" si="5"/>
        <v>0</v>
      </c>
      <c r="Q78" s="262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06">
        <v>0</v>
      </c>
      <c r="B79" s="209" t="s">
        <v>132</v>
      </c>
      <c r="C79" s="208" t="s">
        <v>132</v>
      </c>
      <c r="D79" s="207" t="s">
        <v>132</v>
      </c>
      <c r="E79" s="203"/>
      <c r="F79" s="258"/>
      <c r="G79" s="219"/>
      <c r="H79" s="200"/>
      <c r="I79" s="201"/>
      <c r="J79" s="5"/>
      <c r="K79" s="180"/>
      <c r="L79" s="5"/>
      <c r="M79" s="5"/>
      <c r="N79" s="5"/>
      <c r="O79" s="204">
        <f>IF(O78+1&lt;=MIN('Données projet'!$E$9:$E$18),O78+1,"STOP")</f>
        <v>46</v>
      </c>
      <c r="P79" s="194">
        <f t="shared" si="5"/>
        <v>0</v>
      </c>
      <c r="Q79" s="262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06">
        <v>1</v>
      </c>
      <c r="B80" s="209" t="s">
        <v>132</v>
      </c>
      <c r="C80" s="208" t="s">
        <v>132</v>
      </c>
      <c r="D80" s="207" t="s">
        <v>132</v>
      </c>
      <c r="E80" s="203"/>
      <c r="F80" s="258"/>
      <c r="G80" s="217"/>
      <c r="H80" s="200"/>
      <c r="I80" s="201"/>
      <c r="J80" s="5"/>
      <c r="K80" s="180"/>
      <c r="L80" s="5"/>
      <c r="M80" s="5"/>
      <c r="N80" s="5"/>
      <c r="O80" s="204">
        <f>IF(O79+1&lt;=MIN('Données projet'!$E$9:$E$18),O79+1,"STOP")</f>
        <v>47</v>
      </c>
      <c r="P80" s="194">
        <f t="shared" si="5"/>
        <v>0</v>
      </c>
      <c r="Q80" s="262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06">
        <v>2</v>
      </c>
      <c r="B81" s="209" t="s">
        <v>132</v>
      </c>
      <c r="C81" s="208" t="s">
        <v>132</v>
      </c>
      <c r="D81" s="207" t="s">
        <v>132</v>
      </c>
      <c r="E81" s="203"/>
      <c r="F81" s="258"/>
      <c r="G81" s="217"/>
      <c r="H81" s="200"/>
      <c r="I81" s="201"/>
      <c r="J81" s="5"/>
      <c r="K81" s="180"/>
      <c r="L81" s="5"/>
      <c r="M81" s="5"/>
      <c r="N81" s="5"/>
      <c r="O81" s="204">
        <f>IF(O80+1&lt;=MIN('Données projet'!$E$9:$E$18),O80+1,"STOP")</f>
        <v>48</v>
      </c>
      <c r="P81" s="194">
        <f t="shared" si="5"/>
        <v>0</v>
      </c>
      <c r="Q81" s="262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06">
        <v>3</v>
      </c>
      <c r="B82" s="209" t="s">
        <v>132</v>
      </c>
      <c r="C82" s="208" t="s">
        <v>132</v>
      </c>
      <c r="D82" s="207" t="s">
        <v>132</v>
      </c>
      <c r="E82" s="203"/>
      <c r="F82" s="258"/>
      <c r="G82" s="217"/>
      <c r="H82" s="200"/>
      <c r="I82" s="201"/>
      <c r="J82" s="5"/>
      <c r="K82" s="180"/>
      <c r="L82" s="5"/>
      <c r="M82" s="5"/>
      <c r="N82" s="5"/>
      <c r="O82" s="204">
        <f>IF(O81+1&lt;=MIN('Données projet'!$E$9:$E$18),O81+1,"STOP")</f>
        <v>49</v>
      </c>
      <c r="P82" s="194">
        <f t="shared" si="5"/>
        <v>0</v>
      </c>
      <c r="Q82" s="262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06">
        <v>4</v>
      </c>
      <c r="B83" s="209" t="s">
        <v>132</v>
      </c>
      <c r="C83" s="208" t="s">
        <v>132</v>
      </c>
      <c r="D83" s="207" t="s">
        <v>132</v>
      </c>
      <c r="E83" s="203"/>
      <c r="F83" s="258"/>
      <c r="G83" s="217"/>
      <c r="H83" s="200"/>
      <c r="I83" s="201"/>
      <c r="J83" s="5"/>
      <c r="K83" s="180"/>
      <c r="L83" s="5"/>
      <c r="M83" s="5"/>
      <c r="N83" s="5"/>
      <c r="O83" s="204">
        <f>IF(O82+1&lt;=MIN('Données projet'!$E$9:$E$18),O82+1,"STOP")</f>
        <v>50</v>
      </c>
      <c r="P83" s="194">
        <f t="shared" si="5"/>
        <v>0</v>
      </c>
      <c r="Q83" s="262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06">
        <v>5</v>
      </c>
      <c r="B84" s="209" t="s">
        <v>132</v>
      </c>
      <c r="C84" s="208" t="s">
        <v>132</v>
      </c>
      <c r="D84" s="207" t="s">
        <v>132</v>
      </c>
      <c r="E84" s="203"/>
      <c r="F84" s="258"/>
      <c r="G84" s="218"/>
      <c r="H84" s="200"/>
      <c r="I84" s="201"/>
      <c r="J84" s="5"/>
      <c r="K84" s="180"/>
      <c r="L84" s="5"/>
      <c r="M84" s="5"/>
      <c r="N84" s="5"/>
      <c r="O84" s="204">
        <f>IF(O83+1&lt;=MIN('Données projet'!$E$9:$E$18),O83+1,"STOP")</f>
        <v>51</v>
      </c>
      <c r="P84" s="194">
        <f t="shared" si="5"/>
        <v>0</v>
      </c>
      <c r="Q84" s="262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89">
        <f>'Données projet'!A88</f>
        <v>20</v>
      </c>
      <c r="B85" s="190">
        <f>'Données projet'!D88</f>
        <v>0</v>
      </c>
      <c r="C85" s="203">
        <v>0</v>
      </c>
      <c r="D85" s="188">
        <f>B85*C85</f>
        <v>0</v>
      </c>
      <c r="E85" s="203"/>
      <c r="F85" s="259"/>
      <c r="G85" s="218"/>
      <c r="H85" s="200"/>
      <c r="I85" s="201"/>
      <c r="J85" s="5"/>
      <c r="K85" s="180"/>
      <c r="L85" s="5"/>
      <c r="M85" s="5"/>
      <c r="N85" s="5"/>
      <c r="O85" s="204">
        <f>IF(O84+1&lt;=MIN('Données projet'!$E$9:$E$18),O84+1,"STOP")</f>
        <v>52</v>
      </c>
      <c r="P85" s="194">
        <f t="shared" si="5"/>
        <v>0</v>
      </c>
      <c r="Q85" s="262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89">
        <f>'Données projet'!A89</f>
        <v>25</v>
      </c>
      <c r="B86" s="190">
        <f>'Données projet'!D89</f>
        <v>0</v>
      </c>
      <c r="C86" s="203">
        <v>0</v>
      </c>
      <c r="D86" s="188">
        <f t="shared" ref="D86:D104" si="6">B86*C86</f>
        <v>0</v>
      </c>
      <c r="E86" s="203"/>
      <c r="F86" s="259"/>
      <c r="G86" s="218"/>
      <c r="H86" s="200"/>
      <c r="I86" s="201"/>
      <c r="J86" s="5"/>
      <c r="K86" s="180"/>
      <c r="L86" s="5"/>
      <c r="M86" s="5"/>
      <c r="N86" s="5"/>
      <c r="O86" s="204">
        <f>IF(O85+1&lt;=MIN('Données projet'!$E$9:$E$18),O85+1,"STOP")</f>
        <v>53</v>
      </c>
      <c r="P86" s="194">
        <f t="shared" si="5"/>
        <v>0</v>
      </c>
      <c r="Q86" s="262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89">
        <f>'Données projet'!A90</f>
        <v>30</v>
      </c>
      <c r="B87" s="190">
        <f>'Données projet'!D90</f>
        <v>29</v>
      </c>
      <c r="C87" s="201">
        <v>10</v>
      </c>
      <c r="D87" s="188">
        <f t="shared" si="6"/>
        <v>290</v>
      </c>
      <c r="E87" s="203"/>
      <c r="F87" s="259"/>
      <c r="G87" s="218"/>
      <c r="H87" s="200"/>
      <c r="I87" s="201"/>
      <c r="J87" s="5"/>
      <c r="K87" s="180"/>
      <c r="L87" s="5"/>
      <c r="M87" s="5"/>
      <c r="N87" s="5"/>
      <c r="O87" s="204">
        <f>IF(O86+1&lt;=MIN('Données projet'!$E$9:$E$18),O86+1,"STOP")</f>
        <v>54</v>
      </c>
      <c r="P87" s="194">
        <f t="shared" si="5"/>
        <v>0</v>
      </c>
      <c r="Q87" s="262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89">
        <f>'Données projet'!A91</f>
        <v>35</v>
      </c>
      <c r="B88" s="190">
        <f>'Données projet'!D91</f>
        <v>0</v>
      </c>
      <c r="C88" s="201">
        <v>0</v>
      </c>
      <c r="D88" s="188">
        <f t="shared" si="6"/>
        <v>0</v>
      </c>
      <c r="E88" s="203"/>
      <c r="F88" s="259"/>
      <c r="G88" s="218"/>
      <c r="H88" s="200"/>
      <c r="I88" s="201"/>
      <c r="J88" s="5"/>
      <c r="K88" s="180"/>
      <c r="L88" s="5"/>
      <c r="M88" s="5"/>
      <c r="N88" s="5"/>
      <c r="O88" s="204">
        <f>IF(O87+1&lt;=MIN('Données projet'!$E$9:$E$18),O87+1,"STOP")</f>
        <v>55</v>
      </c>
      <c r="P88" s="194">
        <f t="shared" si="5"/>
        <v>0</v>
      </c>
      <c r="Q88" s="262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89">
        <f>'Données projet'!A92</f>
        <v>40</v>
      </c>
      <c r="B89" s="190">
        <f>'Données projet'!D92</f>
        <v>42</v>
      </c>
      <c r="C89" s="201">
        <v>10</v>
      </c>
      <c r="D89" s="188">
        <f t="shared" si="6"/>
        <v>420</v>
      </c>
      <c r="E89" s="203"/>
      <c r="F89" s="259"/>
      <c r="G89" s="218"/>
      <c r="H89" s="200"/>
      <c r="I89" s="201"/>
      <c r="J89" s="5"/>
      <c r="K89" s="180"/>
      <c r="L89" s="5"/>
      <c r="M89" s="5"/>
      <c r="N89" s="5"/>
      <c r="O89" s="204">
        <f>IF(O88+1&lt;=MIN('Données projet'!$E$9:$E$18),O88+1,"STOP")</f>
        <v>56</v>
      </c>
      <c r="P89" s="194">
        <f t="shared" si="5"/>
        <v>0</v>
      </c>
      <c r="Q89" s="262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89">
        <f>'Données projet'!A93</f>
        <v>45</v>
      </c>
      <c r="B90" s="190">
        <f>'Données projet'!D93</f>
        <v>0</v>
      </c>
      <c r="C90" s="201">
        <v>0</v>
      </c>
      <c r="D90" s="188">
        <f t="shared" si="6"/>
        <v>0</v>
      </c>
      <c r="E90" s="203"/>
      <c r="F90" s="259"/>
      <c r="G90" s="218"/>
      <c r="H90" s="200"/>
      <c r="I90" s="201"/>
      <c r="J90" s="5"/>
      <c r="K90" s="180"/>
      <c r="L90" s="5"/>
      <c r="M90" s="5"/>
      <c r="N90" s="5"/>
      <c r="O90" s="204">
        <f>IF(O89+1&lt;=MIN('Données projet'!$E$9:$E$18),O89+1,"STOP")</f>
        <v>57</v>
      </c>
      <c r="P90" s="194">
        <f t="shared" si="5"/>
        <v>0</v>
      </c>
      <c r="Q90" s="262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89">
        <f>'Données projet'!A94</f>
        <v>50</v>
      </c>
      <c r="B91" s="190">
        <f>'Données projet'!D94</f>
        <v>42</v>
      </c>
      <c r="C91" s="201">
        <v>15</v>
      </c>
      <c r="D91" s="188">
        <f t="shared" si="6"/>
        <v>630</v>
      </c>
      <c r="E91" s="203"/>
      <c r="F91" s="259"/>
      <c r="G91" s="219"/>
      <c r="H91" s="200"/>
      <c r="I91" s="201"/>
      <c r="J91" s="5"/>
      <c r="K91" s="180"/>
      <c r="L91" s="5"/>
      <c r="M91" s="5"/>
      <c r="N91" s="5"/>
      <c r="O91" s="204">
        <f>IF(O90+1&lt;=MIN('Données projet'!$E$9:$E$18),O90+1,"STOP")</f>
        <v>58</v>
      </c>
      <c r="P91" s="194">
        <f t="shared" si="5"/>
        <v>0</v>
      </c>
      <c r="Q91" s="262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89">
        <f>'Données projet'!A95</f>
        <v>55</v>
      </c>
      <c r="B92" s="190">
        <f>'Données projet'!D95</f>
        <v>0</v>
      </c>
      <c r="C92" s="201">
        <v>0</v>
      </c>
      <c r="D92" s="188">
        <f t="shared" si="6"/>
        <v>0</v>
      </c>
      <c r="E92" s="203"/>
      <c r="F92" s="259"/>
      <c r="G92" s="219"/>
      <c r="H92" s="200"/>
      <c r="I92" s="201"/>
      <c r="J92" s="5"/>
      <c r="K92" s="180"/>
      <c r="L92" s="5"/>
      <c r="M92" s="5"/>
      <c r="N92" s="5"/>
      <c r="O92" s="204">
        <f>IF(O91+1&lt;=MIN('Données projet'!$E$9:$E$18),O91+1,"STOP")</f>
        <v>59</v>
      </c>
      <c r="P92" s="194">
        <f t="shared" si="5"/>
        <v>0</v>
      </c>
      <c r="Q92" s="262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89">
        <f>'Données projet'!A96</f>
        <v>60</v>
      </c>
      <c r="B93" s="190">
        <f>'Données projet'!D96</f>
        <v>42</v>
      </c>
      <c r="C93" s="201">
        <v>20</v>
      </c>
      <c r="D93" s="188">
        <f t="shared" si="6"/>
        <v>840</v>
      </c>
      <c r="E93" s="203"/>
      <c r="F93" s="259"/>
      <c r="G93" s="219"/>
      <c r="H93" s="200"/>
      <c r="I93" s="201"/>
      <c r="J93" s="5"/>
      <c r="K93" s="180"/>
      <c r="L93" s="5"/>
      <c r="M93" s="5"/>
      <c r="N93" s="5"/>
      <c r="O93" s="204">
        <f>IF(O92+1&lt;=MIN('Données projet'!$E$9:$E$18),O92+1,"STOP")</f>
        <v>60</v>
      </c>
      <c r="P93" s="194">
        <f t="shared" si="5"/>
        <v>0</v>
      </c>
      <c r="Q93" s="262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89">
        <f>'Données projet'!A97</f>
        <v>65</v>
      </c>
      <c r="B94" s="190">
        <f>'Données projet'!D97</f>
        <v>0</v>
      </c>
      <c r="C94" s="201">
        <v>0</v>
      </c>
      <c r="D94" s="188">
        <f t="shared" si="6"/>
        <v>0</v>
      </c>
      <c r="E94" s="203"/>
      <c r="F94" s="259"/>
      <c r="G94" s="219"/>
      <c r="H94" s="200"/>
      <c r="I94" s="201"/>
      <c r="J94" s="5"/>
      <c r="K94" s="180"/>
      <c r="L94" s="5"/>
      <c r="M94" s="5"/>
      <c r="N94" s="5"/>
      <c r="O94" s="204" t="str">
        <f>IF(O93+1&lt;=MIN('Données projet'!$E$9:$E$18),O93+1,"STOP")</f>
        <v>STOP</v>
      </c>
      <c r="P94" s="194" t="e">
        <f t="shared" si="5"/>
        <v>#VALUE!</v>
      </c>
      <c r="Q94" s="262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89">
        <f>'Données projet'!A98</f>
        <v>70</v>
      </c>
      <c r="B95" s="190">
        <f>'Données projet'!D98</f>
        <v>42</v>
      </c>
      <c r="C95" s="201">
        <v>40</v>
      </c>
      <c r="D95" s="188">
        <f t="shared" si="6"/>
        <v>1680</v>
      </c>
      <c r="E95" s="203"/>
      <c r="F95" s="259"/>
      <c r="G95" s="219"/>
      <c r="H95" s="200"/>
      <c r="I95" s="201"/>
      <c r="J95" s="5"/>
      <c r="K95" s="180"/>
      <c r="L95" s="5"/>
      <c r="M95" s="5"/>
      <c r="N95" s="5"/>
      <c r="O95" s="204" t="e">
        <f>IF(O94+1&lt;=MIN('Données projet'!$E$9:$E$18),O94+1,"STOP")</f>
        <v>#VALUE!</v>
      </c>
      <c r="P95" s="194" t="e">
        <f t="shared" si="5"/>
        <v>#VALUE!</v>
      </c>
      <c r="Q95" s="262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89">
        <f>'Données projet'!A99</f>
        <v>75</v>
      </c>
      <c r="B96" s="190">
        <f>'Données projet'!D99</f>
        <v>0</v>
      </c>
      <c r="C96" s="201">
        <v>0</v>
      </c>
      <c r="D96" s="188">
        <f t="shared" si="6"/>
        <v>0</v>
      </c>
      <c r="E96" s="203"/>
      <c r="F96" s="259"/>
      <c r="G96" s="219"/>
      <c r="H96" s="200"/>
      <c r="I96" s="201"/>
      <c r="J96" s="5"/>
      <c r="K96" s="180"/>
      <c r="L96" s="5"/>
      <c r="M96" s="5"/>
      <c r="N96" s="5"/>
      <c r="O96" s="204" t="e">
        <f>IF(O95+1&lt;=MIN('Données projet'!$E$9:$E$18),O95+1,"STOP")</f>
        <v>#VALUE!</v>
      </c>
      <c r="P96" s="194" t="e">
        <f t="shared" si="5"/>
        <v>#VALUE!</v>
      </c>
      <c r="Q96" s="262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89">
        <f>'Données projet'!A100</f>
        <v>80</v>
      </c>
      <c r="B97" s="190">
        <f>'Données projet'!D100</f>
        <v>42</v>
      </c>
      <c r="C97" s="201">
        <v>60</v>
      </c>
      <c r="D97" s="188">
        <f t="shared" si="6"/>
        <v>2520</v>
      </c>
      <c r="E97" s="203"/>
      <c r="F97" s="259"/>
      <c r="G97" s="219"/>
      <c r="H97" s="200"/>
      <c r="I97" s="201"/>
      <c r="J97" s="5"/>
      <c r="K97" s="180"/>
      <c r="L97" s="5"/>
      <c r="M97" s="5"/>
      <c r="N97" s="5"/>
      <c r="O97" s="204" t="e">
        <f>IF(O96+1&lt;=MIN('Données projet'!$E$9:$E$18),O96+1,"STOP")</f>
        <v>#VALUE!</v>
      </c>
      <c r="P97" s="194" t="e">
        <f t="shared" ref="P97:P128" si="7">$P$25/(1+$M$4)^O97</f>
        <v>#VALUE!</v>
      </c>
      <c r="Q97" s="262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89">
        <f>'Données projet'!A101</f>
        <v>90</v>
      </c>
      <c r="B98" s="190">
        <f>'Données projet'!D101</f>
        <v>42</v>
      </c>
      <c r="C98" s="201">
        <v>80</v>
      </c>
      <c r="D98" s="188">
        <f t="shared" si="6"/>
        <v>3360</v>
      </c>
      <c r="E98" s="203"/>
      <c r="F98" s="259"/>
      <c r="G98" s="219"/>
      <c r="H98" s="200"/>
      <c r="I98" s="201"/>
      <c r="J98" s="5"/>
      <c r="K98" s="180"/>
      <c r="L98" s="5"/>
      <c r="M98" s="5"/>
      <c r="N98" s="5"/>
      <c r="O98" s="204" t="e">
        <f>IF(O97+1&lt;=MIN('Données projet'!$E$9:$E$18),O97+1,"STOP")</f>
        <v>#VALUE!</v>
      </c>
      <c r="P98" s="194" t="e">
        <f t="shared" si="7"/>
        <v>#VALUE!</v>
      </c>
      <c r="Q98" s="262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89">
        <f>'Données projet'!A102</f>
        <v>100</v>
      </c>
      <c r="B99" s="190">
        <f>'Données projet'!D102</f>
        <v>42</v>
      </c>
      <c r="C99" s="201">
        <v>100</v>
      </c>
      <c r="D99" s="188">
        <f t="shared" si="6"/>
        <v>4200</v>
      </c>
      <c r="E99" s="203"/>
      <c r="F99" s="259"/>
      <c r="G99" s="219"/>
      <c r="H99" s="200"/>
      <c r="I99" s="201"/>
      <c r="J99" s="5"/>
      <c r="K99" s="180"/>
      <c r="L99" s="5"/>
      <c r="M99" s="5"/>
      <c r="N99" s="5"/>
      <c r="O99" s="204" t="e">
        <f>IF(O98+1&lt;=MIN('Données projet'!$E$9:$E$18),O98+1,"STOP")</f>
        <v>#VALUE!</v>
      </c>
      <c r="P99" s="194" t="e">
        <f t="shared" si="7"/>
        <v>#VALUE!</v>
      </c>
      <c r="Q99" s="262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89">
        <f>'Données projet'!A103</f>
        <v>110</v>
      </c>
      <c r="B100" s="190">
        <f>'Données projet'!D103</f>
        <v>39</v>
      </c>
      <c r="C100" s="201">
        <v>110</v>
      </c>
      <c r="D100" s="188">
        <f t="shared" si="6"/>
        <v>4290</v>
      </c>
      <c r="E100" s="203"/>
      <c r="F100" s="259"/>
      <c r="G100" s="219"/>
      <c r="H100" s="200"/>
      <c r="I100" s="201"/>
      <c r="J100" s="5"/>
      <c r="K100" s="180"/>
      <c r="L100" s="5"/>
      <c r="M100" s="5"/>
      <c r="N100" s="5"/>
      <c r="O100" s="204" t="e">
        <f>IF(O99+1&lt;=MIN('Données projet'!$E$9:$E$18),O99+1,"STOP")</f>
        <v>#VALUE!</v>
      </c>
      <c r="P100" s="194" t="e">
        <f t="shared" si="7"/>
        <v>#VALUE!</v>
      </c>
      <c r="Q100" s="262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89">
        <f>'Données projet'!A104</f>
        <v>120</v>
      </c>
      <c r="B101" s="190">
        <f>'Données projet'!D104</f>
        <v>35</v>
      </c>
      <c r="C101" s="201">
        <v>130</v>
      </c>
      <c r="D101" s="188">
        <f t="shared" si="6"/>
        <v>4550</v>
      </c>
      <c r="E101" s="203"/>
      <c r="F101" s="259"/>
      <c r="G101" s="219"/>
      <c r="H101" s="200"/>
      <c r="I101" s="201"/>
      <c r="J101" s="5"/>
      <c r="K101" s="180"/>
      <c r="L101" s="5"/>
      <c r="M101" s="5"/>
      <c r="N101" s="5"/>
      <c r="O101" s="204" t="e">
        <f>IF(O100+1&lt;=MIN('Données projet'!$E$9:$E$18),O100+1,"STOP")</f>
        <v>#VALUE!</v>
      </c>
      <c r="P101" s="194" t="e">
        <f t="shared" si="7"/>
        <v>#VALUE!</v>
      </c>
      <c r="Q101" s="262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89">
        <f>'Données projet'!A105</f>
        <v>130</v>
      </c>
      <c r="B102" s="190">
        <f>'Données projet'!D105</f>
        <v>31</v>
      </c>
      <c r="C102" s="201">
        <v>140</v>
      </c>
      <c r="D102" s="188">
        <f t="shared" si="6"/>
        <v>4340</v>
      </c>
      <c r="E102" s="203"/>
      <c r="F102" s="259"/>
      <c r="G102" s="219"/>
      <c r="H102" s="200"/>
      <c r="I102" s="201"/>
      <c r="J102" s="5"/>
      <c r="K102" s="180"/>
      <c r="L102" s="5"/>
      <c r="M102" s="5"/>
      <c r="N102" s="5"/>
      <c r="O102" s="204" t="e">
        <f>IF(O101+1&lt;=MIN('Données projet'!$E$9:$E$18),O101+1,"STOP")</f>
        <v>#VALUE!</v>
      </c>
      <c r="P102" s="194" t="e">
        <f t="shared" si="7"/>
        <v>#VALUE!</v>
      </c>
      <c r="Q102" s="262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89">
        <f>'Données projet'!A106</f>
        <v>140</v>
      </c>
      <c r="B103" s="190">
        <f>'Données projet'!D106</f>
        <v>27</v>
      </c>
      <c r="C103" s="201">
        <v>150</v>
      </c>
      <c r="D103" s="188">
        <f t="shared" si="6"/>
        <v>4050</v>
      </c>
      <c r="E103" s="203"/>
      <c r="F103" s="259"/>
      <c r="G103" s="219"/>
      <c r="H103" s="200"/>
      <c r="I103" s="201"/>
      <c r="J103" s="5"/>
      <c r="K103" s="180"/>
      <c r="L103" s="5"/>
      <c r="M103" s="5"/>
      <c r="N103" s="5"/>
      <c r="O103" s="204" t="e">
        <f>IF(O102+1&lt;=MIN('Données projet'!$E$9:$E$18),O102+1,"STOP")</f>
        <v>#VALUE!</v>
      </c>
      <c r="P103" s="194" t="e">
        <f t="shared" si="7"/>
        <v>#VALUE!</v>
      </c>
      <c r="Q103" s="262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89">
        <f>'Données projet'!A107</f>
        <v>150</v>
      </c>
      <c r="B104" s="190">
        <f>'Données projet'!D107</f>
        <v>293</v>
      </c>
      <c r="C104" s="201">
        <v>200</v>
      </c>
      <c r="D104" s="188">
        <f t="shared" si="6"/>
        <v>58600</v>
      </c>
      <c r="E104" s="203"/>
      <c r="F104" s="259"/>
      <c r="G104" s="219"/>
      <c r="H104" s="200"/>
      <c r="I104" s="201"/>
      <c r="J104" s="5"/>
      <c r="K104" s="180"/>
      <c r="L104" s="5"/>
      <c r="M104" s="5"/>
      <c r="N104" s="5"/>
      <c r="O104" s="204" t="e">
        <f>IF(O103+1&lt;=MIN('Données projet'!$E$9:$E$18),O103+1,"STOP")</f>
        <v>#VALUE!</v>
      </c>
      <c r="P104" s="194" t="e">
        <f t="shared" si="7"/>
        <v>#VALUE!</v>
      </c>
      <c r="Q104" s="262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57"/>
      <c r="G105" s="219"/>
      <c r="H105" s="200"/>
      <c r="I105" s="201"/>
      <c r="J105" s="5"/>
      <c r="K105" s="180"/>
      <c r="L105" s="5"/>
      <c r="M105" s="5"/>
      <c r="N105" s="5"/>
      <c r="O105" s="204" t="e">
        <f>IF(O104+1&lt;=MIN('Données projet'!$E$9:$E$18),O104+1,"STOP")</f>
        <v>#VALUE!</v>
      </c>
      <c r="P105" s="194" t="e">
        <f t="shared" si="7"/>
        <v>#VALUE!</v>
      </c>
      <c r="Q105" s="262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57"/>
      <c r="G106" s="219"/>
      <c r="H106" s="200"/>
      <c r="I106" s="201"/>
      <c r="J106" s="5"/>
      <c r="K106" s="180"/>
      <c r="L106" s="5"/>
      <c r="M106" s="5"/>
      <c r="N106" s="5"/>
      <c r="O106" s="204" t="e">
        <f>IF(O105+1&lt;=MIN('Données projet'!$E$9:$E$18),O105+1,"STOP")</f>
        <v>#VALUE!</v>
      </c>
      <c r="P106" s="194" t="e">
        <f t="shared" si="7"/>
        <v>#VALUE!</v>
      </c>
      <c r="Q106" s="262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3" t="str">
        <f>IF('Données projet'!B12="","",'Données projet'!B12)</f>
        <v>Tilleul</v>
      </c>
      <c r="C107" s="5"/>
      <c r="D107" s="5"/>
      <c r="E107" s="5"/>
      <c r="F107" s="257"/>
      <c r="G107" s="219"/>
      <c r="H107" s="200"/>
      <c r="I107" s="201"/>
      <c r="J107" s="5"/>
      <c r="K107" s="180"/>
      <c r="L107" s="5"/>
      <c r="M107" s="5"/>
      <c r="N107" s="5"/>
      <c r="O107" s="204" t="e">
        <f>IF(O106+1&lt;=MIN('Données projet'!$E$9:$E$18),O106+1,"STOP")</f>
        <v>#VALUE!</v>
      </c>
      <c r="P107" s="194" t="e">
        <f t="shared" si="7"/>
        <v>#VALUE!</v>
      </c>
      <c r="Q107" s="262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57"/>
      <c r="G108" s="219"/>
      <c r="H108" s="200"/>
      <c r="I108" s="201"/>
      <c r="J108" s="5"/>
      <c r="K108" s="180"/>
      <c r="L108" s="5"/>
      <c r="M108" s="5"/>
      <c r="N108" s="5"/>
      <c r="O108" s="204" t="e">
        <f>IF(O107+1&lt;=MIN('Données projet'!$E$9:$E$18),O107+1,"STOP")</f>
        <v>#VALUE!</v>
      </c>
      <c r="P108" s="194" t="e">
        <f t="shared" si="7"/>
        <v>#VALUE!</v>
      </c>
      <c r="Q108" s="262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3" t="s">
        <v>180</v>
      </c>
      <c r="B109" s="51" t="s">
        <v>256</v>
      </c>
      <c r="C109" s="51" t="s">
        <v>255</v>
      </c>
      <c r="D109" s="253" t="s">
        <v>252</v>
      </c>
      <c r="E109" s="253" t="s">
        <v>320</v>
      </c>
      <c r="F109" s="258"/>
      <c r="G109" s="219"/>
      <c r="H109" s="200"/>
      <c r="I109" s="201"/>
      <c r="J109" s="5"/>
      <c r="K109" s="180"/>
      <c r="L109" s="5"/>
      <c r="M109" s="5"/>
      <c r="N109" s="5"/>
      <c r="O109" s="204" t="e">
        <f>IF(O108+1&lt;=MIN('Données projet'!$E$9:$E$18),O108+1,"STOP")</f>
        <v>#VALUE!</v>
      </c>
      <c r="P109" s="194" t="e">
        <f t="shared" si="7"/>
        <v>#VALUE!</v>
      </c>
      <c r="Q109" s="262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06">
        <v>0</v>
      </c>
      <c r="B110" s="209" t="s">
        <v>132</v>
      </c>
      <c r="C110" s="208" t="s">
        <v>132</v>
      </c>
      <c r="D110" s="207" t="s">
        <v>132</v>
      </c>
      <c r="E110" s="203"/>
      <c r="F110" s="258"/>
      <c r="G110" s="219"/>
      <c r="H110" s="200"/>
      <c r="I110" s="201"/>
      <c r="J110" s="5"/>
      <c r="K110" s="180"/>
      <c r="L110" s="5"/>
      <c r="M110" s="5"/>
      <c r="N110" s="5"/>
      <c r="O110" s="204" t="e">
        <f>IF(O109+1&lt;=MIN('Données projet'!$E$9:$E$18),O109+1,"STOP")</f>
        <v>#VALUE!</v>
      </c>
      <c r="P110" s="194" t="e">
        <f t="shared" si="7"/>
        <v>#VALUE!</v>
      </c>
      <c r="Q110" s="262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06">
        <v>1</v>
      </c>
      <c r="B111" s="209" t="s">
        <v>132</v>
      </c>
      <c r="C111" s="208" t="s">
        <v>132</v>
      </c>
      <c r="D111" s="207" t="s">
        <v>132</v>
      </c>
      <c r="E111" s="203"/>
      <c r="F111" s="258"/>
      <c r="G111" s="217"/>
      <c r="H111" s="200"/>
      <c r="I111" s="201"/>
      <c r="J111" s="5"/>
      <c r="K111" s="180"/>
      <c r="L111" s="5"/>
      <c r="M111" s="5"/>
      <c r="N111" s="5"/>
      <c r="O111" s="204" t="e">
        <f>IF(O110+1&lt;=MIN('Données projet'!$E$9:$E$18),O110+1,"STOP")</f>
        <v>#VALUE!</v>
      </c>
      <c r="P111" s="194" t="e">
        <f t="shared" si="7"/>
        <v>#VALUE!</v>
      </c>
      <c r="Q111" s="262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06">
        <v>2</v>
      </c>
      <c r="B112" s="209" t="s">
        <v>132</v>
      </c>
      <c r="C112" s="208" t="s">
        <v>132</v>
      </c>
      <c r="D112" s="207" t="s">
        <v>132</v>
      </c>
      <c r="E112" s="203"/>
      <c r="F112" s="258"/>
      <c r="G112" s="217"/>
      <c r="H112" s="200"/>
      <c r="I112" s="201"/>
      <c r="J112" s="5"/>
      <c r="K112" s="180"/>
      <c r="L112" s="5"/>
      <c r="M112" s="5"/>
      <c r="N112" s="5"/>
      <c r="O112" s="204" t="e">
        <f>IF(O111+1&lt;=MIN('Données projet'!$E$9:$E$18),O111+1,"STOP")</f>
        <v>#VALUE!</v>
      </c>
      <c r="P112" s="194" t="e">
        <f t="shared" si="7"/>
        <v>#VALUE!</v>
      </c>
      <c r="Q112" s="262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06">
        <v>3</v>
      </c>
      <c r="B113" s="209" t="s">
        <v>132</v>
      </c>
      <c r="C113" s="208" t="s">
        <v>132</v>
      </c>
      <c r="D113" s="207" t="s">
        <v>132</v>
      </c>
      <c r="E113" s="203"/>
      <c r="F113" s="258"/>
      <c r="G113" s="217"/>
      <c r="H113" s="200"/>
      <c r="I113" s="201"/>
      <c r="J113" s="5"/>
      <c r="K113" s="180"/>
      <c r="L113" s="5"/>
      <c r="M113" s="5"/>
      <c r="N113" s="5"/>
      <c r="O113" s="204" t="e">
        <f>IF(O112+1&lt;=MIN('Données projet'!$E$9:$E$18),O112+1,"STOP")</f>
        <v>#VALUE!</v>
      </c>
      <c r="P113" s="194" t="e">
        <f t="shared" si="7"/>
        <v>#VALUE!</v>
      </c>
      <c r="Q113" s="262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06">
        <v>4</v>
      </c>
      <c r="B114" s="209" t="s">
        <v>132</v>
      </c>
      <c r="C114" s="208" t="s">
        <v>132</v>
      </c>
      <c r="D114" s="207" t="s">
        <v>132</v>
      </c>
      <c r="E114" s="203"/>
      <c r="F114" s="258"/>
      <c r="G114" s="217"/>
      <c r="H114" s="200"/>
      <c r="I114" s="201"/>
      <c r="J114" s="5"/>
      <c r="K114" s="180"/>
      <c r="L114" s="5"/>
      <c r="M114" s="5"/>
      <c r="N114" s="5"/>
      <c r="O114" s="204" t="e">
        <f>IF(O113+1&lt;=MIN('Données projet'!$E$9:$E$18),O113+1,"STOP")</f>
        <v>#VALUE!</v>
      </c>
      <c r="P114" s="194" t="e">
        <f t="shared" si="7"/>
        <v>#VALUE!</v>
      </c>
      <c r="Q114" s="262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06">
        <v>5</v>
      </c>
      <c r="B115" s="209" t="s">
        <v>132</v>
      </c>
      <c r="C115" s="208" t="s">
        <v>132</v>
      </c>
      <c r="D115" s="207" t="s">
        <v>132</v>
      </c>
      <c r="E115" s="203"/>
      <c r="F115" s="258"/>
      <c r="G115" s="218"/>
      <c r="H115" s="200"/>
      <c r="I115" s="201"/>
      <c r="J115" s="5"/>
      <c r="K115" s="180"/>
      <c r="L115" s="5"/>
      <c r="M115" s="5"/>
      <c r="N115" s="5"/>
      <c r="O115" s="204" t="e">
        <f>IF(O114+1&lt;=MIN('Données projet'!$E$9:$E$18),O114+1,"STOP")</f>
        <v>#VALUE!</v>
      </c>
      <c r="P115" s="194" t="e">
        <f t="shared" si="7"/>
        <v>#VALUE!</v>
      </c>
      <c r="Q115" s="262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89">
        <f>'Données projet'!A114</f>
        <v>15</v>
      </c>
      <c r="B116" s="190">
        <f>'Données projet'!D114</f>
        <v>0</v>
      </c>
      <c r="C116" s="201">
        <v>0</v>
      </c>
      <c r="D116" s="188">
        <f>B116*C116</f>
        <v>0</v>
      </c>
      <c r="E116" s="203"/>
      <c r="F116" s="259"/>
      <c r="G116" s="218"/>
      <c r="H116" s="200"/>
      <c r="I116" s="201"/>
      <c r="J116" s="5"/>
      <c r="K116" s="180"/>
      <c r="L116" s="5"/>
      <c r="M116" s="5"/>
      <c r="N116" s="5"/>
      <c r="O116" s="204" t="e">
        <f>IF(O115+1&lt;=MIN('Données projet'!$E$9:$E$18),O115+1,"STOP")</f>
        <v>#VALUE!</v>
      </c>
      <c r="P116" s="194" t="e">
        <f t="shared" si="7"/>
        <v>#VALUE!</v>
      </c>
      <c r="Q116" s="262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89">
        <f>'Données projet'!A115</f>
        <v>20</v>
      </c>
      <c r="B117" s="190">
        <f>'Données projet'!D115</f>
        <v>24.358974358974358</v>
      </c>
      <c r="C117" s="203">
        <v>10</v>
      </c>
      <c r="D117" s="188">
        <f t="shared" ref="D117:D135" si="8">B117*C117</f>
        <v>243.58974358974359</v>
      </c>
      <c r="E117" s="203"/>
      <c r="F117" s="259"/>
      <c r="G117" s="218"/>
      <c r="H117" s="200"/>
      <c r="I117" s="201"/>
      <c r="J117" s="5"/>
      <c r="K117" s="180"/>
      <c r="L117" s="5"/>
      <c r="M117" s="5"/>
      <c r="N117" s="5"/>
      <c r="O117" s="204" t="e">
        <f>IF(O116+1&lt;=MIN('Données projet'!$E$9:$E$18),O116+1,"STOP")</f>
        <v>#VALUE!</v>
      </c>
      <c r="P117" s="194" t="e">
        <f t="shared" si="7"/>
        <v>#VALUE!</v>
      </c>
      <c r="Q117" s="262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89">
        <f>'Données projet'!A116</f>
        <v>25</v>
      </c>
      <c r="B118" s="190">
        <f>'Données projet'!D116</f>
        <v>0</v>
      </c>
      <c r="C118" s="203">
        <v>0</v>
      </c>
      <c r="D118" s="188">
        <f t="shared" si="8"/>
        <v>0</v>
      </c>
      <c r="E118" s="203"/>
      <c r="F118" s="259"/>
      <c r="G118" s="218"/>
      <c r="H118" s="200"/>
      <c r="I118" s="201"/>
      <c r="J118" s="5"/>
      <c r="K118" s="180"/>
      <c r="L118" s="5"/>
      <c r="M118" s="5"/>
      <c r="N118" s="5"/>
      <c r="O118" s="204" t="e">
        <f>IF(O117+1&lt;=MIN('Données projet'!$E$9:$E$18),O117+1,"STOP")</f>
        <v>#VALUE!</v>
      </c>
      <c r="P118" s="194" t="e">
        <f t="shared" si="7"/>
        <v>#VALUE!</v>
      </c>
      <c r="Q118" s="262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89">
        <f>'Données projet'!A117</f>
        <v>30</v>
      </c>
      <c r="B119" s="190">
        <f>'Données projet'!D117</f>
        <v>32.692307692307693</v>
      </c>
      <c r="C119" s="203">
        <v>10</v>
      </c>
      <c r="D119" s="188">
        <f t="shared" si="8"/>
        <v>326.92307692307691</v>
      </c>
      <c r="E119" s="203"/>
      <c r="F119" s="259"/>
      <c r="G119" s="218"/>
      <c r="H119" s="200"/>
      <c r="I119" s="201"/>
      <c r="J119" s="5"/>
      <c r="K119" s="180"/>
      <c r="L119" s="5"/>
      <c r="M119" s="5"/>
      <c r="N119" s="5"/>
      <c r="O119" s="204" t="e">
        <f>IF(O118+1&lt;=MIN('Données projet'!$E$9:$E$18),O118+1,"STOP")</f>
        <v>#VALUE!</v>
      </c>
      <c r="P119" s="194" t="e">
        <f t="shared" si="7"/>
        <v>#VALUE!</v>
      </c>
      <c r="Q119" s="262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89">
        <f>'Données projet'!A118</f>
        <v>35</v>
      </c>
      <c r="B120" s="190">
        <f>'Données projet'!D118</f>
        <v>0</v>
      </c>
      <c r="C120" s="203">
        <v>0</v>
      </c>
      <c r="D120" s="188">
        <f t="shared" si="8"/>
        <v>0</v>
      </c>
      <c r="E120" s="203"/>
      <c r="F120" s="259"/>
      <c r="G120" s="218"/>
      <c r="H120" s="200"/>
      <c r="I120" s="201"/>
      <c r="J120" s="5"/>
      <c r="K120" s="180"/>
      <c r="L120" s="5"/>
      <c r="M120" s="5"/>
      <c r="N120" s="5"/>
      <c r="O120" s="204" t="e">
        <f>IF(O119+1&lt;=MIN('Données projet'!$E$9:$E$18),O119+1,"STOP")</f>
        <v>#VALUE!</v>
      </c>
      <c r="P120" s="194" t="e">
        <f t="shared" si="7"/>
        <v>#VALUE!</v>
      </c>
      <c r="Q120" s="262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89">
        <f>'Données projet'!A119</f>
        <v>40</v>
      </c>
      <c r="B121" s="190">
        <f>'Données projet'!D119</f>
        <v>34.615384615384613</v>
      </c>
      <c r="C121" s="203">
        <v>15</v>
      </c>
      <c r="D121" s="188">
        <f t="shared" si="8"/>
        <v>519.23076923076917</v>
      </c>
      <c r="E121" s="203"/>
      <c r="F121" s="259"/>
      <c r="G121" s="218"/>
      <c r="H121" s="200"/>
      <c r="I121" s="201"/>
      <c r="J121" s="5"/>
      <c r="K121" s="180"/>
      <c r="L121" s="5"/>
      <c r="M121" s="5"/>
      <c r="N121" s="5"/>
      <c r="O121" s="204" t="e">
        <f>IF(O120+1&lt;=MIN('Données projet'!$E$9:$E$18),O120+1,"STOP")</f>
        <v>#VALUE!</v>
      </c>
      <c r="P121" s="194" t="e">
        <f t="shared" si="7"/>
        <v>#VALUE!</v>
      </c>
      <c r="Q121" s="262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89">
        <f>'Données projet'!A120</f>
        <v>45</v>
      </c>
      <c r="B122" s="190">
        <f>'Données projet'!D120</f>
        <v>0</v>
      </c>
      <c r="C122" s="203">
        <v>0</v>
      </c>
      <c r="D122" s="188">
        <f t="shared" si="8"/>
        <v>0</v>
      </c>
      <c r="E122" s="203"/>
      <c r="F122" s="259"/>
      <c r="G122" s="219"/>
      <c r="H122" s="200"/>
      <c r="I122" s="201"/>
      <c r="J122" s="5"/>
      <c r="K122" s="180"/>
      <c r="L122" s="5"/>
      <c r="M122" s="5"/>
      <c r="N122" s="5"/>
      <c r="O122" s="204" t="e">
        <f>IF(O121+1&lt;=MIN('Données projet'!$E$9:$E$18),O121+1,"STOP")</f>
        <v>#VALUE!</v>
      </c>
      <c r="P122" s="194" t="e">
        <f t="shared" si="7"/>
        <v>#VALUE!</v>
      </c>
      <c r="Q122" s="262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89">
        <f>'Données projet'!A121</f>
        <v>50</v>
      </c>
      <c r="B123" s="190">
        <f>'Données projet'!D121</f>
        <v>32.692307692307693</v>
      </c>
      <c r="C123" s="203">
        <v>20</v>
      </c>
      <c r="D123" s="188">
        <f t="shared" si="8"/>
        <v>653.84615384615381</v>
      </c>
      <c r="E123" s="203"/>
      <c r="F123" s="259"/>
      <c r="G123" s="219"/>
      <c r="H123" s="200"/>
      <c r="I123" s="201"/>
      <c r="J123" s="5"/>
      <c r="K123" s="180"/>
      <c r="L123" s="5"/>
      <c r="M123" s="5"/>
      <c r="N123" s="5"/>
      <c r="O123" s="204" t="e">
        <f>IF(O122+1&lt;=MIN('Données projet'!$E$9:$E$18),O122+1,"STOP")</f>
        <v>#VALUE!</v>
      </c>
      <c r="P123" s="194" t="e">
        <f t="shared" si="7"/>
        <v>#VALUE!</v>
      </c>
      <c r="Q123" s="262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89">
        <f>'Données projet'!A122</f>
        <v>55</v>
      </c>
      <c r="B124" s="190">
        <f>'Données projet'!D122</f>
        <v>0</v>
      </c>
      <c r="C124" s="203">
        <v>0</v>
      </c>
      <c r="D124" s="188">
        <f t="shared" si="8"/>
        <v>0</v>
      </c>
      <c r="E124" s="203"/>
      <c r="F124" s="259"/>
      <c r="G124" s="219"/>
      <c r="H124" s="200"/>
      <c r="I124" s="201"/>
      <c r="J124" s="5"/>
      <c r="K124" s="180"/>
      <c r="L124" s="5"/>
      <c r="M124" s="5"/>
      <c r="N124" s="5"/>
      <c r="O124" s="204" t="e">
        <f>IF(O123+1&lt;=MIN('Données projet'!$E$9:$E$18),O123+1,"STOP")</f>
        <v>#VALUE!</v>
      </c>
      <c r="P124" s="194" t="e">
        <f t="shared" si="7"/>
        <v>#VALUE!</v>
      </c>
      <c r="Q124" s="262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89">
        <f>'Données projet'!A123</f>
        <v>60</v>
      </c>
      <c r="B125" s="190">
        <f>'Données projet'!D123</f>
        <v>30.128205128205128</v>
      </c>
      <c r="C125" s="203">
        <v>30</v>
      </c>
      <c r="D125" s="188">
        <f t="shared" si="8"/>
        <v>903.84615384615381</v>
      </c>
      <c r="E125" s="203"/>
      <c r="F125" s="259"/>
      <c r="G125" s="219"/>
      <c r="H125" s="200"/>
      <c r="I125" s="201"/>
      <c r="J125" s="5"/>
      <c r="K125" s="180"/>
      <c r="L125" s="5"/>
      <c r="M125" s="5"/>
      <c r="N125" s="5"/>
      <c r="O125" s="204" t="e">
        <f>IF(O124+1&lt;=MIN('Données projet'!$E$9:$E$18),O124+1,"STOP")</f>
        <v>#VALUE!</v>
      </c>
      <c r="P125" s="194" t="e">
        <f t="shared" si="7"/>
        <v>#VALUE!</v>
      </c>
      <c r="Q125" s="262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89">
        <f>'Données projet'!A124</f>
        <v>65</v>
      </c>
      <c r="B126" s="190">
        <f>'Données projet'!D124</f>
        <v>0</v>
      </c>
      <c r="C126" s="203">
        <v>0</v>
      </c>
      <c r="D126" s="188">
        <f t="shared" si="8"/>
        <v>0</v>
      </c>
      <c r="E126" s="203"/>
      <c r="F126" s="259"/>
      <c r="G126" s="219"/>
      <c r="H126" s="200"/>
      <c r="I126" s="201"/>
      <c r="J126" s="5"/>
      <c r="K126" s="180"/>
      <c r="L126" s="5"/>
      <c r="M126" s="5"/>
      <c r="N126" s="5"/>
      <c r="O126" s="204" t="e">
        <f>IF(O125+1&lt;=MIN('Données projet'!$E$9:$E$18),O125+1,"STOP")</f>
        <v>#VALUE!</v>
      </c>
      <c r="P126" s="194" t="e">
        <f t="shared" si="7"/>
        <v>#VALUE!</v>
      </c>
      <c r="Q126" s="262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89">
        <f>'Données projet'!A125</f>
        <v>70</v>
      </c>
      <c r="B127" s="190">
        <f>'Données projet'!D125</f>
        <v>27.564102564102562</v>
      </c>
      <c r="C127" s="203">
        <v>40</v>
      </c>
      <c r="D127" s="188">
        <f t="shared" si="8"/>
        <v>1102.5641025641025</v>
      </c>
      <c r="E127" s="203"/>
      <c r="F127" s="259"/>
      <c r="G127" s="219"/>
      <c r="H127" s="200"/>
      <c r="I127" s="201"/>
      <c r="J127" s="5"/>
      <c r="K127" s="180"/>
      <c r="L127" s="5"/>
      <c r="M127" s="5"/>
      <c r="N127" s="5"/>
      <c r="O127" s="204" t="e">
        <f>IF(O126+1&lt;=MIN('Données projet'!$E$9:$E$18),O126+1,"STOP")</f>
        <v>#VALUE!</v>
      </c>
      <c r="P127" s="194" t="e">
        <f t="shared" si="7"/>
        <v>#VALUE!</v>
      </c>
      <c r="Q127" s="262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89">
        <f>'Données projet'!A126</f>
        <v>75</v>
      </c>
      <c r="B128" s="190">
        <f>'Données projet'!D126</f>
        <v>0</v>
      </c>
      <c r="C128" s="203">
        <v>0</v>
      </c>
      <c r="D128" s="188">
        <f t="shared" si="8"/>
        <v>0</v>
      </c>
      <c r="E128" s="203"/>
      <c r="F128" s="259"/>
      <c r="G128" s="219"/>
      <c r="H128" s="200"/>
      <c r="I128" s="201"/>
      <c r="J128" s="5"/>
      <c r="K128" s="180"/>
      <c r="L128" s="5"/>
      <c r="M128" s="5"/>
      <c r="N128" s="5"/>
      <c r="O128" s="204" t="e">
        <f>IF(O127+1&lt;=MIN('Données projet'!$E$9:$E$18),O127+1,"STOP")</f>
        <v>#VALUE!</v>
      </c>
      <c r="P128" s="194" t="e">
        <f t="shared" si="7"/>
        <v>#VALUE!</v>
      </c>
      <c r="Q128" s="262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89">
        <f>'Données projet'!A127</f>
        <v>80</v>
      </c>
      <c r="B129" s="190">
        <f>'Données projet'!D127</f>
        <v>26.282051282051281</v>
      </c>
      <c r="C129" s="203">
        <v>50</v>
      </c>
      <c r="D129" s="188">
        <f t="shared" si="8"/>
        <v>1314.102564102564</v>
      </c>
      <c r="E129" s="203"/>
      <c r="F129" s="259"/>
      <c r="G129" s="219"/>
      <c r="H129" s="200"/>
      <c r="I129" s="201"/>
      <c r="J129" s="5"/>
      <c r="K129" s="180"/>
      <c r="L129" s="5"/>
      <c r="M129" s="5"/>
      <c r="N129" s="5"/>
      <c r="O129" s="204" t="e">
        <f>IF(O128+1&lt;=MIN('Données projet'!$E$9:$E$18),O128+1,"STOP")</f>
        <v>#VALUE!</v>
      </c>
      <c r="P129" s="194" t="e">
        <f t="shared" ref="P129:P132" si="9">$P$25/(1+$M$4)^O129</f>
        <v>#VALUE!</v>
      </c>
      <c r="Q129" s="262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89">
        <f>'Données projet'!A128</f>
        <v>85</v>
      </c>
      <c r="B130" s="190">
        <f>'Données projet'!D128</f>
        <v>0</v>
      </c>
      <c r="C130" s="203">
        <v>0</v>
      </c>
      <c r="D130" s="188">
        <f t="shared" si="8"/>
        <v>0</v>
      </c>
      <c r="E130" s="203"/>
      <c r="F130" s="259"/>
      <c r="G130" s="219"/>
      <c r="H130" s="200"/>
      <c r="I130" s="201"/>
      <c r="J130" s="5"/>
      <c r="K130" s="180"/>
      <c r="L130" s="5"/>
      <c r="M130" s="5"/>
      <c r="N130" s="5"/>
      <c r="O130" s="204" t="e">
        <f>IF(O129+1&lt;=MIN('Données projet'!$E$9:$E$18),O129+1,"STOP")</f>
        <v>#VALUE!</v>
      </c>
      <c r="P130" s="194" t="e">
        <f t="shared" si="9"/>
        <v>#VALUE!</v>
      </c>
      <c r="Q130" s="262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89">
        <f>'Données projet'!A129</f>
        <v>90</v>
      </c>
      <c r="B131" s="190">
        <f>'Données projet'!D129</f>
        <v>24.358974358974358</v>
      </c>
      <c r="C131" s="203">
        <v>60</v>
      </c>
      <c r="D131" s="188">
        <f t="shared" si="8"/>
        <v>1461.5384615384614</v>
      </c>
      <c r="E131" s="203"/>
      <c r="F131" s="259"/>
      <c r="G131" s="219"/>
      <c r="H131" s="200"/>
      <c r="I131" s="201"/>
      <c r="J131" s="5"/>
      <c r="K131" s="180"/>
      <c r="L131" s="5"/>
      <c r="M131" s="5"/>
      <c r="N131" s="5"/>
      <c r="O131" s="204" t="e">
        <f>IF(O130+1&lt;=MIN('Données projet'!$E$9:$E$18),O130+1,"STOP")</f>
        <v>#VALUE!</v>
      </c>
      <c r="P131" s="194" t="e">
        <f t="shared" si="9"/>
        <v>#VALUE!</v>
      </c>
      <c r="Q131" s="262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89">
        <f>'Données projet'!A130</f>
        <v>95</v>
      </c>
      <c r="B132" s="190">
        <f>'Données projet'!D130</f>
        <v>0</v>
      </c>
      <c r="C132" s="203">
        <v>0</v>
      </c>
      <c r="D132" s="188">
        <f t="shared" si="8"/>
        <v>0</v>
      </c>
      <c r="E132" s="203"/>
      <c r="F132" s="259"/>
      <c r="G132" s="219"/>
      <c r="H132" s="200"/>
      <c r="I132" s="201"/>
      <c r="J132" s="5"/>
      <c r="K132" s="180"/>
      <c r="L132" s="5"/>
      <c r="M132" s="5"/>
      <c r="N132" s="5"/>
      <c r="O132" s="204" t="e">
        <f>IF(O131+1&lt;=MIN('Données projet'!$E$9:$E$18),O131+1,"STOP")</f>
        <v>#VALUE!</v>
      </c>
      <c r="P132" s="194" t="e">
        <f t="shared" si="9"/>
        <v>#VALUE!</v>
      </c>
      <c r="Q132" s="262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89">
        <f>'Données projet'!A131</f>
        <v>100</v>
      </c>
      <c r="B133" s="190">
        <f>'Données projet'!D131</f>
        <v>22.435897435897434</v>
      </c>
      <c r="C133" s="203">
        <v>65</v>
      </c>
      <c r="D133" s="188">
        <f t="shared" si="8"/>
        <v>1458.3333333333333</v>
      </c>
      <c r="E133" s="203"/>
      <c r="F133" s="259"/>
      <c r="G133" s="219"/>
      <c r="H133" s="200"/>
      <c r="I133" s="201"/>
      <c r="J133" s="5"/>
      <c r="K133" s="180"/>
      <c r="Q133" s="262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89">
        <f>'Données projet'!A132</f>
        <v>105</v>
      </c>
      <c r="B134" s="190">
        <f>'Données projet'!D132</f>
        <v>0</v>
      </c>
      <c r="C134" s="203">
        <v>0</v>
      </c>
      <c r="D134" s="188">
        <f t="shared" si="8"/>
        <v>0</v>
      </c>
      <c r="E134" s="203"/>
      <c r="F134" s="259"/>
      <c r="G134" s="219"/>
      <c r="H134" s="200"/>
      <c r="I134" s="201"/>
      <c r="J134" s="5"/>
      <c r="K134" s="180"/>
      <c r="Q134" s="262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89">
        <f>'Données projet'!A133</f>
        <v>110</v>
      </c>
      <c r="B135" s="190">
        <f>'Données projet'!D133</f>
        <v>317.94871794871796</v>
      </c>
      <c r="C135" s="203">
        <v>70</v>
      </c>
      <c r="D135" s="188">
        <f t="shared" si="8"/>
        <v>22256.410256410258</v>
      </c>
      <c r="E135" s="203"/>
      <c r="F135" s="259"/>
      <c r="G135" s="219"/>
      <c r="H135" s="200"/>
      <c r="I135" s="201"/>
      <c r="J135" s="5"/>
      <c r="K135" s="180"/>
      <c r="Q135" s="262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57"/>
      <c r="G136" s="219"/>
      <c r="H136" s="200"/>
      <c r="I136" s="201"/>
      <c r="J136" s="5"/>
      <c r="K136" s="180"/>
      <c r="L136" s="5"/>
      <c r="M136" s="5"/>
      <c r="N136" s="5"/>
      <c r="Q136" s="262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57"/>
      <c r="G137" s="219"/>
      <c r="H137" s="200"/>
      <c r="I137" s="201"/>
      <c r="J137" s="5"/>
      <c r="K137" s="180"/>
      <c r="L137" s="5"/>
      <c r="M137" s="5"/>
      <c r="N137" s="5"/>
      <c r="Q137" s="262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3" t="str">
        <f>IF('Données projet'!B13="","",'Données projet'!B13)</f>
        <v>Chêne rouge d'Amérique</v>
      </c>
      <c r="C138" s="5"/>
      <c r="D138" s="5"/>
      <c r="E138" s="5"/>
      <c r="F138" s="257"/>
      <c r="G138" s="219"/>
      <c r="H138" s="200"/>
      <c r="I138" s="201"/>
      <c r="J138" s="5"/>
      <c r="K138" s="180"/>
      <c r="L138" s="5"/>
      <c r="M138" s="5"/>
      <c r="N138" s="5"/>
      <c r="Q138" s="262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57"/>
      <c r="G139" s="219"/>
      <c r="H139" s="200"/>
      <c r="I139" s="201"/>
      <c r="J139" s="5"/>
      <c r="K139" s="180"/>
      <c r="L139" s="5"/>
      <c r="M139" s="5"/>
      <c r="N139" s="5"/>
      <c r="Q139" s="262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3" t="s">
        <v>180</v>
      </c>
      <c r="B140" s="51" t="s">
        <v>256</v>
      </c>
      <c r="C140" s="51" t="s">
        <v>255</v>
      </c>
      <c r="D140" s="253" t="s">
        <v>252</v>
      </c>
      <c r="E140" s="253" t="s">
        <v>320</v>
      </c>
      <c r="F140" s="258"/>
      <c r="G140" s="219"/>
      <c r="H140" s="200"/>
      <c r="I140" s="201"/>
      <c r="J140" s="5"/>
      <c r="K140" s="180"/>
      <c r="L140" s="5"/>
      <c r="M140" s="5"/>
      <c r="N140" s="5"/>
      <c r="Q140" s="262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06">
        <v>0</v>
      </c>
      <c r="B141" s="209" t="s">
        <v>132</v>
      </c>
      <c r="C141" s="208" t="s">
        <v>132</v>
      </c>
      <c r="D141" s="207" t="s">
        <v>132</v>
      </c>
      <c r="E141" s="203"/>
      <c r="F141" s="258"/>
      <c r="G141" s="219"/>
      <c r="H141" s="200"/>
      <c r="I141" s="201"/>
      <c r="J141" s="5"/>
      <c r="K141" s="180"/>
      <c r="L141" s="5"/>
      <c r="M141" s="5"/>
      <c r="N141" s="5"/>
      <c r="Q141" s="262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06">
        <v>1</v>
      </c>
      <c r="B142" s="209" t="s">
        <v>132</v>
      </c>
      <c r="C142" s="208" t="s">
        <v>132</v>
      </c>
      <c r="D142" s="207" t="s">
        <v>132</v>
      </c>
      <c r="E142" s="203"/>
      <c r="F142" s="258"/>
      <c r="G142" s="217"/>
      <c r="H142" s="200"/>
      <c r="I142" s="201"/>
      <c r="J142" s="5"/>
      <c r="K142" s="180"/>
      <c r="L142" s="5"/>
      <c r="M142" s="5"/>
      <c r="N142" s="5"/>
      <c r="Q142" s="262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06">
        <v>2</v>
      </c>
      <c r="B143" s="209" t="s">
        <v>132</v>
      </c>
      <c r="C143" s="208" t="s">
        <v>132</v>
      </c>
      <c r="D143" s="207" t="s">
        <v>132</v>
      </c>
      <c r="E143" s="203"/>
      <c r="F143" s="258"/>
      <c r="G143" s="217"/>
      <c r="H143" s="200"/>
      <c r="I143" s="201"/>
      <c r="J143" s="5"/>
      <c r="K143" s="180"/>
      <c r="L143" s="5"/>
      <c r="M143" s="5"/>
      <c r="N143" s="5"/>
      <c r="Q143" s="262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06">
        <v>3</v>
      </c>
      <c r="B144" s="209" t="s">
        <v>132</v>
      </c>
      <c r="C144" s="208" t="s">
        <v>132</v>
      </c>
      <c r="D144" s="207" t="s">
        <v>132</v>
      </c>
      <c r="E144" s="203"/>
      <c r="F144" s="258"/>
      <c r="G144" s="217"/>
      <c r="H144" s="200"/>
      <c r="I144" s="201"/>
      <c r="J144" s="5"/>
      <c r="K144" s="180"/>
      <c r="L144" s="5"/>
      <c r="M144" s="5"/>
      <c r="N144" s="5"/>
      <c r="Q144" s="262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06">
        <v>4</v>
      </c>
      <c r="B145" s="209" t="s">
        <v>132</v>
      </c>
      <c r="C145" s="208" t="s">
        <v>132</v>
      </c>
      <c r="D145" s="207" t="s">
        <v>132</v>
      </c>
      <c r="E145" s="203"/>
      <c r="F145" s="258"/>
      <c r="G145" s="217"/>
      <c r="H145" s="200"/>
      <c r="I145" s="201"/>
      <c r="J145" s="5"/>
      <c r="K145" s="180"/>
      <c r="L145" s="5"/>
      <c r="M145" s="5"/>
      <c r="N145" s="5"/>
      <c r="Q145" s="262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06">
        <v>5</v>
      </c>
      <c r="B146" s="209" t="s">
        <v>132</v>
      </c>
      <c r="C146" s="208" t="s">
        <v>132</v>
      </c>
      <c r="D146" s="207" t="s">
        <v>132</v>
      </c>
      <c r="E146" s="203"/>
      <c r="F146" s="258"/>
      <c r="G146" s="218"/>
      <c r="H146" s="200"/>
      <c r="I146" s="201"/>
      <c r="J146" s="5"/>
      <c r="K146" s="180"/>
      <c r="L146" s="5"/>
      <c r="M146" s="5"/>
      <c r="N146" s="5"/>
      <c r="Q146" s="262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20</v>
      </c>
      <c r="B147" s="184">
        <f>'Données projet'!D140</f>
        <v>0</v>
      </c>
      <c r="C147" s="203">
        <v>0</v>
      </c>
      <c r="D147" s="191">
        <f>B147*C147</f>
        <v>0</v>
      </c>
      <c r="E147" s="203"/>
      <c r="F147" s="260"/>
      <c r="G147" s="218"/>
      <c r="H147" s="200"/>
      <c r="I147" s="201"/>
      <c r="J147" s="5"/>
      <c r="K147" s="180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25</v>
      </c>
      <c r="B148" s="184">
        <f>'Données projet'!D141</f>
        <v>63</v>
      </c>
      <c r="C148" s="203">
        <v>10</v>
      </c>
      <c r="D148" s="191">
        <f t="shared" ref="D148:D166" si="10">B148*C148</f>
        <v>630</v>
      </c>
      <c r="E148" s="203"/>
      <c r="F148" s="260"/>
      <c r="G148" s="218"/>
      <c r="H148" s="200"/>
      <c r="I148" s="201"/>
      <c r="J148" s="5"/>
      <c r="K148" s="180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30</v>
      </c>
      <c r="B149" s="184">
        <f>'Données projet'!D142</f>
        <v>0</v>
      </c>
      <c r="C149" s="201">
        <v>0</v>
      </c>
      <c r="D149" s="191">
        <f t="shared" si="10"/>
        <v>0</v>
      </c>
      <c r="E149" s="203"/>
      <c r="F149" s="260"/>
      <c r="G149" s="218"/>
      <c r="H149" s="200"/>
      <c r="I149" s="201"/>
      <c r="J149" s="5"/>
      <c r="K149" s="180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35</v>
      </c>
      <c r="B150" s="184">
        <f>'Données projet'!D143</f>
        <v>61</v>
      </c>
      <c r="C150" s="201">
        <v>15</v>
      </c>
      <c r="D150" s="191">
        <f t="shared" si="10"/>
        <v>915</v>
      </c>
      <c r="E150" s="203"/>
      <c r="F150" s="260"/>
      <c r="G150" s="218"/>
      <c r="H150" s="200"/>
      <c r="I150" s="201"/>
      <c r="J150" s="5"/>
      <c r="K150" s="180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40</v>
      </c>
      <c r="B151" s="184">
        <f>'Données projet'!D144</f>
        <v>0</v>
      </c>
      <c r="C151" s="201">
        <v>0</v>
      </c>
      <c r="D151" s="191">
        <f t="shared" si="10"/>
        <v>0</v>
      </c>
      <c r="E151" s="203"/>
      <c r="F151" s="260"/>
      <c r="G151" s="218"/>
      <c r="H151" s="200"/>
      <c r="I151" s="201"/>
      <c r="J151" s="5"/>
      <c r="K151" s="180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45</v>
      </c>
      <c r="B152" s="184">
        <f>'Données projet'!D145</f>
        <v>54</v>
      </c>
      <c r="C152" s="201">
        <v>20</v>
      </c>
      <c r="D152" s="191">
        <f t="shared" si="10"/>
        <v>1080</v>
      </c>
      <c r="E152" s="203"/>
      <c r="F152" s="260"/>
      <c r="G152" s="218"/>
      <c r="H152" s="200"/>
      <c r="I152" s="201"/>
      <c r="J152" s="5"/>
      <c r="K152" s="180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50</v>
      </c>
      <c r="B153" s="184">
        <f>'Données projet'!D146</f>
        <v>0</v>
      </c>
      <c r="C153" s="201">
        <v>0</v>
      </c>
      <c r="D153" s="191">
        <f t="shared" si="10"/>
        <v>0</v>
      </c>
      <c r="E153" s="203"/>
      <c r="F153" s="260"/>
      <c r="G153" s="214"/>
      <c r="H153" s="200"/>
      <c r="I153" s="201"/>
      <c r="J153" s="5"/>
      <c r="K153" s="180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55</v>
      </c>
      <c r="B154" s="184">
        <f>'Données projet'!D147</f>
        <v>45</v>
      </c>
      <c r="C154" s="201">
        <v>25</v>
      </c>
      <c r="D154" s="191">
        <f t="shared" si="10"/>
        <v>1125</v>
      </c>
      <c r="E154" s="203"/>
      <c r="F154" s="260"/>
      <c r="G154" s="214"/>
      <c r="H154" s="200"/>
      <c r="I154" s="201"/>
      <c r="J154" s="5"/>
      <c r="K154" s="180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60</v>
      </c>
      <c r="B155" s="184">
        <f>'Données projet'!D148</f>
        <v>0</v>
      </c>
      <c r="C155" s="201">
        <v>0</v>
      </c>
      <c r="D155" s="191">
        <f t="shared" si="10"/>
        <v>0</v>
      </c>
      <c r="E155" s="203"/>
      <c r="F155" s="260"/>
      <c r="G155" s="214"/>
      <c r="H155" s="200"/>
      <c r="I155" s="201"/>
      <c r="J155" s="5"/>
      <c r="K155" s="180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65</v>
      </c>
      <c r="B156" s="184">
        <f>'Données projet'!D149</f>
        <v>36</v>
      </c>
      <c r="C156" s="201">
        <v>40</v>
      </c>
      <c r="D156" s="191">
        <f t="shared" si="10"/>
        <v>1440</v>
      </c>
      <c r="E156" s="203"/>
      <c r="F156" s="260"/>
      <c r="G156" s="214"/>
      <c r="H156" s="200"/>
      <c r="I156" s="201"/>
      <c r="J156" s="5"/>
      <c r="K156" s="180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70</v>
      </c>
      <c r="B157" s="184">
        <f>'Données projet'!D150</f>
        <v>0</v>
      </c>
      <c r="C157" s="201">
        <v>0</v>
      </c>
      <c r="D157" s="191">
        <f t="shared" si="10"/>
        <v>0</v>
      </c>
      <c r="E157" s="203"/>
      <c r="F157" s="260"/>
      <c r="G157" s="214"/>
      <c r="H157" s="200"/>
      <c r="I157" s="201"/>
      <c r="J157" s="5"/>
      <c r="K157" s="180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75</v>
      </c>
      <c r="B158" s="184">
        <f>'Données projet'!D151</f>
        <v>28</v>
      </c>
      <c r="C158" s="201">
        <v>50</v>
      </c>
      <c r="D158" s="191">
        <f t="shared" si="10"/>
        <v>1400</v>
      </c>
      <c r="E158" s="203"/>
      <c r="F158" s="260"/>
      <c r="G158" s="214"/>
      <c r="H158" s="200"/>
      <c r="I158" s="201"/>
      <c r="J158" s="5"/>
      <c r="K158" s="180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80</v>
      </c>
      <c r="B159" s="184">
        <f>'Données projet'!D152</f>
        <v>0</v>
      </c>
      <c r="C159" s="201">
        <v>0</v>
      </c>
      <c r="D159" s="191">
        <f t="shared" si="10"/>
        <v>0</v>
      </c>
      <c r="E159" s="203"/>
      <c r="F159" s="260"/>
      <c r="G159" s="214"/>
      <c r="H159" s="200"/>
      <c r="I159" s="201"/>
      <c r="J159" s="5"/>
      <c r="K159" s="180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85</v>
      </c>
      <c r="B160" s="184">
        <f>'Données projet'!D153</f>
        <v>24</v>
      </c>
      <c r="C160" s="201">
        <v>60</v>
      </c>
      <c r="D160" s="191">
        <f t="shared" si="10"/>
        <v>1440</v>
      </c>
      <c r="E160" s="203"/>
      <c r="F160" s="260"/>
      <c r="G160" s="214"/>
      <c r="H160" s="200"/>
      <c r="I160" s="201"/>
      <c r="J160" s="5"/>
      <c r="K160" s="180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90</v>
      </c>
      <c r="B161" s="184">
        <f>'Données projet'!D154</f>
        <v>215</v>
      </c>
      <c r="C161" s="201">
        <v>100</v>
      </c>
      <c r="D161" s="191">
        <f t="shared" si="10"/>
        <v>21500</v>
      </c>
      <c r="E161" s="203"/>
      <c r="F161" s="260"/>
      <c r="G161" s="214"/>
      <c r="H161" s="200"/>
      <c r="I161" s="201"/>
      <c r="J161" s="5"/>
      <c r="K161" s="180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4">
        <f>'Données projet'!D155</f>
        <v>0</v>
      </c>
      <c r="C162" s="201">
        <v>0</v>
      </c>
      <c r="D162" s="191">
        <f t="shared" si="10"/>
        <v>0</v>
      </c>
      <c r="E162" s="203"/>
      <c r="F162" s="260"/>
      <c r="G162" s="214"/>
      <c r="H162" s="200"/>
      <c r="I162" s="201"/>
      <c r="J162" s="5"/>
      <c r="K162" s="180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4">
        <f>'Données projet'!D156</f>
        <v>0</v>
      </c>
      <c r="C163" s="201">
        <v>130</v>
      </c>
      <c r="D163" s="191">
        <f t="shared" si="10"/>
        <v>0</v>
      </c>
      <c r="E163" s="203"/>
      <c r="F163" s="260"/>
      <c r="G163" s="214"/>
      <c r="H163" s="200"/>
      <c r="I163" s="201"/>
      <c r="J163" s="5"/>
      <c r="K163" s="180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4">
        <f>'Données projet'!D157</f>
        <v>0</v>
      </c>
      <c r="C164" s="201">
        <v>0</v>
      </c>
      <c r="D164" s="191">
        <f t="shared" si="10"/>
        <v>0</v>
      </c>
      <c r="E164" s="203"/>
      <c r="F164" s="260"/>
      <c r="G164" s="214"/>
      <c r="H164" s="200"/>
      <c r="I164" s="201"/>
      <c r="J164" s="5"/>
      <c r="K164" s="180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4">
        <f>'Données projet'!D158</f>
        <v>0</v>
      </c>
      <c r="C165" s="201">
        <v>0</v>
      </c>
      <c r="D165" s="191">
        <f t="shared" si="10"/>
        <v>0</v>
      </c>
      <c r="E165" s="203"/>
      <c r="F165" s="260"/>
      <c r="G165" s="214"/>
      <c r="H165" s="200"/>
      <c r="I165" s="201"/>
      <c r="J165" s="5"/>
      <c r="K165" s="180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4">
        <f>'Données projet'!D159</f>
        <v>0</v>
      </c>
      <c r="C166" s="201">
        <v>0</v>
      </c>
      <c r="D166" s="191">
        <f t="shared" si="10"/>
        <v>0</v>
      </c>
      <c r="E166" s="203"/>
      <c r="F166" s="260"/>
      <c r="G166" s="214"/>
      <c r="H166" s="200"/>
      <c r="I166" s="201"/>
      <c r="J166" s="5"/>
      <c r="K166" s="180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57"/>
      <c r="G167" s="214"/>
      <c r="H167" s="200"/>
      <c r="I167" s="201"/>
      <c r="J167" s="5"/>
      <c r="K167" s="180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57"/>
      <c r="G168" s="214"/>
      <c r="H168" s="200"/>
      <c r="I168" s="201"/>
      <c r="J168" s="5"/>
      <c r="K168" s="180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3" t="str">
        <f>IF('Données projet'!B14="","",'Données projet'!B14)</f>
        <v>Chêne sessile</v>
      </c>
      <c r="C169" s="5"/>
      <c r="D169" s="5"/>
      <c r="E169" s="5"/>
      <c r="F169" s="257"/>
      <c r="G169" s="214"/>
      <c r="H169" s="200"/>
      <c r="I169" s="201"/>
      <c r="J169" s="5"/>
      <c r="K169" s="180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57"/>
      <c r="G170" s="214"/>
      <c r="H170" s="200"/>
      <c r="I170" s="201"/>
      <c r="J170" s="5"/>
      <c r="K170" s="180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3" t="s">
        <v>180</v>
      </c>
      <c r="B171" s="51" t="s">
        <v>256</v>
      </c>
      <c r="C171" s="51" t="s">
        <v>255</v>
      </c>
      <c r="D171" s="253" t="s">
        <v>252</v>
      </c>
      <c r="E171" s="253" t="s">
        <v>320</v>
      </c>
      <c r="F171" s="258"/>
      <c r="G171" s="214"/>
      <c r="H171" s="200"/>
      <c r="I171" s="201"/>
      <c r="J171" s="5"/>
      <c r="K171" s="180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06">
        <v>0</v>
      </c>
      <c r="B172" s="209" t="s">
        <v>132</v>
      </c>
      <c r="C172" s="208" t="s">
        <v>132</v>
      </c>
      <c r="D172" s="207" t="s">
        <v>132</v>
      </c>
      <c r="E172" s="203"/>
      <c r="F172" s="258"/>
      <c r="G172" s="214"/>
      <c r="H172" s="200"/>
      <c r="I172" s="201"/>
      <c r="J172" s="5"/>
      <c r="K172" s="180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06">
        <v>1</v>
      </c>
      <c r="B173" s="209" t="s">
        <v>132</v>
      </c>
      <c r="C173" s="208" t="s">
        <v>132</v>
      </c>
      <c r="D173" s="207" t="s">
        <v>132</v>
      </c>
      <c r="E173" s="203"/>
      <c r="F173" s="258"/>
      <c r="G173" s="217"/>
      <c r="H173" s="200"/>
      <c r="I173" s="201"/>
      <c r="J173" s="5"/>
      <c r="K173" s="180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06">
        <v>2</v>
      </c>
      <c r="B174" s="209" t="s">
        <v>132</v>
      </c>
      <c r="C174" s="208" t="s">
        <v>132</v>
      </c>
      <c r="D174" s="207" t="s">
        <v>132</v>
      </c>
      <c r="E174" s="203"/>
      <c r="F174" s="258"/>
      <c r="G174" s="217"/>
      <c r="H174" s="200"/>
      <c r="I174" s="201"/>
      <c r="J174" s="5"/>
      <c r="K174" s="180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06">
        <v>3</v>
      </c>
      <c r="B175" s="209" t="s">
        <v>132</v>
      </c>
      <c r="C175" s="208" t="s">
        <v>132</v>
      </c>
      <c r="D175" s="207" t="s">
        <v>132</v>
      </c>
      <c r="E175" s="203"/>
      <c r="F175" s="258"/>
      <c r="G175" s="217"/>
      <c r="H175" s="200"/>
      <c r="I175" s="201"/>
      <c r="J175" s="5"/>
      <c r="K175" s="180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06">
        <v>4</v>
      </c>
      <c r="B176" s="209" t="s">
        <v>132</v>
      </c>
      <c r="C176" s="208" t="s">
        <v>132</v>
      </c>
      <c r="D176" s="207" t="s">
        <v>132</v>
      </c>
      <c r="E176" s="203"/>
      <c r="F176" s="258"/>
      <c r="G176" s="217"/>
      <c r="H176" s="200"/>
      <c r="I176" s="201"/>
      <c r="J176" s="5"/>
      <c r="K176" s="180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06">
        <v>5</v>
      </c>
      <c r="B177" s="209" t="s">
        <v>132</v>
      </c>
      <c r="C177" s="208" t="s">
        <v>132</v>
      </c>
      <c r="D177" s="207" t="s">
        <v>132</v>
      </c>
      <c r="E177" s="203"/>
      <c r="F177" s="258"/>
      <c r="G177" s="218"/>
      <c r="H177" s="200"/>
      <c r="I177" s="201"/>
      <c r="J177" s="5"/>
      <c r="K177" s="180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89">
        <f>'Données projet'!A166</f>
        <v>20</v>
      </c>
      <c r="B178" s="190">
        <f>'Données projet'!D166</f>
        <v>0</v>
      </c>
      <c r="C178" s="203">
        <v>0</v>
      </c>
      <c r="D178" s="188">
        <f>B178*C178</f>
        <v>0</v>
      </c>
      <c r="E178" s="203"/>
      <c r="F178" s="259"/>
      <c r="G178" s="218"/>
      <c r="H178" s="200"/>
      <c r="I178" s="201"/>
      <c r="J178" s="5"/>
      <c r="K178" s="180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89">
        <f>'Données projet'!A167</f>
        <v>25</v>
      </c>
      <c r="B179" s="190">
        <f>'Données projet'!D167</f>
        <v>0</v>
      </c>
      <c r="C179" s="203">
        <v>0</v>
      </c>
      <c r="D179" s="188">
        <f t="shared" ref="D179:D197" si="11">B179*C179</f>
        <v>0</v>
      </c>
      <c r="E179" s="203"/>
      <c r="F179" s="259"/>
      <c r="G179" s="218"/>
      <c r="H179" s="200"/>
      <c r="I179" s="201"/>
      <c r="J179" s="5"/>
      <c r="K179" s="180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89">
        <f>'Données projet'!A168</f>
        <v>30</v>
      </c>
      <c r="B180" s="190">
        <f>'Données projet'!D168</f>
        <v>29</v>
      </c>
      <c r="C180" s="201">
        <v>10</v>
      </c>
      <c r="D180" s="188">
        <f t="shared" si="11"/>
        <v>290</v>
      </c>
      <c r="E180" s="203"/>
      <c r="F180" s="259"/>
      <c r="G180" s="218"/>
      <c r="H180" s="200"/>
      <c r="I180" s="201"/>
      <c r="J180" s="5"/>
      <c r="K180" s="180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89">
        <f>'Données projet'!A169</f>
        <v>35</v>
      </c>
      <c r="B181" s="190">
        <f>'Données projet'!D169</f>
        <v>0</v>
      </c>
      <c r="C181" s="201">
        <v>0</v>
      </c>
      <c r="D181" s="188">
        <f t="shared" si="11"/>
        <v>0</v>
      </c>
      <c r="E181" s="203"/>
      <c r="F181" s="259"/>
      <c r="G181" s="218"/>
      <c r="H181" s="200"/>
      <c r="I181" s="201"/>
      <c r="J181" s="5"/>
      <c r="K181" s="180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89">
        <f>'Données projet'!A170</f>
        <v>40</v>
      </c>
      <c r="B182" s="190">
        <f>'Données projet'!D170</f>
        <v>42</v>
      </c>
      <c r="C182" s="201">
        <v>10</v>
      </c>
      <c r="D182" s="188">
        <f t="shared" si="11"/>
        <v>420</v>
      </c>
      <c r="E182" s="203"/>
      <c r="F182" s="259"/>
      <c r="G182" s="218"/>
      <c r="H182" s="200"/>
      <c r="I182" s="201"/>
      <c r="J182" s="5"/>
      <c r="K182" s="180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89">
        <f>'Données projet'!A171</f>
        <v>45</v>
      </c>
      <c r="B183" s="190">
        <f>'Données projet'!D171</f>
        <v>0</v>
      </c>
      <c r="C183" s="201">
        <v>0</v>
      </c>
      <c r="D183" s="188">
        <f t="shared" si="11"/>
        <v>0</v>
      </c>
      <c r="E183" s="203"/>
      <c r="F183" s="259"/>
      <c r="G183" s="218"/>
      <c r="H183" s="200"/>
      <c r="I183" s="201"/>
      <c r="J183" s="5"/>
      <c r="K183" s="180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89">
        <f>'Données projet'!A172</f>
        <v>50</v>
      </c>
      <c r="B184" s="190">
        <f>'Données projet'!D172</f>
        <v>42</v>
      </c>
      <c r="C184" s="201">
        <v>15</v>
      </c>
      <c r="D184" s="188">
        <f t="shared" si="11"/>
        <v>630</v>
      </c>
      <c r="E184" s="203"/>
      <c r="F184" s="259"/>
      <c r="G184" s="219"/>
      <c r="H184" s="200"/>
      <c r="I184" s="201"/>
      <c r="J184" s="5"/>
      <c r="K184" s="180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89">
        <f>'Données projet'!A173</f>
        <v>55</v>
      </c>
      <c r="B185" s="190">
        <f>'Données projet'!D173</f>
        <v>0</v>
      </c>
      <c r="C185" s="201">
        <v>0</v>
      </c>
      <c r="D185" s="188">
        <f t="shared" si="11"/>
        <v>0</v>
      </c>
      <c r="E185" s="203"/>
      <c r="F185" s="259"/>
      <c r="G185" s="219"/>
      <c r="H185" s="200"/>
      <c r="I185" s="201"/>
      <c r="J185" s="5"/>
      <c r="K185" s="180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89">
        <f>'Données projet'!A174</f>
        <v>60</v>
      </c>
      <c r="B186" s="190">
        <f>'Données projet'!D174</f>
        <v>42</v>
      </c>
      <c r="C186" s="201">
        <v>20</v>
      </c>
      <c r="D186" s="188">
        <f t="shared" si="11"/>
        <v>840</v>
      </c>
      <c r="E186" s="203"/>
      <c r="F186" s="259"/>
      <c r="G186" s="219"/>
      <c r="H186" s="200"/>
      <c r="I186" s="201"/>
      <c r="J186" s="5"/>
      <c r="K186" s="180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89">
        <f>'Données projet'!A175</f>
        <v>65</v>
      </c>
      <c r="B187" s="190">
        <f>'Données projet'!D175</f>
        <v>0</v>
      </c>
      <c r="C187" s="201">
        <v>0</v>
      </c>
      <c r="D187" s="188">
        <f t="shared" si="11"/>
        <v>0</v>
      </c>
      <c r="E187" s="203"/>
      <c r="F187" s="259"/>
      <c r="G187" s="219"/>
      <c r="H187" s="200"/>
      <c r="I187" s="201"/>
      <c r="J187" s="5"/>
      <c r="K187" s="180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89">
        <f>'Données projet'!A176</f>
        <v>70</v>
      </c>
      <c r="B188" s="190">
        <f>'Données projet'!D176</f>
        <v>42</v>
      </c>
      <c r="C188" s="201">
        <v>40</v>
      </c>
      <c r="D188" s="188">
        <f t="shared" si="11"/>
        <v>1680</v>
      </c>
      <c r="E188" s="203"/>
      <c r="F188" s="259"/>
      <c r="G188" s="219"/>
      <c r="H188" s="200"/>
      <c r="I188" s="201"/>
      <c r="J188" s="5"/>
      <c r="K188" s="180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89">
        <f>'Données projet'!A177</f>
        <v>75</v>
      </c>
      <c r="B189" s="190">
        <f>'Données projet'!D177</f>
        <v>0</v>
      </c>
      <c r="C189" s="201">
        <v>0</v>
      </c>
      <c r="D189" s="188">
        <f t="shared" si="11"/>
        <v>0</v>
      </c>
      <c r="E189" s="203"/>
      <c r="F189" s="259"/>
      <c r="G189" s="219"/>
      <c r="H189" s="200"/>
      <c r="I189" s="201"/>
      <c r="J189" s="5"/>
      <c r="K189" s="180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89">
        <f>'Données projet'!A178</f>
        <v>80</v>
      </c>
      <c r="B190" s="190">
        <f>'Données projet'!D178</f>
        <v>42</v>
      </c>
      <c r="C190" s="201">
        <v>60</v>
      </c>
      <c r="D190" s="188">
        <f t="shared" si="11"/>
        <v>2520</v>
      </c>
      <c r="E190" s="203"/>
      <c r="F190" s="259"/>
      <c r="G190" s="219"/>
      <c r="H190" s="200"/>
      <c r="I190" s="201"/>
      <c r="J190" s="5"/>
      <c r="K190" s="180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89">
        <f>'Données projet'!A179</f>
        <v>90</v>
      </c>
      <c r="B191" s="190">
        <f>'Données projet'!D179</f>
        <v>42</v>
      </c>
      <c r="C191" s="201">
        <v>80</v>
      </c>
      <c r="D191" s="188">
        <f t="shared" si="11"/>
        <v>3360</v>
      </c>
      <c r="E191" s="203"/>
      <c r="F191" s="259"/>
      <c r="G191" s="219"/>
      <c r="H191" s="200"/>
      <c r="I191" s="201"/>
      <c r="J191" s="5"/>
      <c r="K191" s="180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89">
        <f>'Données projet'!A180</f>
        <v>100</v>
      </c>
      <c r="B192" s="190">
        <f>'Données projet'!D180</f>
        <v>42</v>
      </c>
      <c r="C192" s="201">
        <v>100</v>
      </c>
      <c r="D192" s="188">
        <f t="shared" si="11"/>
        <v>4200</v>
      </c>
      <c r="E192" s="203"/>
      <c r="F192" s="259"/>
      <c r="G192" s="219"/>
      <c r="H192" s="200"/>
      <c r="I192" s="201"/>
      <c r="J192" s="5"/>
      <c r="K192" s="180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89">
        <f>'Données projet'!A181</f>
        <v>110</v>
      </c>
      <c r="B193" s="190">
        <f>'Données projet'!D181</f>
        <v>39</v>
      </c>
      <c r="C193" s="201">
        <v>110</v>
      </c>
      <c r="D193" s="188">
        <f t="shared" si="11"/>
        <v>4290</v>
      </c>
      <c r="E193" s="203"/>
      <c r="F193" s="259"/>
      <c r="G193" s="219"/>
      <c r="H193" s="200"/>
      <c r="I193" s="201"/>
      <c r="J193" s="5"/>
      <c r="K193" s="180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89">
        <f>'Données projet'!A182</f>
        <v>120</v>
      </c>
      <c r="B194" s="190">
        <f>'Données projet'!D182</f>
        <v>35</v>
      </c>
      <c r="C194" s="201">
        <v>130</v>
      </c>
      <c r="D194" s="188">
        <f t="shared" si="11"/>
        <v>4550</v>
      </c>
      <c r="E194" s="203"/>
      <c r="F194" s="259"/>
      <c r="G194" s="219"/>
      <c r="H194" s="200"/>
      <c r="I194" s="201"/>
      <c r="J194" s="5"/>
      <c r="K194" s="180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89">
        <f>'Données projet'!A183</f>
        <v>130</v>
      </c>
      <c r="B195" s="190">
        <f>'Données projet'!D183</f>
        <v>31</v>
      </c>
      <c r="C195" s="201">
        <v>140</v>
      </c>
      <c r="D195" s="188">
        <f t="shared" si="11"/>
        <v>4340</v>
      </c>
      <c r="E195" s="203"/>
      <c r="F195" s="259"/>
      <c r="G195" s="219"/>
      <c r="H195" s="200"/>
      <c r="I195" s="201"/>
      <c r="J195" s="5"/>
      <c r="K195" s="180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89">
        <f>'Données projet'!A184</f>
        <v>140</v>
      </c>
      <c r="B196" s="190">
        <f>'Données projet'!D184</f>
        <v>27</v>
      </c>
      <c r="C196" s="201">
        <v>150</v>
      </c>
      <c r="D196" s="188">
        <f t="shared" si="11"/>
        <v>4050</v>
      </c>
      <c r="E196" s="203"/>
      <c r="F196" s="259"/>
      <c r="G196" s="219"/>
      <c r="H196" s="200"/>
      <c r="I196" s="201"/>
      <c r="J196" s="5"/>
      <c r="K196" s="180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89">
        <f>'Données projet'!A185</f>
        <v>150</v>
      </c>
      <c r="B197" s="190">
        <f>'Données projet'!D185</f>
        <v>293</v>
      </c>
      <c r="C197" s="201">
        <v>200</v>
      </c>
      <c r="D197" s="188">
        <f t="shared" si="11"/>
        <v>58600</v>
      </c>
      <c r="E197" s="203"/>
      <c r="F197" s="259"/>
      <c r="G197" s="219"/>
      <c r="H197" s="200"/>
      <c r="I197" s="201"/>
      <c r="J197" s="5"/>
      <c r="K197" s="180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57"/>
      <c r="G198" s="219"/>
      <c r="H198" s="200"/>
      <c r="I198" s="201"/>
      <c r="J198" s="5"/>
      <c r="K198" s="180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57"/>
      <c r="G199" s="219"/>
      <c r="H199" s="200"/>
      <c r="I199" s="201"/>
      <c r="J199" s="5"/>
      <c r="K199" s="180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3" t="str">
        <f>IF('Données projet'!$B$15="","",'Données projet'!$B$15)</f>
        <v>Pin laricio</v>
      </c>
      <c r="C200" s="5"/>
      <c r="D200" s="5"/>
      <c r="E200" s="5"/>
      <c r="F200" s="257"/>
      <c r="G200" s="219"/>
      <c r="H200" s="200"/>
      <c r="I200" s="201"/>
      <c r="J200" s="5"/>
      <c r="K200" s="180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57"/>
      <c r="G201" s="219"/>
      <c r="H201" s="200"/>
      <c r="I201" s="201"/>
      <c r="J201" s="5"/>
      <c r="K201" s="180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3" t="s">
        <v>180</v>
      </c>
      <c r="B202" s="51" t="s">
        <v>256</v>
      </c>
      <c r="C202" s="51" t="s">
        <v>255</v>
      </c>
      <c r="D202" s="253" t="s">
        <v>252</v>
      </c>
      <c r="E202" s="253" t="s">
        <v>320</v>
      </c>
      <c r="F202" s="258"/>
      <c r="G202" s="219"/>
      <c r="H202" s="200"/>
      <c r="I202" s="201"/>
      <c r="J202" s="5"/>
      <c r="K202" s="180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06">
        <v>0</v>
      </c>
      <c r="B203" s="209" t="s">
        <v>132</v>
      </c>
      <c r="C203" s="208" t="s">
        <v>132</v>
      </c>
      <c r="D203" s="207" t="s">
        <v>132</v>
      </c>
      <c r="E203" s="203"/>
      <c r="F203" s="258"/>
      <c r="G203" s="219"/>
      <c r="H203" s="200"/>
      <c r="I203" s="201"/>
      <c r="J203" s="5"/>
      <c r="K203" s="180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06">
        <v>1</v>
      </c>
      <c r="B204" s="209" t="s">
        <v>132</v>
      </c>
      <c r="C204" s="208" t="s">
        <v>132</v>
      </c>
      <c r="D204" s="207" t="s">
        <v>132</v>
      </c>
      <c r="E204" s="203"/>
      <c r="F204" s="258"/>
      <c r="G204" s="217"/>
      <c r="H204" s="200"/>
      <c r="I204" s="201"/>
      <c r="J204" s="5"/>
      <c r="K204" s="180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06">
        <v>2</v>
      </c>
      <c r="B205" s="209" t="s">
        <v>132</v>
      </c>
      <c r="C205" s="208" t="s">
        <v>132</v>
      </c>
      <c r="D205" s="207" t="s">
        <v>132</v>
      </c>
      <c r="E205" s="203"/>
      <c r="F205" s="258"/>
      <c r="G205" s="217"/>
      <c r="H205" s="200"/>
      <c r="I205" s="201"/>
      <c r="J205" s="5"/>
      <c r="K205" s="180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06">
        <v>3</v>
      </c>
      <c r="B206" s="209" t="s">
        <v>132</v>
      </c>
      <c r="C206" s="208" t="s">
        <v>132</v>
      </c>
      <c r="D206" s="207" t="s">
        <v>132</v>
      </c>
      <c r="E206" s="203"/>
      <c r="F206" s="258"/>
      <c r="G206" s="217"/>
      <c r="H206" s="200"/>
      <c r="I206" s="201"/>
      <c r="J206" s="5"/>
      <c r="K206" s="180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06">
        <v>4</v>
      </c>
      <c r="B207" s="209" t="s">
        <v>132</v>
      </c>
      <c r="C207" s="208" t="s">
        <v>132</v>
      </c>
      <c r="D207" s="207" t="s">
        <v>132</v>
      </c>
      <c r="E207" s="203"/>
      <c r="F207" s="258"/>
      <c r="G207" s="217"/>
      <c r="H207" s="200"/>
      <c r="I207" s="201"/>
      <c r="J207" s="5"/>
      <c r="K207" s="180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06">
        <v>5</v>
      </c>
      <c r="B208" s="209" t="s">
        <v>132</v>
      </c>
      <c r="C208" s="208" t="s">
        <v>132</v>
      </c>
      <c r="D208" s="207" t="s">
        <v>132</v>
      </c>
      <c r="E208" s="203"/>
      <c r="F208" s="258"/>
      <c r="G208" s="218"/>
      <c r="H208" s="200"/>
      <c r="I208" s="201"/>
      <c r="J208" s="5"/>
      <c r="K208" s="180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89">
        <f>'Données projet'!A192</f>
        <v>22</v>
      </c>
      <c r="B209" s="190">
        <f>'Données projet'!D192</f>
        <v>52.41</v>
      </c>
      <c r="C209" s="203">
        <v>10</v>
      </c>
      <c r="D209" s="188">
        <f>B209*C209</f>
        <v>524.09999999999991</v>
      </c>
      <c r="E209" s="203"/>
      <c r="F209" s="259"/>
      <c r="G209" s="218"/>
      <c r="H209" s="200"/>
      <c r="I209" s="201"/>
      <c r="J209" s="5"/>
      <c r="K209" s="180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89">
        <f>'Données projet'!A193</f>
        <v>27</v>
      </c>
      <c r="B210" s="190">
        <f>'Données projet'!D193</f>
        <v>37.840000000000003</v>
      </c>
      <c r="C210" s="203">
        <v>10</v>
      </c>
      <c r="D210" s="188">
        <f t="shared" ref="D210:D228" si="12">B210*C210</f>
        <v>378.40000000000003</v>
      </c>
      <c r="E210" s="203"/>
      <c r="F210" s="259"/>
      <c r="G210" s="218"/>
      <c r="H210" s="200"/>
      <c r="I210" s="201"/>
      <c r="J210" s="5"/>
      <c r="K210" s="180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89">
        <f>'Données projet'!A194</f>
        <v>33</v>
      </c>
      <c r="B211" s="190">
        <f>'Données projet'!D194</f>
        <v>50.41</v>
      </c>
      <c r="C211" s="203">
        <v>20</v>
      </c>
      <c r="D211" s="188">
        <f t="shared" si="12"/>
        <v>1008.1999999999999</v>
      </c>
      <c r="E211" s="203"/>
      <c r="F211" s="259"/>
      <c r="G211" s="218"/>
      <c r="H211" s="200"/>
      <c r="I211" s="201"/>
      <c r="J211" s="5"/>
      <c r="K211" s="180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89">
        <f>'Données projet'!A195</f>
        <v>41</v>
      </c>
      <c r="B212" s="190">
        <f>'Données projet'!D195</f>
        <v>72.13</v>
      </c>
      <c r="C212" s="203">
        <v>25</v>
      </c>
      <c r="D212" s="188">
        <f t="shared" si="12"/>
        <v>1803.25</v>
      </c>
      <c r="E212" s="203"/>
      <c r="F212" s="259"/>
      <c r="G212" s="218"/>
      <c r="H212" s="200"/>
      <c r="I212" s="201"/>
      <c r="J212" s="5"/>
      <c r="K212" s="180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89">
        <f>'Données projet'!A196</f>
        <v>50</v>
      </c>
      <c r="B213" s="190">
        <f>'Données projet'!D196</f>
        <v>70.2</v>
      </c>
      <c r="C213" s="203">
        <v>30</v>
      </c>
      <c r="D213" s="188">
        <f t="shared" si="12"/>
        <v>2106</v>
      </c>
      <c r="E213" s="203"/>
      <c r="F213" s="259"/>
      <c r="G213" s="218"/>
      <c r="H213" s="200"/>
      <c r="I213" s="201"/>
      <c r="J213" s="5"/>
      <c r="K213" s="180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89">
        <f>'Données projet'!A197</f>
        <v>60</v>
      </c>
      <c r="B214" s="190">
        <f>'Données projet'!D197</f>
        <v>69.849999999999994</v>
      </c>
      <c r="C214" s="203">
        <v>35</v>
      </c>
      <c r="D214" s="188">
        <f t="shared" si="12"/>
        <v>2444.75</v>
      </c>
      <c r="E214" s="203"/>
      <c r="F214" s="259"/>
      <c r="G214" s="218"/>
      <c r="H214" s="200"/>
      <c r="I214" s="201"/>
      <c r="J214" s="5"/>
      <c r="K214" s="180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89">
        <f>'Données projet'!A198</f>
        <v>70</v>
      </c>
      <c r="B215" s="190">
        <f>'Données projet'!D198</f>
        <v>67.88</v>
      </c>
      <c r="C215" s="201">
        <v>40</v>
      </c>
      <c r="D215" s="188">
        <f t="shared" si="12"/>
        <v>2715.2</v>
      </c>
      <c r="E215" s="203"/>
      <c r="F215" s="259"/>
      <c r="G215" s="219"/>
      <c r="H215" s="200"/>
      <c r="I215" s="201"/>
      <c r="J215" s="5"/>
      <c r="K215" s="180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89">
        <f>'Données projet'!A199</f>
        <v>80</v>
      </c>
      <c r="B216" s="190">
        <f>'Données projet'!D199</f>
        <v>520</v>
      </c>
      <c r="C216" s="201">
        <v>45</v>
      </c>
      <c r="D216" s="188">
        <f t="shared" si="12"/>
        <v>23400</v>
      </c>
      <c r="E216" s="203"/>
      <c r="F216" s="259"/>
      <c r="G216" s="219"/>
      <c r="H216" s="200"/>
      <c r="I216" s="201"/>
      <c r="J216" s="5"/>
      <c r="K216" s="180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89">
        <f>'Données projet'!A200</f>
        <v>0</v>
      </c>
      <c r="B217" s="190">
        <f>'Données projet'!D200</f>
        <v>0</v>
      </c>
      <c r="C217" s="203">
        <v>0</v>
      </c>
      <c r="D217" s="188">
        <f t="shared" si="12"/>
        <v>0</v>
      </c>
      <c r="E217" s="203"/>
      <c r="F217" s="259"/>
      <c r="G217" s="219"/>
      <c r="H217" s="200"/>
      <c r="I217" s="201"/>
      <c r="J217" s="5"/>
      <c r="K217" s="180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89">
        <f>'Données projet'!A201</f>
        <v>0</v>
      </c>
      <c r="B218" s="190">
        <f>'Données projet'!D201</f>
        <v>0</v>
      </c>
      <c r="C218" s="203">
        <v>0</v>
      </c>
      <c r="D218" s="188">
        <f t="shared" si="12"/>
        <v>0</v>
      </c>
      <c r="E218" s="203"/>
      <c r="F218" s="259"/>
      <c r="G218" s="219"/>
      <c r="H218" s="200"/>
      <c r="I218" s="201"/>
      <c r="J218" s="5"/>
      <c r="K218" s="180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89">
        <f>'Données projet'!A202</f>
        <v>0</v>
      </c>
      <c r="B219" s="190">
        <f>'Données projet'!D202</f>
        <v>0</v>
      </c>
      <c r="C219" s="203">
        <v>0</v>
      </c>
      <c r="D219" s="188">
        <f t="shared" si="12"/>
        <v>0</v>
      </c>
      <c r="E219" s="203"/>
      <c r="F219" s="259"/>
      <c r="G219" s="219"/>
      <c r="H219" s="200"/>
      <c r="I219" s="201"/>
      <c r="J219" s="5"/>
      <c r="K219" s="180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89">
        <f>'Données projet'!A203</f>
        <v>0</v>
      </c>
      <c r="B220" s="190">
        <f>'Données projet'!D203</f>
        <v>0</v>
      </c>
      <c r="C220" s="203">
        <v>0</v>
      </c>
      <c r="D220" s="188">
        <f t="shared" si="12"/>
        <v>0</v>
      </c>
      <c r="E220" s="203"/>
      <c r="F220" s="259"/>
      <c r="G220" s="219"/>
      <c r="H220" s="5"/>
      <c r="I220" s="5"/>
      <c r="J220" s="5"/>
      <c r="K220" s="180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89">
        <f>'Données projet'!A204</f>
        <v>0</v>
      </c>
      <c r="B221" s="190">
        <f>'Données projet'!D204</f>
        <v>0</v>
      </c>
      <c r="C221" s="203">
        <v>0</v>
      </c>
      <c r="D221" s="188">
        <f t="shared" si="12"/>
        <v>0</v>
      </c>
      <c r="E221" s="203"/>
      <c r="F221" s="259"/>
      <c r="G221" s="219"/>
      <c r="H221" s="5"/>
      <c r="I221" s="5"/>
      <c r="J221" s="5"/>
      <c r="K221" s="180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89">
        <f>'Données projet'!A205</f>
        <v>0</v>
      </c>
      <c r="B222" s="190">
        <f>'Données projet'!D205</f>
        <v>0</v>
      </c>
      <c r="C222" s="203">
        <v>0</v>
      </c>
      <c r="D222" s="188">
        <f t="shared" si="12"/>
        <v>0</v>
      </c>
      <c r="E222" s="203"/>
      <c r="F222" s="259"/>
      <c r="G222" s="219"/>
      <c r="H222" s="5"/>
      <c r="I222" s="5"/>
      <c r="J222" s="5"/>
      <c r="K222" s="180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89">
        <f>'Données projet'!A206</f>
        <v>0</v>
      </c>
      <c r="B223" s="190">
        <f>'Données projet'!D206</f>
        <v>0</v>
      </c>
      <c r="C223" s="203">
        <v>0</v>
      </c>
      <c r="D223" s="188">
        <f t="shared" si="12"/>
        <v>0</v>
      </c>
      <c r="E223" s="203"/>
      <c r="F223" s="259"/>
      <c r="G223" s="219"/>
      <c r="H223" s="5"/>
      <c r="I223" s="5"/>
      <c r="J223" s="5"/>
      <c r="K223" s="180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89">
        <f>'Données projet'!A207</f>
        <v>0</v>
      </c>
      <c r="B224" s="190">
        <f>'Données projet'!D207</f>
        <v>0</v>
      </c>
      <c r="C224" s="203">
        <v>0</v>
      </c>
      <c r="D224" s="188">
        <f t="shared" si="12"/>
        <v>0</v>
      </c>
      <c r="E224" s="203"/>
      <c r="F224" s="259"/>
      <c r="G224" s="219"/>
      <c r="H224" s="5"/>
      <c r="I224" s="5"/>
      <c r="J224" s="5"/>
      <c r="K224" s="180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89">
        <f>'Données projet'!A208</f>
        <v>0</v>
      </c>
      <c r="B225" s="190">
        <f>'Données projet'!D208</f>
        <v>0</v>
      </c>
      <c r="C225" s="203">
        <v>0</v>
      </c>
      <c r="D225" s="188">
        <f t="shared" si="12"/>
        <v>0</v>
      </c>
      <c r="E225" s="203"/>
      <c r="F225" s="259"/>
      <c r="G225" s="219"/>
      <c r="H225" s="5"/>
      <c r="I225" s="5"/>
      <c r="J225" s="5"/>
      <c r="K225" s="180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89">
        <f>'Données projet'!A209</f>
        <v>0</v>
      </c>
      <c r="B226" s="190">
        <f>'Données projet'!D209</f>
        <v>0</v>
      </c>
      <c r="C226" s="203">
        <v>0</v>
      </c>
      <c r="D226" s="188">
        <f t="shared" si="12"/>
        <v>0</v>
      </c>
      <c r="E226" s="203"/>
      <c r="F226" s="259"/>
      <c r="G226" s="219"/>
      <c r="H226" s="5"/>
      <c r="I226" s="5"/>
      <c r="J226" s="5"/>
      <c r="K226" s="180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89">
        <f>'Données projet'!A210</f>
        <v>0</v>
      </c>
      <c r="B227" s="190">
        <f>'Données projet'!D210</f>
        <v>0</v>
      </c>
      <c r="C227" s="203">
        <v>0</v>
      </c>
      <c r="D227" s="188">
        <f t="shared" si="12"/>
        <v>0</v>
      </c>
      <c r="E227" s="203"/>
      <c r="F227" s="259"/>
      <c r="G227" s="219"/>
      <c r="H227" s="5"/>
      <c r="I227" s="5"/>
      <c r="J227" s="5"/>
      <c r="K227" s="180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89">
        <f>'Données projet'!A211</f>
        <v>0</v>
      </c>
      <c r="B228" s="190">
        <f>'Données projet'!D211</f>
        <v>0</v>
      </c>
      <c r="C228" s="203">
        <v>0</v>
      </c>
      <c r="D228" s="188">
        <f t="shared" si="12"/>
        <v>0</v>
      </c>
      <c r="E228" s="203"/>
      <c r="F228" s="259"/>
      <c r="G228" s="219"/>
      <c r="H228" s="5"/>
      <c r="I228" s="5"/>
      <c r="J228" s="5"/>
      <c r="K228" s="180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57"/>
      <c r="G229" s="219"/>
      <c r="H229" s="5"/>
      <c r="I229" s="5"/>
      <c r="J229" s="5"/>
      <c r="K229" s="180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57"/>
      <c r="G230" s="219"/>
      <c r="H230" s="5"/>
      <c r="I230" s="5"/>
      <c r="J230" s="5"/>
      <c r="K230" s="180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3" t="str">
        <f>IF('Données projet'!$B$16="","",'Données projet'!$B$16)</f>
        <v>Pin de Salzmann</v>
      </c>
      <c r="C231" s="5"/>
      <c r="D231" s="5"/>
      <c r="E231" s="5"/>
      <c r="F231" s="257"/>
      <c r="G231" s="219"/>
      <c r="H231" s="5"/>
      <c r="I231" s="5"/>
      <c r="J231" s="5"/>
      <c r="K231" s="180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57"/>
      <c r="G232" s="219"/>
      <c r="H232" s="5"/>
      <c r="I232" s="5"/>
      <c r="J232" s="5"/>
      <c r="K232" s="180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3" t="s">
        <v>180</v>
      </c>
      <c r="B233" s="51" t="s">
        <v>256</v>
      </c>
      <c r="C233" s="51" t="s">
        <v>255</v>
      </c>
      <c r="D233" s="253" t="s">
        <v>252</v>
      </c>
      <c r="E233" s="253" t="s">
        <v>320</v>
      </c>
      <c r="F233" s="258"/>
      <c r="G233" s="219"/>
      <c r="H233" s="5"/>
      <c r="I233" s="5"/>
      <c r="J233" s="5"/>
      <c r="K233" s="180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06">
        <v>0</v>
      </c>
      <c r="B234" s="209" t="s">
        <v>132</v>
      </c>
      <c r="C234" s="208" t="s">
        <v>132</v>
      </c>
      <c r="D234" s="207" t="s">
        <v>132</v>
      </c>
      <c r="E234" s="203"/>
      <c r="F234" s="258"/>
      <c r="G234" s="219"/>
      <c r="H234" s="5"/>
      <c r="I234" s="5"/>
      <c r="J234" s="5"/>
      <c r="K234" s="180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06">
        <v>1</v>
      </c>
      <c r="B235" s="209" t="s">
        <v>132</v>
      </c>
      <c r="C235" s="208" t="s">
        <v>132</v>
      </c>
      <c r="D235" s="207" t="s">
        <v>132</v>
      </c>
      <c r="E235" s="203"/>
      <c r="F235" s="258"/>
      <c r="G235" s="217"/>
      <c r="H235" s="5"/>
      <c r="I235" s="5"/>
      <c r="J235" s="5"/>
      <c r="K235" s="180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06">
        <v>2</v>
      </c>
      <c r="B236" s="209" t="s">
        <v>132</v>
      </c>
      <c r="C236" s="208" t="s">
        <v>132</v>
      </c>
      <c r="D236" s="207" t="s">
        <v>132</v>
      </c>
      <c r="E236" s="203"/>
      <c r="F236" s="258"/>
      <c r="G236" s="217"/>
      <c r="H236" s="5"/>
      <c r="I236" s="5"/>
      <c r="J236" s="5"/>
      <c r="K236" s="180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06">
        <v>3</v>
      </c>
      <c r="B237" s="209" t="s">
        <v>132</v>
      </c>
      <c r="C237" s="208" t="s">
        <v>132</v>
      </c>
      <c r="D237" s="207" t="s">
        <v>132</v>
      </c>
      <c r="E237" s="203"/>
      <c r="F237" s="258"/>
      <c r="G237" s="217"/>
      <c r="H237" s="5"/>
      <c r="I237" s="5"/>
      <c r="J237" s="5"/>
      <c r="K237" s="180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06">
        <v>4</v>
      </c>
      <c r="B238" s="209" t="s">
        <v>132</v>
      </c>
      <c r="C238" s="208" t="s">
        <v>132</v>
      </c>
      <c r="D238" s="207" t="s">
        <v>132</v>
      </c>
      <c r="E238" s="203"/>
      <c r="F238" s="258"/>
      <c r="G238" s="217"/>
      <c r="H238" s="5"/>
      <c r="I238" s="5"/>
      <c r="J238" s="5"/>
      <c r="K238" s="180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06">
        <v>5</v>
      </c>
      <c r="B239" s="209" t="s">
        <v>132</v>
      </c>
      <c r="C239" s="208" t="s">
        <v>132</v>
      </c>
      <c r="D239" s="207" t="s">
        <v>132</v>
      </c>
      <c r="E239" s="203"/>
      <c r="F239" s="258"/>
      <c r="G239" s="218"/>
      <c r="H239" s="5"/>
      <c r="I239" s="5"/>
      <c r="J239" s="5"/>
      <c r="K239" s="180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89">
        <f>'Données projet'!A218</f>
        <v>32</v>
      </c>
      <c r="B240" s="190">
        <f>'Données projet'!D218</f>
        <v>46</v>
      </c>
      <c r="C240" s="201">
        <v>10</v>
      </c>
      <c r="D240" s="188">
        <f>B240*C240</f>
        <v>460</v>
      </c>
      <c r="E240" s="203"/>
      <c r="F240" s="259"/>
      <c r="G240" s="218"/>
      <c r="H240" s="5"/>
      <c r="I240" s="5"/>
      <c r="J240" s="5"/>
      <c r="K240" s="180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89">
        <f>'Données projet'!A219</f>
        <v>40</v>
      </c>
      <c r="B241" s="190">
        <f>'Données projet'!D219</f>
        <v>56</v>
      </c>
      <c r="C241" s="201">
        <v>15</v>
      </c>
      <c r="D241" s="188">
        <f t="shared" ref="D241:D259" si="13">B241*C241</f>
        <v>840</v>
      </c>
      <c r="E241" s="203"/>
      <c r="F241" s="259"/>
      <c r="G241" s="218"/>
      <c r="H241" s="5"/>
      <c r="I241" s="5"/>
      <c r="J241" s="5"/>
      <c r="K241" s="180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89">
        <f>'Données projet'!A220</f>
        <v>49</v>
      </c>
      <c r="B242" s="190">
        <f>'Données projet'!D220</f>
        <v>64</v>
      </c>
      <c r="C242" s="201">
        <v>20</v>
      </c>
      <c r="D242" s="188">
        <f t="shared" si="13"/>
        <v>1280</v>
      </c>
      <c r="E242" s="203"/>
      <c r="F242" s="259"/>
      <c r="G242" s="218"/>
      <c r="H242" s="5"/>
      <c r="I242" s="5"/>
      <c r="J242" s="5"/>
      <c r="K242" s="180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89">
        <f>'Données projet'!A221</f>
        <v>60</v>
      </c>
      <c r="B243" s="190">
        <f>'Données projet'!D221</f>
        <v>71</v>
      </c>
      <c r="C243" s="201">
        <v>25</v>
      </c>
      <c r="D243" s="188">
        <f t="shared" si="13"/>
        <v>1775</v>
      </c>
      <c r="E243" s="203"/>
      <c r="F243" s="259"/>
      <c r="G243" s="218"/>
      <c r="H243" s="5"/>
      <c r="I243" s="5"/>
      <c r="J243" s="5"/>
      <c r="K243" s="180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89">
        <f>'Données projet'!A222</f>
        <v>73</v>
      </c>
      <c r="B244" s="190">
        <f>'Données projet'!D222</f>
        <v>67</v>
      </c>
      <c r="C244" s="201">
        <v>35</v>
      </c>
      <c r="D244" s="188">
        <f t="shared" si="13"/>
        <v>2345</v>
      </c>
      <c r="E244" s="203"/>
      <c r="F244" s="259"/>
      <c r="G244" s="218"/>
      <c r="H244" s="5"/>
      <c r="I244" s="5"/>
      <c r="J244" s="5"/>
      <c r="K244" s="180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89">
        <f>'Données projet'!A223</f>
        <v>89</v>
      </c>
      <c r="B245" s="190">
        <f>'Données projet'!D223</f>
        <v>281</v>
      </c>
      <c r="C245" s="201">
        <v>50</v>
      </c>
      <c r="D245" s="188">
        <f t="shared" si="13"/>
        <v>14050</v>
      </c>
      <c r="E245" s="203"/>
      <c r="F245" s="259"/>
      <c r="G245" s="218"/>
      <c r="H245" s="5"/>
      <c r="I245" s="5"/>
      <c r="J245" s="5"/>
      <c r="K245" s="180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89">
        <f>'Données projet'!A224</f>
        <v>0</v>
      </c>
      <c r="B246" s="190">
        <f>'Données projet'!D224</f>
        <v>0</v>
      </c>
      <c r="C246" s="203">
        <v>0</v>
      </c>
      <c r="D246" s="188">
        <f t="shared" si="13"/>
        <v>0</v>
      </c>
      <c r="E246" s="203"/>
      <c r="F246" s="259"/>
      <c r="G246" s="219"/>
      <c r="H246" s="5"/>
      <c r="I246" s="5"/>
      <c r="J246" s="5"/>
      <c r="K246" s="180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89">
        <f>'Données projet'!A225</f>
        <v>0</v>
      </c>
      <c r="B247" s="190">
        <f>'Données projet'!D225</f>
        <v>0</v>
      </c>
      <c r="C247" s="203">
        <v>0</v>
      </c>
      <c r="D247" s="188">
        <f t="shared" si="13"/>
        <v>0</v>
      </c>
      <c r="E247" s="203"/>
      <c r="F247" s="259"/>
      <c r="G247" s="219"/>
      <c r="H247" s="5"/>
      <c r="I247" s="5"/>
      <c r="J247" s="5"/>
      <c r="K247" s="180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89">
        <f>'Données projet'!A226</f>
        <v>0</v>
      </c>
      <c r="B248" s="190">
        <f>'Données projet'!D226</f>
        <v>0</v>
      </c>
      <c r="C248" s="203">
        <v>0</v>
      </c>
      <c r="D248" s="188">
        <f t="shared" si="13"/>
        <v>0</v>
      </c>
      <c r="E248" s="203"/>
      <c r="F248" s="259"/>
      <c r="G248" s="219"/>
      <c r="H248" s="5"/>
      <c r="I248" s="5"/>
      <c r="J248" s="5"/>
      <c r="K248" s="180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89">
        <f>'Données projet'!A227</f>
        <v>0</v>
      </c>
      <c r="B249" s="190">
        <f>'Données projet'!D227</f>
        <v>0</v>
      </c>
      <c r="C249" s="203">
        <v>0</v>
      </c>
      <c r="D249" s="188">
        <f t="shared" si="13"/>
        <v>0</v>
      </c>
      <c r="E249" s="203"/>
      <c r="F249" s="259"/>
      <c r="G249" s="219"/>
      <c r="H249" s="5"/>
      <c r="I249" s="5"/>
      <c r="J249" s="5"/>
      <c r="K249" s="180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89">
        <f>'Données projet'!A228</f>
        <v>0</v>
      </c>
      <c r="B250" s="190">
        <f>'Données projet'!D228</f>
        <v>0</v>
      </c>
      <c r="C250" s="203">
        <v>0</v>
      </c>
      <c r="D250" s="188">
        <f t="shared" si="13"/>
        <v>0</v>
      </c>
      <c r="E250" s="203"/>
      <c r="F250" s="259"/>
      <c r="G250" s="219"/>
      <c r="H250" s="5"/>
      <c r="I250" s="5"/>
      <c r="J250" s="5"/>
      <c r="K250" s="180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89">
        <f>'Données projet'!A229</f>
        <v>0</v>
      </c>
      <c r="B251" s="190">
        <f>'Données projet'!D229</f>
        <v>0</v>
      </c>
      <c r="C251" s="203">
        <v>0</v>
      </c>
      <c r="D251" s="188">
        <f t="shared" si="13"/>
        <v>0</v>
      </c>
      <c r="E251" s="203"/>
      <c r="F251" s="259"/>
      <c r="G251" s="219"/>
      <c r="H251" s="5"/>
      <c r="I251" s="5"/>
      <c r="J251" s="5"/>
      <c r="K251" s="180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89">
        <f>'Données projet'!A230</f>
        <v>0</v>
      </c>
      <c r="B252" s="190">
        <f>'Données projet'!D230</f>
        <v>0</v>
      </c>
      <c r="C252" s="203">
        <v>0</v>
      </c>
      <c r="D252" s="188">
        <f t="shared" si="13"/>
        <v>0</v>
      </c>
      <c r="E252" s="203"/>
      <c r="F252" s="259"/>
      <c r="G252" s="219"/>
      <c r="H252" s="5"/>
      <c r="I252" s="5"/>
      <c r="J252" s="5"/>
      <c r="K252" s="180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89">
        <f>'Données projet'!A231</f>
        <v>0</v>
      </c>
      <c r="B253" s="190">
        <f>'Données projet'!D231</f>
        <v>0</v>
      </c>
      <c r="C253" s="203">
        <v>0</v>
      </c>
      <c r="D253" s="188">
        <f t="shared" si="13"/>
        <v>0</v>
      </c>
      <c r="E253" s="203"/>
      <c r="F253" s="259"/>
      <c r="G253" s="219"/>
      <c r="H253" s="5"/>
      <c r="I253" s="5"/>
      <c r="J253" s="5"/>
      <c r="K253" s="180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89">
        <f>'Données projet'!A232</f>
        <v>0</v>
      </c>
      <c r="B254" s="190">
        <f>'Données projet'!D232</f>
        <v>0</v>
      </c>
      <c r="C254" s="203">
        <v>0</v>
      </c>
      <c r="D254" s="188">
        <f t="shared" si="13"/>
        <v>0</v>
      </c>
      <c r="E254" s="203"/>
      <c r="F254" s="259"/>
      <c r="G254" s="219"/>
      <c r="H254" s="5"/>
      <c r="I254" s="5"/>
      <c r="J254" s="5"/>
      <c r="K254" s="180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89">
        <f>'Données projet'!A233</f>
        <v>0</v>
      </c>
      <c r="B255" s="190">
        <f>'Données projet'!D233</f>
        <v>0</v>
      </c>
      <c r="C255" s="203">
        <v>0</v>
      </c>
      <c r="D255" s="188">
        <f t="shared" si="13"/>
        <v>0</v>
      </c>
      <c r="E255" s="203"/>
      <c r="F255" s="259"/>
      <c r="G255" s="219"/>
      <c r="H255" s="5"/>
      <c r="I255" s="5"/>
      <c r="J255" s="5"/>
      <c r="K255" s="180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89">
        <f>'Données projet'!A234</f>
        <v>0</v>
      </c>
      <c r="B256" s="190">
        <f>'Données projet'!D234</f>
        <v>0</v>
      </c>
      <c r="C256" s="203">
        <v>0</v>
      </c>
      <c r="D256" s="188">
        <f t="shared" si="13"/>
        <v>0</v>
      </c>
      <c r="E256" s="203"/>
      <c r="F256" s="259"/>
      <c r="G256" s="219"/>
      <c r="H256" s="5"/>
      <c r="I256" s="5"/>
      <c r="J256" s="5"/>
      <c r="K256" s="180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89">
        <f>'Données projet'!A235</f>
        <v>0</v>
      </c>
      <c r="B257" s="190">
        <f>'Données projet'!D235</f>
        <v>0</v>
      </c>
      <c r="C257" s="203">
        <v>0</v>
      </c>
      <c r="D257" s="188">
        <f t="shared" si="13"/>
        <v>0</v>
      </c>
      <c r="E257" s="203"/>
      <c r="F257" s="259"/>
      <c r="G257" s="219"/>
      <c r="H257" s="5"/>
      <c r="I257" s="5"/>
      <c r="J257" s="5"/>
      <c r="K257" s="180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89">
        <f>'Données projet'!A236</f>
        <v>0</v>
      </c>
      <c r="B258" s="190">
        <f>'Données projet'!D236</f>
        <v>0</v>
      </c>
      <c r="C258" s="203">
        <v>0</v>
      </c>
      <c r="D258" s="188">
        <f t="shared" si="13"/>
        <v>0</v>
      </c>
      <c r="E258" s="203"/>
      <c r="F258" s="259"/>
      <c r="G258" s="219"/>
      <c r="H258" s="5"/>
      <c r="I258" s="5"/>
      <c r="J258" s="5"/>
      <c r="K258" s="180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89">
        <f>'Données projet'!A237</f>
        <v>0</v>
      </c>
      <c r="B259" s="190">
        <f>'Données projet'!D237</f>
        <v>0</v>
      </c>
      <c r="C259" s="203">
        <v>0</v>
      </c>
      <c r="D259" s="188">
        <f t="shared" si="13"/>
        <v>0</v>
      </c>
      <c r="E259" s="203"/>
      <c r="F259" s="259"/>
      <c r="G259" s="219"/>
      <c r="H259" s="5"/>
      <c r="I259" s="5"/>
      <c r="J259" s="5"/>
      <c r="K259" s="180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57"/>
      <c r="G260" s="219"/>
      <c r="H260" s="5"/>
      <c r="I260" s="5"/>
      <c r="J260" s="5"/>
      <c r="K260" s="180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57"/>
      <c r="G261" s="219"/>
      <c r="H261" s="5"/>
      <c r="I261" s="5"/>
      <c r="J261" s="5"/>
      <c r="K261" s="180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3" t="str">
        <f>IF('Données projet'!$B$17="","",'Données projet'!$B$17)</f>
        <v>Séquoia toujours vert</v>
      </c>
      <c r="C262" s="5"/>
      <c r="D262" s="5"/>
      <c r="E262" s="5"/>
      <c r="F262" s="257"/>
      <c r="G262" s="219"/>
      <c r="H262" s="5"/>
      <c r="I262" s="5"/>
      <c r="J262" s="5"/>
      <c r="K262" s="180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57"/>
      <c r="G263" s="219"/>
      <c r="H263" s="5"/>
      <c r="I263" s="5"/>
      <c r="J263" s="5"/>
      <c r="K263" s="180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3" t="s">
        <v>180</v>
      </c>
      <c r="B264" s="51" t="s">
        <v>256</v>
      </c>
      <c r="C264" s="51" t="s">
        <v>255</v>
      </c>
      <c r="D264" s="253" t="s">
        <v>252</v>
      </c>
      <c r="E264" s="253" t="s">
        <v>320</v>
      </c>
      <c r="F264" s="258"/>
      <c r="G264" s="219"/>
      <c r="H264" s="5"/>
      <c r="I264" s="5"/>
      <c r="J264" s="5"/>
      <c r="K264" s="180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06">
        <v>0</v>
      </c>
      <c r="B265" s="209" t="s">
        <v>132</v>
      </c>
      <c r="C265" s="208" t="s">
        <v>132</v>
      </c>
      <c r="D265" s="207" t="s">
        <v>132</v>
      </c>
      <c r="E265" s="203"/>
      <c r="F265" s="258"/>
      <c r="G265" s="219"/>
      <c r="H265" s="5"/>
      <c r="I265" s="5"/>
      <c r="J265" s="5"/>
      <c r="K265" s="180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06">
        <v>1</v>
      </c>
      <c r="B266" s="209" t="s">
        <v>132</v>
      </c>
      <c r="C266" s="208" t="s">
        <v>132</v>
      </c>
      <c r="D266" s="207" t="s">
        <v>132</v>
      </c>
      <c r="E266" s="203"/>
      <c r="F266" s="258"/>
      <c r="G266" s="217"/>
      <c r="H266" s="5"/>
      <c r="I266" s="5"/>
      <c r="J266" s="5"/>
      <c r="K266" s="180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06">
        <v>2</v>
      </c>
      <c r="B267" s="209" t="s">
        <v>132</v>
      </c>
      <c r="C267" s="208" t="s">
        <v>132</v>
      </c>
      <c r="D267" s="207" t="s">
        <v>132</v>
      </c>
      <c r="E267" s="203"/>
      <c r="F267" s="258"/>
      <c r="G267" s="217"/>
      <c r="H267" s="5"/>
      <c r="I267" s="5"/>
      <c r="J267" s="5"/>
      <c r="K267" s="180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06">
        <v>3</v>
      </c>
      <c r="B268" s="209" t="s">
        <v>132</v>
      </c>
      <c r="C268" s="208" t="s">
        <v>132</v>
      </c>
      <c r="D268" s="207" t="s">
        <v>132</v>
      </c>
      <c r="E268" s="203"/>
      <c r="F268" s="258"/>
      <c r="G268" s="217"/>
      <c r="H268" s="5"/>
      <c r="I268" s="5"/>
      <c r="J268" s="5"/>
      <c r="K268" s="180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06">
        <v>4</v>
      </c>
      <c r="B269" s="209" t="s">
        <v>132</v>
      </c>
      <c r="C269" s="208" t="s">
        <v>132</v>
      </c>
      <c r="D269" s="207" t="s">
        <v>132</v>
      </c>
      <c r="E269" s="203"/>
      <c r="F269" s="258"/>
      <c r="G269" s="217"/>
      <c r="H269" s="5"/>
      <c r="I269" s="5"/>
      <c r="J269" s="5"/>
      <c r="K269" s="180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06">
        <v>5</v>
      </c>
      <c r="B270" s="209" t="s">
        <v>132</v>
      </c>
      <c r="C270" s="208" t="s">
        <v>132</v>
      </c>
      <c r="D270" s="207" t="s">
        <v>132</v>
      </c>
      <c r="E270" s="203"/>
      <c r="F270" s="258"/>
      <c r="G270" s="218"/>
      <c r="H270" s="5"/>
      <c r="I270" s="5"/>
      <c r="J270" s="5"/>
      <c r="K270" s="180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89">
        <f>'Données projet'!A244</f>
        <v>18</v>
      </c>
      <c r="B271" s="190">
        <f>'Données projet'!D244</f>
        <v>0</v>
      </c>
      <c r="C271" s="201">
        <v>0</v>
      </c>
      <c r="D271" s="188">
        <f>B271*C271</f>
        <v>0</v>
      </c>
      <c r="E271" s="203"/>
      <c r="F271" s="259"/>
      <c r="G271" s="218"/>
      <c r="H271" s="5"/>
      <c r="I271" s="5"/>
      <c r="J271" s="5"/>
      <c r="K271" s="180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89">
        <f>'Données projet'!A245</f>
        <v>23</v>
      </c>
      <c r="B272" s="190">
        <f>'Données projet'!D245</f>
        <v>63</v>
      </c>
      <c r="C272" s="201">
        <v>10</v>
      </c>
      <c r="D272" s="188">
        <f t="shared" ref="D272:D290" si="14">B272*C272</f>
        <v>630</v>
      </c>
      <c r="E272" s="203"/>
      <c r="F272" s="259"/>
      <c r="G272" s="218"/>
      <c r="H272" s="5"/>
      <c r="I272" s="5"/>
      <c r="J272" s="5"/>
      <c r="K272" s="180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89">
        <f>'Données projet'!A246</f>
        <v>28</v>
      </c>
      <c r="B273" s="190">
        <f>'Données projet'!D246</f>
        <v>0</v>
      </c>
      <c r="C273" s="201">
        <v>0</v>
      </c>
      <c r="D273" s="188">
        <f t="shared" si="14"/>
        <v>0</v>
      </c>
      <c r="E273" s="203"/>
      <c r="F273" s="259"/>
      <c r="G273" s="218"/>
      <c r="H273" s="5"/>
      <c r="I273" s="5"/>
      <c r="J273" s="5"/>
      <c r="K273" s="180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89">
        <f>'Données projet'!A247</f>
        <v>33</v>
      </c>
      <c r="B274" s="190">
        <f>'Données projet'!D247</f>
        <v>126</v>
      </c>
      <c r="C274" s="201">
        <v>15</v>
      </c>
      <c r="D274" s="188">
        <f t="shared" si="14"/>
        <v>1890</v>
      </c>
      <c r="E274" s="203"/>
      <c r="F274" s="259"/>
      <c r="G274" s="218"/>
      <c r="H274" s="5"/>
      <c r="I274" s="5"/>
      <c r="J274" s="5"/>
      <c r="K274" s="180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89">
        <f>'Données projet'!A248</f>
        <v>38</v>
      </c>
      <c r="B275" s="190">
        <f>'Données projet'!D248</f>
        <v>0</v>
      </c>
      <c r="C275" s="201">
        <v>0</v>
      </c>
      <c r="D275" s="188">
        <f t="shared" si="14"/>
        <v>0</v>
      </c>
      <c r="E275" s="203"/>
      <c r="F275" s="259"/>
      <c r="G275" s="218"/>
      <c r="H275" s="5"/>
      <c r="I275" s="5"/>
      <c r="J275" s="5"/>
      <c r="K275" s="180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89">
        <f>'Données projet'!A249</f>
        <v>43</v>
      </c>
      <c r="B276" s="190">
        <f>'Données projet'!D249</f>
        <v>126</v>
      </c>
      <c r="C276" s="201">
        <v>20</v>
      </c>
      <c r="D276" s="188">
        <f t="shared" si="14"/>
        <v>2520</v>
      </c>
      <c r="E276" s="203"/>
      <c r="F276" s="259"/>
      <c r="G276" s="218"/>
      <c r="H276" s="5"/>
      <c r="I276" s="5"/>
      <c r="J276" s="5"/>
      <c r="K276" s="180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89">
        <f>'Données projet'!A250</f>
        <v>48</v>
      </c>
      <c r="B277" s="190">
        <f>'Données projet'!D250</f>
        <v>0</v>
      </c>
      <c r="C277" s="201">
        <v>0</v>
      </c>
      <c r="D277" s="188">
        <f t="shared" si="14"/>
        <v>0</v>
      </c>
      <c r="E277" s="203"/>
      <c r="F277" s="259"/>
      <c r="G277" s="219"/>
      <c r="H277" s="5"/>
      <c r="I277" s="5"/>
      <c r="J277" s="5"/>
      <c r="K277" s="180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89">
        <f>'Données projet'!A251</f>
        <v>53</v>
      </c>
      <c r="B278" s="190">
        <f>'Données projet'!D251</f>
        <v>94</v>
      </c>
      <c r="C278" s="201">
        <v>30</v>
      </c>
      <c r="D278" s="188">
        <f t="shared" si="14"/>
        <v>2820</v>
      </c>
      <c r="E278" s="203"/>
      <c r="F278" s="259"/>
      <c r="G278" s="219"/>
      <c r="H278" s="5"/>
      <c r="I278" s="5"/>
      <c r="J278" s="5"/>
      <c r="K278" s="180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89">
        <f>'Données projet'!A252</f>
        <v>58</v>
      </c>
      <c r="B279" s="190">
        <f>'Données projet'!D252</f>
        <v>0</v>
      </c>
      <c r="C279" s="201">
        <v>0</v>
      </c>
      <c r="D279" s="188">
        <f t="shared" si="14"/>
        <v>0</v>
      </c>
      <c r="E279" s="203"/>
      <c r="F279" s="259"/>
      <c r="G279" s="219"/>
      <c r="H279" s="5"/>
      <c r="I279" s="5"/>
      <c r="J279" s="5"/>
      <c r="K279" s="180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89">
        <f>'Données projet'!A253</f>
        <v>63</v>
      </c>
      <c r="B280" s="190">
        <f>'Données projet'!D253</f>
        <v>71</v>
      </c>
      <c r="C280" s="201">
        <v>35</v>
      </c>
      <c r="D280" s="188">
        <f t="shared" si="14"/>
        <v>2485</v>
      </c>
      <c r="E280" s="203"/>
      <c r="F280" s="259"/>
      <c r="G280" s="219"/>
      <c r="H280" s="5"/>
      <c r="I280" s="5"/>
      <c r="J280" s="5"/>
      <c r="K280" s="180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89">
        <f>'Données projet'!A254</f>
        <v>68</v>
      </c>
      <c r="B281" s="190">
        <f>'Données projet'!D254</f>
        <v>0</v>
      </c>
      <c r="C281" s="201">
        <v>0</v>
      </c>
      <c r="D281" s="188">
        <f t="shared" si="14"/>
        <v>0</v>
      </c>
      <c r="E281" s="203"/>
      <c r="F281" s="259"/>
      <c r="G281" s="219"/>
      <c r="H281" s="5"/>
      <c r="I281" s="5"/>
      <c r="J281" s="5"/>
      <c r="K281" s="180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89">
        <f>'Données projet'!A255</f>
        <v>73</v>
      </c>
      <c r="B282" s="190">
        <f>'Données projet'!D255</f>
        <v>52</v>
      </c>
      <c r="C282" s="201">
        <v>50</v>
      </c>
      <c r="D282" s="188">
        <f t="shared" si="14"/>
        <v>2600</v>
      </c>
      <c r="E282" s="203"/>
      <c r="F282" s="259"/>
      <c r="G282" s="219"/>
      <c r="H282" s="5"/>
      <c r="I282" s="5"/>
      <c r="J282" s="5"/>
      <c r="K282" s="180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89">
        <f>'Données projet'!A256</f>
        <v>78</v>
      </c>
      <c r="B283" s="190">
        <f>'Données projet'!D256</f>
        <v>740</v>
      </c>
      <c r="C283" s="201">
        <v>60</v>
      </c>
      <c r="D283" s="188">
        <f t="shared" si="14"/>
        <v>44400</v>
      </c>
      <c r="E283" s="203"/>
      <c r="F283" s="259"/>
      <c r="G283" s="219"/>
      <c r="H283" s="5"/>
      <c r="I283" s="5"/>
      <c r="J283" s="5"/>
      <c r="K283" s="180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89">
        <f>'Données projet'!A257</f>
        <v>0</v>
      </c>
      <c r="B284" s="190">
        <f>'Données projet'!D257</f>
        <v>0</v>
      </c>
      <c r="C284" s="201">
        <v>0</v>
      </c>
      <c r="D284" s="188">
        <f t="shared" si="14"/>
        <v>0</v>
      </c>
      <c r="E284" s="203"/>
      <c r="F284" s="259"/>
      <c r="G284" s="219"/>
      <c r="H284" s="5"/>
      <c r="I284" s="5"/>
      <c r="J284" s="5"/>
      <c r="K284" s="180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89">
        <f>'Données projet'!A258</f>
        <v>0</v>
      </c>
      <c r="B285" s="190">
        <f>'Données projet'!D258</f>
        <v>0</v>
      </c>
      <c r="C285" s="203">
        <v>0</v>
      </c>
      <c r="D285" s="188">
        <f t="shared" si="14"/>
        <v>0</v>
      </c>
      <c r="E285" s="203"/>
      <c r="F285" s="259"/>
      <c r="G285" s="219"/>
      <c r="H285" s="5"/>
      <c r="I285" s="5"/>
      <c r="J285" s="5"/>
      <c r="K285" s="180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89">
        <f>'Données projet'!A259</f>
        <v>0</v>
      </c>
      <c r="B286" s="190">
        <f>'Données projet'!D259</f>
        <v>0</v>
      </c>
      <c r="C286" s="203">
        <v>0</v>
      </c>
      <c r="D286" s="188">
        <f t="shared" si="14"/>
        <v>0</v>
      </c>
      <c r="E286" s="203"/>
      <c r="F286" s="259"/>
      <c r="G286" s="219"/>
      <c r="H286" s="5"/>
      <c r="I286" s="5"/>
      <c r="J286" s="5"/>
      <c r="K286" s="180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89">
        <f>'Données projet'!A260</f>
        <v>0</v>
      </c>
      <c r="B287" s="190">
        <f>'Données projet'!D260</f>
        <v>0</v>
      </c>
      <c r="C287" s="203">
        <v>0</v>
      </c>
      <c r="D287" s="188">
        <f t="shared" si="14"/>
        <v>0</v>
      </c>
      <c r="E287" s="203"/>
      <c r="F287" s="259"/>
      <c r="G287" s="219"/>
      <c r="H287" s="5"/>
      <c r="I287" s="5"/>
      <c r="J287" s="5"/>
      <c r="K287" s="180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89">
        <f>'Données projet'!A261</f>
        <v>0</v>
      </c>
      <c r="B288" s="190">
        <f>'Données projet'!D261</f>
        <v>0</v>
      </c>
      <c r="C288" s="203">
        <v>0</v>
      </c>
      <c r="D288" s="188">
        <f t="shared" si="14"/>
        <v>0</v>
      </c>
      <c r="E288" s="203"/>
      <c r="F288" s="259"/>
      <c r="G288" s="219"/>
      <c r="H288" s="5"/>
      <c r="I288" s="5"/>
      <c r="J288" s="5"/>
      <c r="K288" s="180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89">
        <f>'Données projet'!A262</f>
        <v>0</v>
      </c>
      <c r="B289" s="190">
        <f>'Données projet'!D262</f>
        <v>0</v>
      </c>
      <c r="C289" s="203">
        <v>0</v>
      </c>
      <c r="D289" s="188">
        <f t="shared" si="14"/>
        <v>0</v>
      </c>
      <c r="E289" s="203"/>
      <c r="F289" s="259"/>
      <c r="G289" s="219"/>
      <c r="H289" s="5"/>
      <c r="I289" s="5"/>
      <c r="J289" s="5"/>
      <c r="K289" s="180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89">
        <f>'Données projet'!A263</f>
        <v>0</v>
      </c>
      <c r="B290" s="190">
        <f>'Données projet'!D263</f>
        <v>0</v>
      </c>
      <c r="C290" s="203">
        <v>0</v>
      </c>
      <c r="D290" s="188">
        <f t="shared" si="14"/>
        <v>0</v>
      </c>
      <c r="E290" s="203"/>
      <c r="F290" s="259"/>
      <c r="G290" s="219"/>
      <c r="H290" s="5"/>
      <c r="I290" s="5"/>
      <c r="J290" s="5"/>
      <c r="K290" s="180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57"/>
      <c r="G291" s="219"/>
      <c r="H291" s="5"/>
      <c r="I291" s="5"/>
      <c r="J291" s="5"/>
      <c r="K291" s="180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57"/>
      <c r="G292" s="219"/>
      <c r="H292" s="5"/>
      <c r="I292" s="5"/>
      <c r="J292" s="5"/>
      <c r="K292" s="180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3" t="str">
        <f>IF('Données projet'!$B$18="","",'Données projet'!$B$18)</f>
        <v/>
      </c>
      <c r="C293" s="5"/>
      <c r="D293" s="5"/>
      <c r="E293" s="5"/>
      <c r="F293" s="257"/>
      <c r="G293" s="219"/>
      <c r="H293" s="5"/>
      <c r="I293" s="5"/>
      <c r="J293" s="5"/>
      <c r="K293" s="180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57"/>
      <c r="G294" s="219"/>
      <c r="H294" s="5"/>
      <c r="I294" s="5"/>
      <c r="J294" s="5"/>
      <c r="K294" s="180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3" t="s">
        <v>180</v>
      </c>
      <c r="B295" s="51" t="s">
        <v>256</v>
      </c>
      <c r="C295" s="51" t="s">
        <v>255</v>
      </c>
      <c r="D295" s="253" t="s">
        <v>252</v>
      </c>
      <c r="E295" s="253" t="s">
        <v>320</v>
      </c>
      <c r="F295" s="258"/>
      <c r="G295" s="219"/>
      <c r="H295" s="5"/>
      <c r="I295" s="5"/>
      <c r="J295" s="5"/>
      <c r="K295" s="180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06">
        <v>0</v>
      </c>
      <c r="B296" s="209" t="s">
        <v>132</v>
      </c>
      <c r="C296" s="208" t="s">
        <v>132</v>
      </c>
      <c r="D296" s="207" t="s">
        <v>132</v>
      </c>
      <c r="E296" s="203"/>
      <c r="F296" s="258"/>
      <c r="G296" s="219"/>
      <c r="H296" s="5"/>
      <c r="I296" s="5"/>
      <c r="J296" s="5"/>
      <c r="K296" s="180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06">
        <v>1</v>
      </c>
      <c r="B297" s="209" t="s">
        <v>132</v>
      </c>
      <c r="C297" s="208" t="s">
        <v>132</v>
      </c>
      <c r="D297" s="207" t="s">
        <v>132</v>
      </c>
      <c r="E297" s="203"/>
      <c r="F297" s="258"/>
      <c r="G297" s="217"/>
      <c r="H297" s="5"/>
      <c r="I297" s="5"/>
      <c r="J297" s="5"/>
      <c r="K297" s="180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06">
        <v>2</v>
      </c>
      <c r="B298" s="209" t="s">
        <v>132</v>
      </c>
      <c r="C298" s="208" t="s">
        <v>132</v>
      </c>
      <c r="D298" s="207" t="s">
        <v>132</v>
      </c>
      <c r="E298" s="203"/>
      <c r="F298" s="258"/>
      <c r="G298" s="217"/>
      <c r="H298" s="5"/>
      <c r="I298" s="5"/>
      <c r="J298" s="5"/>
      <c r="K298" s="180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06">
        <v>3</v>
      </c>
      <c r="B299" s="209" t="s">
        <v>132</v>
      </c>
      <c r="C299" s="208" t="s">
        <v>132</v>
      </c>
      <c r="D299" s="207" t="s">
        <v>132</v>
      </c>
      <c r="E299" s="203"/>
      <c r="F299" s="258"/>
      <c r="G299" s="217"/>
      <c r="H299" s="5"/>
      <c r="I299" s="5"/>
      <c r="J299" s="5"/>
      <c r="K299" s="180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06">
        <v>4</v>
      </c>
      <c r="B300" s="209" t="s">
        <v>132</v>
      </c>
      <c r="C300" s="208" t="s">
        <v>132</v>
      </c>
      <c r="D300" s="207" t="s">
        <v>132</v>
      </c>
      <c r="E300" s="203"/>
      <c r="F300" s="258"/>
      <c r="G300" s="217"/>
      <c r="H300" s="5"/>
      <c r="I300" s="5"/>
      <c r="J300" s="5"/>
      <c r="K300" s="180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06">
        <v>5</v>
      </c>
      <c r="B301" s="209" t="s">
        <v>132</v>
      </c>
      <c r="C301" s="208"/>
      <c r="D301" s="207" t="s">
        <v>132</v>
      </c>
      <c r="E301" s="203"/>
      <c r="F301" s="258"/>
      <c r="G301" s="218"/>
      <c r="H301" s="5"/>
      <c r="I301" s="5"/>
      <c r="J301" s="5"/>
      <c r="K301" s="180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89">
        <f>'Données projet'!A270</f>
        <v>0</v>
      </c>
      <c r="B302" s="190">
        <f>'Données projet'!D270</f>
        <v>0</v>
      </c>
      <c r="C302" s="201"/>
      <c r="D302" s="191">
        <f>B302*C302</f>
        <v>0</v>
      </c>
      <c r="E302" s="203"/>
      <c r="F302" s="260"/>
      <c r="G302" s="218"/>
      <c r="H302" s="5"/>
      <c r="I302" s="5"/>
      <c r="J302" s="5"/>
      <c r="K302" s="180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89">
        <f>'Données projet'!A271</f>
        <v>0</v>
      </c>
      <c r="B303" s="190">
        <f>'Données projet'!D271</f>
        <v>0</v>
      </c>
      <c r="C303" s="201"/>
      <c r="D303" s="191">
        <f t="shared" ref="D303:D321" si="15">B303*C303</f>
        <v>0</v>
      </c>
      <c r="E303" s="203"/>
      <c r="F303" s="260"/>
      <c r="G303" s="218"/>
      <c r="H303" s="5"/>
      <c r="I303" s="5"/>
      <c r="J303" s="5"/>
      <c r="K303" s="180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89">
        <f>'Données projet'!A272</f>
        <v>0</v>
      </c>
      <c r="B304" s="190">
        <f>'Données projet'!D272</f>
        <v>0</v>
      </c>
      <c r="C304" s="201"/>
      <c r="D304" s="191">
        <f t="shared" si="15"/>
        <v>0</v>
      </c>
      <c r="E304" s="203"/>
      <c r="F304" s="260"/>
      <c r="G304" s="218"/>
      <c r="H304" s="5"/>
      <c r="I304" s="5"/>
      <c r="J304" s="5"/>
      <c r="K304" s="180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89">
        <f>'Données projet'!A273</f>
        <v>0</v>
      </c>
      <c r="B305" s="190">
        <f>'Données projet'!D273</f>
        <v>0</v>
      </c>
      <c r="C305" s="201"/>
      <c r="D305" s="191">
        <f t="shared" si="15"/>
        <v>0</v>
      </c>
      <c r="E305" s="203"/>
      <c r="F305" s="260"/>
      <c r="G305" s="218"/>
      <c r="H305" s="5"/>
      <c r="I305" s="5"/>
      <c r="J305" s="5"/>
      <c r="K305" s="180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89">
        <f>'Données projet'!A274</f>
        <v>0</v>
      </c>
      <c r="B306" s="190">
        <f>'Données projet'!D274</f>
        <v>0</v>
      </c>
      <c r="C306" s="201"/>
      <c r="D306" s="191">
        <f t="shared" si="15"/>
        <v>0</v>
      </c>
      <c r="E306" s="203"/>
      <c r="F306" s="260"/>
      <c r="G306" s="218"/>
      <c r="H306" s="5"/>
      <c r="I306" s="5"/>
      <c r="J306" s="5"/>
      <c r="K306" s="180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89">
        <f>'Données projet'!A275</f>
        <v>0</v>
      </c>
      <c r="B307" s="190">
        <f>'Données projet'!D275</f>
        <v>0</v>
      </c>
      <c r="C307" s="201"/>
      <c r="D307" s="191">
        <f t="shared" si="15"/>
        <v>0</v>
      </c>
      <c r="E307" s="203"/>
      <c r="F307" s="260"/>
      <c r="G307" s="218"/>
      <c r="H307" s="5"/>
      <c r="I307" s="5"/>
      <c r="J307" s="5"/>
      <c r="K307" s="180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89">
        <f>'Données projet'!A276</f>
        <v>0</v>
      </c>
      <c r="B308" s="190">
        <f>'Données projet'!D276</f>
        <v>0</v>
      </c>
      <c r="C308" s="201"/>
      <c r="D308" s="191">
        <f t="shared" si="15"/>
        <v>0</v>
      </c>
      <c r="E308" s="203"/>
      <c r="F308" s="260"/>
      <c r="G308" s="214"/>
      <c r="H308" s="5"/>
      <c r="I308" s="5"/>
      <c r="J308" s="5"/>
      <c r="K308" s="180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89">
        <f>'Données projet'!A277</f>
        <v>0</v>
      </c>
      <c r="B309" s="190">
        <f>'Données projet'!D277</f>
        <v>0</v>
      </c>
      <c r="C309" s="201"/>
      <c r="D309" s="191">
        <f t="shared" si="15"/>
        <v>0</v>
      </c>
      <c r="E309" s="203"/>
      <c r="F309" s="260"/>
      <c r="G309" s="214"/>
      <c r="H309" s="5"/>
      <c r="I309" s="5"/>
      <c r="J309" s="5"/>
      <c r="K309" s="180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89">
        <f>'Données projet'!A278</f>
        <v>0</v>
      </c>
      <c r="B310" s="190">
        <f>'Données projet'!D278</f>
        <v>0</v>
      </c>
      <c r="C310" s="201"/>
      <c r="D310" s="191">
        <f t="shared" si="15"/>
        <v>0</v>
      </c>
      <c r="E310" s="203"/>
      <c r="F310" s="260"/>
      <c r="G310" s="214"/>
      <c r="H310" s="5"/>
      <c r="I310" s="5"/>
      <c r="J310" s="5"/>
      <c r="K310" s="180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89">
        <f>'Données projet'!A279</f>
        <v>0</v>
      </c>
      <c r="B311" s="190">
        <f>'Données projet'!D279</f>
        <v>0</v>
      </c>
      <c r="C311" s="201"/>
      <c r="D311" s="191">
        <f t="shared" si="15"/>
        <v>0</v>
      </c>
      <c r="E311" s="203"/>
      <c r="F311" s="260"/>
      <c r="G311" s="214"/>
      <c r="H311" s="5"/>
      <c r="I311" s="5"/>
      <c r="J311" s="5"/>
      <c r="K311" s="180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89">
        <f>'Données projet'!A280</f>
        <v>0</v>
      </c>
      <c r="B312" s="190">
        <f>'Données projet'!D280</f>
        <v>0</v>
      </c>
      <c r="C312" s="201"/>
      <c r="D312" s="191">
        <f t="shared" si="15"/>
        <v>0</v>
      </c>
      <c r="E312" s="203"/>
      <c r="F312" s="260"/>
      <c r="G312" s="214"/>
      <c r="H312" s="5"/>
      <c r="I312" s="5"/>
      <c r="J312" s="5"/>
      <c r="K312" s="180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89">
        <f>'Données projet'!A281</f>
        <v>0</v>
      </c>
      <c r="B313" s="190">
        <f>'Données projet'!D281</f>
        <v>0</v>
      </c>
      <c r="C313" s="201"/>
      <c r="D313" s="191">
        <f t="shared" si="15"/>
        <v>0</v>
      </c>
      <c r="E313" s="203"/>
      <c r="F313" s="260"/>
      <c r="G313" s="214"/>
      <c r="H313" s="5"/>
      <c r="I313" s="5"/>
      <c r="J313" s="5"/>
      <c r="K313" s="180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89">
        <f>'Données projet'!A282</f>
        <v>0</v>
      </c>
      <c r="B314" s="190">
        <f>'Données projet'!D282</f>
        <v>0</v>
      </c>
      <c r="C314" s="201"/>
      <c r="D314" s="191">
        <f t="shared" si="15"/>
        <v>0</v>
      </c>
      <c r="E314" s="203"/>
      <c r="F314" s="260"/>
      <c r="G314" s="214"/>
      <c r="H314" s="5"/>
      <c r="I314" s="5"/>
      <c r="J314" s="5"/>
      <c r="K314" s="180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89">
        <f>'Données projet'!A283</f>
        <v>0</v>
      </c>
      <c r="B315" s="190">
        <f>'Données projet'!D283</f>
        <v>0</v>
      </c>
      <c r="C315" s="201"/>
      <c r="D315" s="191">
        <f t="shared" si="15"/>
        <v>0</v>
      </c>
      <c r="E315" s="203"/>
      <c r="F315" s="260"/>
      <c r="G315" s="214"/>
      <c r="H315" s="5"/>
      <c r="I315" s="5"/>
      <c r="J315" s="5"/>
      <c r="K315" s="180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89">
        <f>'Données projet'!A284</f>
        <v>0</v>
      </c>
      <c r="B316" s="190">
        <f>'Données projet'!D284</f>
        <v>0</v>
      </c>
      <c r="C316" s="201"/>
      <c r="D316" s="191">
        <f t="shared" si="15"/>
        <v>0</v>
      </c>
      <c r="E316" s="203"/>
      <c r="F316" s="260"/>
      <c r="G316" s="214"/>
      <c r="H316" s="5"/>
      <c r="I316" s="5"/>
      <c r="J316" s="5"/>
      <c r="K316" s="180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89">
        <f>'Données projet'!A285</f>
        <v>0</v>
      </c>
      <c r="B317" s="190">
        <f>'Données projet'!D285</f>
        <v>0</v>
      </c>
      <c r="C317" s="201"/>
      <c r="D317" s="191">
        <f t="shared" si="15"/>
        <v>0</v>
      </c>
      <c r="E317" s="203"/>
      <c r="F317" s="260"/>
      <c r="G317" s="214"/>
      <c r="H317" s="5"/>
      <c r="I317" s="5"/>
      <c r="J317" s="5"/>
      <c r="K317" s="180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89">
        <f>'Données projet'!A286</f>
        <v>0</v>
      </c>
      <c r="B318" s="190">
        <f>'Données projet'!D286</f>
        <v>0</v>
      </c>
      <c r="C318" s="201"/>
      <c r="D318" s="191">
        <f t="shared" si="15"/>
        <v>0</v>
      </c>
      <c r="E318" s="203"/>
      <c r="F318" s="260"/>
      <c r="G318" s="214"/>
      <c r="H318" s="5"/>
      <c r="I318" s="5"/>
      <c r="J318" s="5"/>
      <c r="K318" s="180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89">
        <f>'Données projet'!A287</f>
        <v>0</v>
      </c>
      <c r="B319" s="190">
        <f>'Données projet'!D287</f>
        <v>0</v>
      </c>
      <c r="C319" s="201"/>
      <c r="D319" s="191">
        <f t="shared" si="15"/>
        <v>0</v>
      </c>
      <c r="E319" s="203"/>
      <c r="F319" s="260"/>
      <c r="G319" s="214"/>
      <c r="H319" s="5"/>
      <c r="I319" s="5"/>
      <c r="J319" s="5"/>
      <c r="K319" s="180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89">
        <f>'Données projet'!A288</f>
        <v>0</v>
      </c>
      <c r="B320" s="190">
        <f>'Données projet'!D288</f>
        <v>0</v>
      </c>
      <c r="C320" s="201"/>
      <c r="D320" s="191">
        <f t="shared" si="15"/>
        <v>0</v>
      </c>
      <c r="E320" s="203"/>
      <c r="F320" s="260"/>
      <c r="G320" s="214"/>
      <c r="H320" s="5"/>
      <c r="I320" s="5"/>
      <c r="J320" s="5"/>
      <c r="K320" s="180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89">
        <f>'Données projet'!A289</f>
        <v>0</v>
      </c>
      <c r="B321" s="190">
        <f>'Données projet'!D289</f>
        <v>0</v>
      </c>
      <c r="C321" s="201"/>
      <c r="D321" s="191">
        <f t="shared" si="15"/>
        <v>0</v>
      </c>
      <c r="E321" s="203"/>
      <c r="F321" s="260"/>
      <c r="G321" s="214"/>
      <c r="H321" s="5"/>
      <c r="I321" s="5"/>
      <c r="J321" s="5"/>
      <c r="K321" s="180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4"/>
      <c r="H322" s="5"/>
      <c r="I322" s="5"/>
      <c r="J322" s="5"/>
      <c r="K322" s="180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4"/>
      <c r="H323" s="5"/>
      <c r="I323" s="5"/>
      <c r="J323" s="5"/>
      <c r="K323" s="180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4"/>
      <c r="H324" s="5"/>
      <c r="I324" s="5"/>
      <c r="J324" s="5"/>
      <c r="K324" s="180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4"/>
      <c r="H325" s="5"/>
      <c r="I325" s="5"/>
      <c r="J325" s="5"/>
      <c r="K325" s="180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4"/>
      <c r="H326" s="5"/>
      <c r="I326" s="5"/>
      <c r="J326" s="5"/>
      <c r="K326" s="180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4"/>
      <c r="H327" s="5"/>
      <c r="I327" s="5"/>
      <c r="J327" s="5"/>
      <c r="K327" s="180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27"/>
      <c r="G328" s="227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27"/>
      <c r="G329" s="227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27"/>
      <c r="G330" s="227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27"/>
      <c r="G331" s="227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27"/>
      <c r="G332" s="227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27"/>
      <c r="G333" s="227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27"/>
      <c r="G334" s="227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27"/>
      <c r="G335" s="227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27"/>
      <c r="G336" s="227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27"/>
      <c r="G337" s="227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27"/>
      <c r="G338" s="227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27"/>
      <c r="G339" s="227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27"/>
      <c r="G340" s="227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27"/>
      <c r="G341" s="227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27"/>
      <c r="G342" s="227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27"/>
      <c r="G343" s="227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27"/>
      <c r="G344" s="227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27"/>
      <c r="G345" s="227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27"/>
      <c r="G346" s="227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27"/>
      <c r="G347" s="227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27"/>
      <c r="G348" s="227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27"/>
      <c r="G349" s="227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27"/>
      <c r="G350" s="227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27"/>
      <c r="G351" s="227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27"/>
      <c r="G352" s="227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27"/>
      <c r="G353" s="227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27"/>
      <c r="G354" s="227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27"/>
      <c r="G355" s="227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27"/>
      <c r="G356" s="227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27"/>
      <c r="G357" s="227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27"/>
      <c r="G358" s="227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27"/>
      <c r="G359" s="227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27"/>
      <c r="G360" s="227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27"/>
      <c r="G361" s="227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27"/>
      <c r="G362" s="227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27"/>
      <c r="G363" s="227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27"/>
      <c r="G364" s="227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27"/>
      <c r="G365" s="227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27"/>
      <c r="G366" s="227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27"/>
      <c r="G367" s="227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27"/>
      <c r="G368" s="227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27"/>
      <c r="G369" s="227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27"/>
      <c r="G370" s="68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27"/>
      <c r="G371" s="68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27"/>
      <c r="G372" s="68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27"/>
      <c r="G373" s="68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27"/>
      <c r="G374" s="68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27"/>
      <c r="G375" s="68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27"/>
      <c r="G376" s="68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27"/>
      <c r="G377" s="68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27"/>
      <c r="G378" s="68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27"/>
      <c r="G379" s="68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27"/>
      <c r="G380" s="68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27"/>
      <c r="G381" s="68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27"/>
      <c r="G382" s="68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27"/>
      <c r="G383" s="68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27"/>
      <c r="G384" s="68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27"/>
      <c r="G385" s="68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27"/>
      <c r="G386" s="68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27"/>
      <c r="G387" s="68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27"/>
      <c r="G388" s="68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27"/>
      <c r="G389" s="68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27"/>
      <c r="G390" s="68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27"/>
      <c r="G391" s="68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27"/>
      <c r="G392" s="68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27"/>
      <c r="G393" s="68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27"/>
      <c r="G394" s="68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27"/>
      <c r="G395" s="68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68"/>
      <c r="G396" s="68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68"/>
      <c r="G397" s="68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68"/>
      <c r="G398" s="68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68"/>
      <c r="G399" s="68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68"/>
      <c r="G400" s="68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68"/>
      <c r="G401" s="68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68"/>
      <c r="G402" s="68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68"/>
      <c r="G403" s="68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68"/>
      <c r="G404" s="68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68"/>
      <c r="G405" s="68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68"/>
      <c r="G406" s="68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68"/>
      <c r="G407" s="68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68"/>
      <c r="G408" s="68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68"/>
      <c r="G409" s="68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68"/>
      <c r="G410" s="68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68"/>
      <c r="G411" s="68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68"/>
      <c r="G412" s="68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68"/>
      <c r="G413" s="68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68"/>
      <c r="G414" s="68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68"/>
      <c r="G415" s="68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68"/>
      <c r="G416" s="68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68"/>
      <c r="G417" s="68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68"/>
      <c r="G418" s="68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68"/>
      <c r="G419" s="68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68"/>
      <c r="G420" s="68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68"/>
      <c r="G421" s="68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68"/>
      <c r="G422" s="68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68"/>
      <c r="G423" s="68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68"/>
      <c r="G424" s="68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68"/>
      <c r="G425" s="68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68"/>
      <c r="G426" s="68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68"/>
      <c r="G427" s="68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68"/>
      <c r="G428" s="68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68"/>
      <c r="G429" s="68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68"/>
      <c r="G430" s="68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68"/>
      <c r="G431" s="68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68"/>
      <c r="G432" s="68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68"/>
      <c r="G433" s="68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68"/>
      <c r="G434" s="68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68"/>
      <c r="G435" s="68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68"/>
      <c r="G436" s="68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68"/>
      <c r="G437" s="68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68"/>
      <c r="G438" s="68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68"/>
      <c r="G439" s="68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68"/>
      <c r="G440" s="68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68"/>
      <c r="G441" s="68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Geoffroy Rombaut - C+for (CNPF)</cp:lastModifiedBy>
  <dcterms:created xsi:type="dcterms:W3CDTF">2021-02-01T08:22:39Z</dcterms:created>
  <dcterms:modified xsi:type="dcterms:W3CDTF">2024-07-24T09:03:29Z</dcterms:modified>
</cp:coreProperties>
</file>