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70-004 BELLE COMBE/h. Carbone/2023 LBC forêts dégradées/V3 - dossier en cours de dépôt Fev. 2024/"/>
    </mc:Choice>
  </mc:AlternateContent>
  <xr:revisionPtr revIDLastSave="1" documentId="13_ncr:1_{4D9360E1-EC2E-4FCD-8B3C-B94484817281}" xr6:coauthVersionLast="47" xr6:coauthVersionMax="47" xr10:uidLastSave="{12B0222A-AA56-4DB3-964D-47E4DB456774}"/>
  <bookViews>
    <workbookView xWindow="-110" yWindow="-110" windowWidth="19420" windowHeight="11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3" i="1" l="1"/>
  <c r="B252" i="1" l="1"/>
  <c r="B251" i="1"/>
  <c r="B250" i="1"/>
  <c r="B249" i="1"/>
  <c r="B248" i="1"/>
  <c r="B247" i="1"/>
  <c r="B246" i="1"/>
  <c r="B231" i="1"/>
  <c r="D231" i="1" s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05" i="1"/>
  <c r="D205" i="1" s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D179" i="1"/>
  <c r="D101" i="1" l="1"/>
  <c r="B124" i="1"/>
  <c r="D124" i="1" s="1"/>
  <c r="B123" i="1"/>
  <c r="B122" i="1"/>
  <c r="B121" i="1"/>
  <c r="B120" i="1"/>
  <c r="B119" i="1"/>
  <c r="B118" i="1"/>
  <c r="B117" i="1"/>
  <c r="B116" i="1"/>
  <c r="B115" i="1"/>
  <c r="B114" i="1"/>
  <c r="D75" i="1"/>
  <c r="D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BR4" i="2"/>
  <c r="EC4" i="2"/>
  <c r="EA4" i="2"/>
  <c r="GL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A7" i="2"/>
  <c r="EV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W20" i="2"/>
  <c r="FS20" i="2"/>
  <c r="EC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HG22" i="2"/>
  <c r="EB22" i="2"/>
  <c r="HH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W44" i="2"/>
  <c r="FS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X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HG113" i="2"/>
  <c r="FS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B128" i="2"/>
  <c r="EX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FS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FR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FR146" i="2"/>
  <c r="FS146" i="2"/>
  <c r="EA146" i="2"/>
  <c r="HI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Y154" i="2"/>
  <c r="DI154" i="2"/>
  <c r="ED154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DH156" i="2"/>
  <c r="ED155" i="2"/>
  <c r="EB156" i="2"/>
  <c r="FS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H157" i="2"/>
  <c r="EC157" i="2"/>
  <c r="EX157" i="2"/>
  <c r="EB157" i="2"/>
  <c r="EA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FS160" i="2"/>
  <c r="ED159" i="2"/>
  <c r="EC160" i="2"/>
  <c r="EY159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HG161" i="2"/>
  <c r="EX161" i="2"/>
  <c r="EA161" i="2"/>
  <c r="ED160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DI161" i="2"/>
  <c r="ED161" i="2"/>
  <c r="EC162" i="2"/>
  <c r="EY161" i="2"/>
  <c r="EW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HH163" i="2"/>
  <c r="EA163" i="2"/>
  <c r="EV163" i="2"/>
  <c r="HG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H164" i="2"/>
  <c r="EA164" i="2"/>
  <c r="ED163" i="2"/>
  <c r="EV164" i="2"/>
  <c r="FR164" i="2"/>
  <c r="DI163" i="2"/>
  <c r="FS164" i="2"/>
  <c r="EX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ED165" i="2"/>
  <c r="EC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Y166" i="2"/>
  <c r="EB167" i="2"/>
  <c r="EA167" i="2"/>
  <c r="DG167" i="2"/>
  <c r="EX167" i="2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I168" i="2"/>
  <c r="EV168" i="2"/>
  <c r="EB168" i="2"/>
  <c r="EW168" i="2"/>
  <c r="DI167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X169" i="2"/>
  <c r="HH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Y171" i="2"/>
  <c r="EV172" i="2"/>
  <c r="ED171" i="2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D174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ED177" i="2"/>
  <c r="FQ178" i="2"/>
  <c r="HG178" i="2"/>
  <c r="EB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D178" i="2"/>
  <c r="EA179" i="2"/>
  <c r="EB179" i="2"/>
  <c r="EV179" i="2"/>
  <c r="DF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H185" i="2"/>
  <c r="EW185" i="2"/>
  <c r="ED184" i="2"/>
  <c r="EB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W186" i="2"/>
  <c r="EB186" i="2"/>
  <c r="ED185" i="2"/>
  <c r="FS186" i="2"/>
  <c r="EA186" i="2"/>
  <c r="HG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H187" i="2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EY189" i="2"/>
  <c r="EB190" i="2"/>
  <c r="ED189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HI192" i="2"/>
  <c r="EV192" i="2"/>
  <c r="HH192" i="2"/>
  <c r="EW192" i="2"/>
  <c r="EA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D192" i="2"/>
  <c r="EA193" i="2"/>
  <c r="EB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FQ194" i="2"/>
  <c r="EA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FQ195" i="2"/>
  <c r="DH195" i="2"/>
  <c r="EA195" i="2"/>
  <c r="ED194" i="2"/>
  <c r="EY194" i="2"/>
  <c r="EX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FS197" i="2"/>
  <c r="EW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W199" i="2"/>
  <c r="EY198" i="2"/>
  <c r="FS199" i="2"/>
  <c r="EA199" i="2"/>
  <c r="HG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FS201" i="2"/>
  <c r="EA201" i="2"/>
  <c r="EB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D201" i="2"/>
  <c r="FS202" i="2"/>
  <c r="EW202" i="2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29" i="2" a="1"/>
  <c r="EI29" i="2" s="1"/>
  <c r="EI142" i="2" a="1"/>
  <c r="EI142" i="2" s="1"/>
  <c r="CS52" i="2" a="1"/>
  <c r="CS52" i="2" s="1"/>
  <c r="CS116" i="2" a="1"/>
  <c r="CS116" i="2" s="1"/>
  <c r="EI195" i="2" a="1"/>
  <c r="EI195" i="2" s="1"/>
  <c r="AH90" i="2" a="1"/>
  <c r="AH90" i="2" s="1"/>
  <c r="AH19" i="2" a="1"/>
  <c r="AH19" i="2" s="1"/>
  <c r="AH62" i="2" a="1"/>
  <c r="AH62" i="2" s="1"/>
  <c r="CS105" i="2" a="1"/>
  <c r="CS105" i="2" s="1"/>
  <c r="CS38" i="2" a="1"/>
  <c r="CS38" i="2" s="1"/>
  <c r="FD60" i="2" a="1"/>
  <c r="FD60" i="2" s="1"/>
  <c r="FD131" i="2" a="1"/>
  <c r="FD131" i="2" s="1"/>
  <c r="FD19" i="2" a="1"/>
  <c r="FD19" i="2" s="1"/>
  <c r="FD187" i="2" a="1"/>
  <c r="FD187" i="2" s="1"/>
  <c r="BC55" i="2" a="1"/>
  <c r="BC55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36" i="2" a="1"/>
  <c r="EI36" i="2" s="1"/>
  <c r="EI71" i="2" a="1"/>
  <c r="EI71" i="2" s="1"/>
  <c r="EI113" i="2" a="1"/>
  <c r="EI113" i="2" s="1"/>
  <c r="EI16" i="2" a="1"/>
  <c r="EI16" i="2" s="1"/>
  <c r="EI67" i="2" a="1"/>
  <c r="EI67" i="2" s="1"/>
  <c r="CS185" i="2" a="1"/>
  <c r="CS185" i="2" s="1"/>
  <c r="CS56" i="2" a="1"/>
  <c r="CS56" i="2" s="1"/>
  <c r="CS114" i="2" a="1"/>
  <c r="CS114" i="2" s="1"/>
  <c r="DN38" i="2" a="1"/>
  <c r="DN38" i="2" s="1"/>
  <c r="DN135" i="2" a="1"/>
  <c r="DN135" i="2" s="1"/>
  <c r="DN6" i="2" a="1"/>
  <c r="DN6" i="2" s="1"/>
  <c r="DO6" i="2" s="1"/>
  <c r="DN30" i="2" a="1"/>
  <c r="DN30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AH92" i="2" l="1" a="1"/>
  <c r="AH92" i="2" s="1"/>
  <c r="CS161" i="2" a="1"/>
  <c r="CS161" i="2" s="1"/>
  <c r="DN150" i="2" a="1"/>
  <c r="DN150" i="2" s="1"/>
  <c r="AH163" i="2" a="1"/>
  <c r="AH163" i="2" s="1"/>
  <c r="CS129" i="2" a="1"/>
  <c r="CS129" i="2" s="1"/>
  <c r="FS203" i="2"/>
  <c r="AH199" i="2" a="1"/>
  <c r="AH199" i="2" s="1"/>
  <c r="DN124" i="2" a="1"/>
  <c r="DN124" i="2" s="1"/>
  <c r="CS120" i="2" a="1"/>
  <c r="CS120" i="2" s="1"/>
  <c r="AH166" i="2" a="1"/>
  <c r="AH166" i="2" s="1"/>
  <c r="CS66" i="2" a="1"/>
  <c r="CS66" i="2" s="1"/>
  <c r="CS77" i="2" a="1"/>
  <c r="CS77" i="2" s="1"/>
  <c r="AH151" i="2" a="1"/>
  <c r="AH151" i="2" s="1"/>
  <c r="CS137" i="2" a="1"/>
  <c r="CS137" i="2" s="1"/>
  <c r="FY30" i="2" a="1"/>
  <c r="FY30" i="2" s="1"/>
  <c r="FY24" i="2" a="1"/>
  <c r="FY24" i="2" s="1"/>
  <c r="FY126" i="2" a="1"/>
  <c r="FY126" i="2" s="1"/>
  <c r="FY191" i="2" a="1"/>
  <c r="FY191" i="2" s="1"/>
  <c r="FY124" i="2" a="1"/>
  <c r="FY124" i="2" s="1"/>
  <c r="FY188" i="2" a="1"/>
  <c r="FY188" i="2" s="1"/>
  <c r="FY153" i="2" a="1"/>
  <c r="FY153" i="2" s="1"/>
  <c r="FY42" i="2" a="1"/>
  <c r="FY42" i="2" s="1"/>
  <c r="FY196" i="2" a="1"/>
  <c r="FY196" i="2" s="1"/>
  <c r="FY169" i="2" a="1"/>
  <c r="FY169" i="2" s="1"/>
  <c r="FY78" i="2" a="1"/>
  <c r="FY78" i="2" s="1"/>
  <c r="FY29" i="2" a="1"/>
  <c r="FY29" i="2" s="1"/>
  <c r="FY82" i="2" a="1"/>
  <c r="FY82" i="2" s="1"/>
  <c r="FY62" i="2" a="1"/>
  <c r="FY62" i="2" s="1"/>
  <c r="FY116" i="2" a="1"/>
  <c r="FY116" i="2" s="1"/>
  <c r="FY47" i="2" a="1"/>
  <c r="FY47" i="2" s="1"/>
  <c r="FY172" i="2" a="1"/>
  <c r="FY172" i="2" s="1"/>
  <c r="FY190" i="2" a="1"/>
  <c r="FY190" i="2" s="1"/>
  <c r="FY92" i="2" a="1"/>
  <c r="FY92" i="2" s="1"/>
  <c r="FY121" i="2" a="1"/>
  <c r="FY121" i="2" s="1"/>
  <c r="FY167" i="2" a="1"/>
  <c r="FY167" i="2" s="1"/>
  <c r="FY115" i="2" a="1"/>
  <c r="FY115" i="2" s="1"/>
  <c r="FY104" i="2" a="1"/>
  <c r="FY104" i="2" s="1"/>
  <c r="FY111" i="2" a="1"/>
  <c r="FY111" i="2" s="1"/>
  <c r="FY182" i="2" a="1"/>
  <c r="FY182" i="2" s="1"/>
  <c r="FY86" i="2" a="1"/>
  <c r="FY86" i="2" s="1"/>
  <c r="FY34" i="2" a="1"/>
  <c r="FY34" i="2" s="1"/>
  <c r="FY178" i="2" a="1"/>
  <c r="FY178" i="2" s="1"/>
  <c r="FY73" i="2" a="1"/>
  <c r="FY73" i="2" s="1"/>
  <c r="FY142" i="2" a="1"/>
  <c r="FY142" i="2" s="1"/>
  <c r="FY80" i="2" a="1"/>
  <c r="FY80" i="2" s="1"/>
  <c r="FY58" i="2" a="1"/>
  <c r="FY58" i="2" s="1"/>
  <c r="FY149" i="2" a="1"/>
  <c r="FY149" i="2" s="1"/>
  <c r="FY55" i="2" a="1"/>
  <c r="FY55" i="2" s="1"/>
  <c r="FY143" i="2" a="1"/>
  <c r="FY143" i="2" s="1"/>
  <c r="FY54" i="2" a="1"/>
  <c r="FY54" i="2" s="1"/>
  <c r="FY110" i="2" a="1"/>
  <c r="FY110" i="2" s="1"/>
  <c r="FY109" i="2" a="1"/>
  <c r="FY109" i="2" s="1"/>
  <c r="FY28" i="2" a="1"/>
  <c r="FY28" i="2" s="1"/>
  <c r="FY152" i="2" a="1"/>
  <c r="FY152" i="2" s="1"/>
  <c r="FY102" i="2" a="1"/>
  <c r="FY102" i="2" s="1"/>
  <c r="FY186" i="2" a="1"/>
  <c r="FY186" i="2" s="1"/>
  <c r="FY69" i="2" a="1"/>
  <c r="FY69" i="2" s="1"/>
  <c r="FY72" i="2" a="1"/>
  <c r="FY72" i="2" s="1"/>
  <c r="FY174" i="2" a="1"/>
  <c r="FY174" i="2" s="1"/>
  <c r="FY173" i="2" a="1"/>
  <c r="FY173" i="2" s="1"/>
  <c r="FY66" i="2" a="1"/>
  <c r="FY66" i="2" s="1"/>
  <c r="FY164" i="2" a="1"/>
  <c r="FY164" i="2" s="1"/>
  <c r="FY99" i="2" a="1"/>
  <c r="FY99" i="2" s="1"/>
  <c r="FY159" i="2" a="1"/>
  <c r="FY159" i="2" s="1"/>
  <c r="FY18" i="2" a="1"/>
  <c r="FY18" i="2" s="1"/>
  <c r="FY133" i="2" a="1"/>
  <c r="FY133" i="2" s="1"/>
  <c r="FY140" i="2" a="1"/>
  <c r="FY140" i="2" s="1"/>
  <c r="FY50" i="2" a="1"/>
  <c r="FY50" i="2" s="1"/>
  <c r="FY35" i="2" a="1"/>
  <c r="FY35" i="2" s="1"/>
  <c r="FY165" i="2" a="1"/>
  <c r="FY165" i="2" s="1"/>
  <c r="FY120" i="2" a="1"/>
  <c r="FY120" i="2" s="1"/>
  <c r="FY146" i="2" a="1"/>
  <c r="FY146" i="2" s="1"/>
  <c r="FY71" i="2" a="1"/>
  <c r="FY71" i="2" s="1"/>
  <c r="FY32" i="2" a="1"/>
  <c r="FY32" i="2" s="1"/>
  <c r="FD194" i="2" a="1"/>
  <c r="FD194" i="2" s="1"/>
  <c r="FD43" i="2" a="1"/>
  <c r="FD43" i="2" s="1"/>
  <c r="FD144" i="2" a="1"/>
  <c r="FD144" i="2" s="1"/>
  <c r="FD64" i="2" a="1"/>
  <c r="FD64" i="2" s="1"/>
  <c r="FD160" i="2" a="1"/>
  <c r="FD160" i="2" s="1"/>
  <c r="FD189" i="2" a="1"/>
  <c r="FD189" i="2" s="1"/>
  <c r="FD137" i="2" a="1"/>
  <c r="FD137" i="2" s="1"/>
  <c r="FD14" i="2" a="1"/>
  <c r="FD14" i="2" s="1"/>
  <c r="FD159" i="2" a="1"/>
  <c r="FD159" i="2" s="1"/>
  <c r="FD21" i="2" a="1"/>
  <c r="FD21" i="2" s="1"/>
  <c r="FD48" i="2" a="1"/>
  <c r="FD48" i="2" s="1"/>
  <c r="FD107" i="2" a="1"/>
  <c r="FD107" i="2" s="1"/>
  <c r="FD44" i="2" a="1"/>
  <c r="FD44" i="2" s="1"/>
  <c r="FD82" i="2" a="1"/>
  <c r="FD82" i="2" s="1"/>
  <c r="FD167" i="2" a="1"/>
  <c r="FD167" i="2" s="1"/>
  <c r="FD188" i="2" a="1"/>
  <c r="FD188" i="2" s="1"/>
  <c r="FY79" i="2" a="1"/>
  <c r="FY79" i="2" s="1"/>
  <c r="FY22" i="2" a="1"/>
  <c r="FY22" i="2" s="1"/>
  <c r="FY90" i="2" a="1"/>
  <c r="FY90" i="2" s="1"/>
  <c r="FY57" i="2" a="1"/>
  <c r="FY57" i="2" s="1"/>
  <c r="DN132" i="2" a="1"/>
  <c r="DN132" i="2" s="1"/>
  <c r="DN41" i="2" a="1"/>
  <c r="DN41" i="2" s="1"/>
  <c r="DN55" i="2" a="1"/>
  <c r="DN55" i="2" s="1"/>
  <c r="DN110" i="2" a="1"/>
  <c r="DN110" i="2" s="1"/>
  <c r="DN123" i="2" a="1"/>
  <c r="DN123" i="2" s="1"/>
  <c r="DN16" i="2" a="1"/>
  <c r="DN16" i="2" s="1"/>
  <c r="DN46" i="2" a="1"/>
  <c r="DN46" i="2" s="1"/>
  <c r="DN86" i="2" a="1"/>
  <c r="DN86" i="2" s="1"/>
  <c r="DN63" i="2" a="1"/>
  <c r="DN63" i="2" s="1"/>
  <c r="DN177" i="2" a="1"/>
  <c r="DN177" i="2" s="1"/>
  <c r="DN190" i="2" a="1"/>
  <c r="DN190" i="2" s="1"/>
  <c r="DN80" i="2" a="1"/>
  <c r="DN80" i="2" s="1"/>
  <c r="DN25" i="2" a="1"/>
  <c r="DN25" i="2" s="1"/>
  <c r="DN170" i="2" a="1"/>
  <c r="DN170" i="2" s="1"/>
  <c r="DN184" i="2" a="1"/>
  <c r="DN184" i="2" s="1"/>
  <c r="DN31" i="2" a="1"/>
  <c r="DN31" i="2" s="1"/>
  <c r="DN115" i="2" a="1"/>
  <c r="DN115" i="2" s="1"/>
  <c r="DN152" i="2" a="1"/>
  <c r="DN152" i="2" s="1"/>
  <c r="DN176" i="2" a="1"/>
  <c r="DN176" i="2" s="1"/>
  <c r="DN167" i="2" a="1"/>
  <c r="DN167" i="2" s="1"/>
  <c r="DN153" i="2" a="1"/>
  <c r="DN153" i="2" s="1"/>
  <c r="DN29" i="2" a="1"/>
  <c r="DN29" i="2" s="1"/>
  <c r="DN155" i="2" a="1"/>
  <c r="DN155" i="2" s="1"/>
  <c r="DN56" i="2" a="1"/>
  <c r="DN56" i="2" s="1"/>
  <c r="DN133" i="2" a="1"/>
  <c r="DN133" i="2" s="1"/>
  <c r="DN162" i="2" a="1"/>
  <c r="DN162" i="2" s="1"/>
  <c r="DN114" i="2" a="1"/>
  <c r="DN114" i="2" s="1"/>
  <c r="DN192" i="2" a="1"/>
  <c r="DN192" i="2" s="1"/>
  <c r="DN129" i="2" a="1"/>
  <c r="DN129" i="2" s="1"/>
  <c r="DN43" i="2" a="1"/>
  <c r="DN43" i="2" s="1"/>
  <c r="DN65" i="2" a="1"/>
  <c r="DN65" i="2" s="1"/>
  <c r="DN49" i="2" a="1"/>
  <c r="DN49" i="2" s="1"/>
  <c r="DN168" i="2" a="1"/>
  <c r="DN168" i="2" s="1"/>
  <c r="DN103" i="2" a="1"/>
  <c r="DN103" i="2" s="1"/>
  <c r="DN66" i="2" a="1"/>
  <c r="DN66" i="2" s="1"/>
  <c r="DN50" i="2" a="1"/>
  <c r="DN50" i="2" s="1"/>
  <c r="DN137" i="2" a="1"/>
  <c r="DN137" i="2" s="1"/>
  <c r="DN70" i="2" a="1"/>
  <c r="DN70" i="2" s="1"/>
  <c r="DN164" i="2" a="1"/>
  <c r="DN164" i="2" s="1"/>
  <c r="DN188" i="2" a="1"/>
  <c r="DN188" i="2" s="1"/>
  <c r="DN113" i="2" a="1"/>
  <c r="DN113" i="2" s="1"/>
  <c r="DN186" i="2" a="1"/>
  <c r="DN186" i="2" s="1"/>
  <c r="BC130" i="2" a="1"/>
  <c r="BC130" i="2" s="1"/>
  <c r="BC117" i="2" a="1"/>
  <c r="BC117" i="2" s="1"/>
  <c r="BC82" i="2" a="1"/>
  <c r="BC82" i="2" s="1"/>
  <c r="BC58" i="2" a="1"/>
  <c r="BC58" i="2" s="1"/>
  <c r="BC7" i="2" a="1"/>
  <c r="BC7" i="2" s="1"/>
  <c r="BC185" i="2" a="1"/>
  <c r="BC185" i="2" s="1"/>
  <c r="BC83" i="2" a="1"/>
  <c r="BC83" i="2" s="1"/>
  <c r="BC164" i="2" a="1"/>
  <c r="BC164" i="2" s="1"/>
  <c r="EI170" i="2" a="1"/>
  <c r="EI170" i="2" s="1"/>
  <c r="EI57" i="2" a="1"/>
  <c r="EI57" i="2" s="1"/>
  <c r="BC151" i="2" a="1"/>
  <c r="BC151" i="2" s="1"/>
  <c r="BC192" i="2" a="1"/>
  <c r="BC192" i="2" s="1"/>
  <c r="EI106" i="2" a="1"/>
  <c r="EI106" i="2" s="1"/>
  <c r="BC47" i="2" a="1"/>
  <c r="BC47" i="2" s="1"/>
  <c r="EI153" i="2" a="1"/>
  <c r="EI153" i="2" s="1"/>
  <c r="BC68" i="2" a="1"/>
  <c r="BC68" i="2" s="1"/>
  <c r="EI178" i="2" a="1"/>
  <c r="EI178" i="2" s="1"/>
  <c r="EI198" i="2" a="1"/>
  <c r="EI198" i="2" s="1"/>
  <c r="BC181" i="2" a="1"/>
  <c r="BC181" i="2" s="1"/>
  <c r="BC34" i="2" a="1"/>
  <c r="BC34" i="2" s="1"/>
  <c r="EI109" i="2" a="1"/>
  <c r="EI109" i="2" s="1"/>
  <c r="EI37" i="2" a="1"/>
  <c r="EI37" i="2" s="1"/>
  <c r="EI20" i="2" a="1"/>
  <c r="EI20" i="2" s="1"/>
  <c r="EI38" i="2" a="1"/>
  <c r="EI38" i="2" s="1"/>
  <c r="BC31" i="2" a="1"/>
  <c r="BC31" i="2" s="1"/>
  <c r="EI145" i="2" a="1"/>
  <c r="EI145" i="2" s="1"/>
  <c r="BC65" i="2" a="1"/>
  <c r="BC65" i="2" s="1"/>
  <c r="FR203" i="2"/>
  <c r="EI128" i="2" a="1"/>
  <c r="EI128" i="2" s="1"/>
  <c r="EI34" i="2" a="1"/>
  <c r="EI34" i="2" s="1"/>
  <c r="BC18" i="2" a="1"/>
  <c r="BC18" i="2" s="1"/>
  <c r="BC84" i="2" a="1"/>
  <c r="BC84" i="2" s="1"/>
  <c r="EI162" i="2" a="1"/>
  <c r="EI162" i="2" s="1"/>
  <c r="BC114" i="2" a="1"/>
  <c r="BC114" i="2" s="1"/>
  <c r="BC143" i="2" a="1"/>
  <c r="BC143" i="2" s="1"/>
  <c r="EI35" i="2" a="1"/>
  <c r="EI35" i="2" s="1"/>
  <c r="EI139" i="2" a="1"/>
  <c r="EI139" i="2" s="1"/>
  <c r="EI165" i="2" a="1"/>
  <c r="EI165" i="2" s="1"/>
  <c r="BC38" i="2" a="1"/>
  <c r="BC38" i="2" s="1"/>
  <c r="BC32" i="2" a="1"/>
  <c r="BC32" i="2" s="1"/>
  <c r="EI150" i="2" a="1"/>
  <c r="EI150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D203" i="2"/>
  <c r="DI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167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29" i="2" l="1"/>
  <c r="FJ152" i="2"/>
  <c r="FJ120" i="2"/>
  <c r="FJ92" i="2"/>
  <c r="FJ64" i="2"/>
  <c r="FJ188" i="2"/>
  <c r="FJ7" i="2"/>
  <c r="FJ54" i="2"/>
  <c r="FJ86" i="2"/>
  <c r="FJ100" i="2"/>
  <c r="FJ198" i="2"/>
  <c r="FJ190" i="2"/>
  <c r="FJ96" i="2"/>
  <c r="FJ119" i="2"/>
  <c r="FJ60" i="2"/>
  <c r="FJ4" i="2"/>
  <c r="FJ43" i="2"/>
  <c r="FJ111" i="2"/>
  <c r="FJ51" i="2"/>
  <c r="FJ55" i="2"/>
  <c r="FJ132" i="2"/>
  <c r="FJ58" i="2"/>
  <c r="FJ115" i="2"/>
  <c r="FJ3" i="2"/>
  <c r="C13" i="4" s="1"/>
  <c r="E13" i="4" s="1"/>
  <c r="F13" i="4" s="1"/>
  <c r="G13" i="4" s="1"/>
  <c r="L13" i="4" s="1"/>
  <c r="FJ162" i="2"/>
  <c r="FJ134" i="2"/>
  <c r="FJ71" i="2"/>
  <c r="FJ32" i="2"/>
  <c r="FJ34" i="2"/>
  <c r="FJ149" i="2"/>
  <c r="FJ130" i="2"/>
  <c r="FJ166" i="2"/>
  <c r="FJ68" i="2"/>
  <c r="FJ40" i="2"/>
  <c r="FJ20" i="2"/>
  <c r="FJ109" i="2"/>
  <c r="FJ63" i="2"/>
  <c r="FJ136" i="2"/>
  <c r="FJ148" i="2"/>
  <c r="FJ53" i="2"/>
  <c r="FJ59" i="2"/>
  <c r="FJ82" i="2"/>
  <c r="FJ73" i="2"/>
  <c r="FJ48" i="2"/>
  <c r="FJ203" i="2"/>
  <c r="FJ42" i="2"/>
  <c r="FJ17" i="2"/>
  <c r="FJ70" i="2"/>
  <c r="FJ140" i="2"/>
  <c r="FJ49" i="2"/>
  <c r="FJ183" i="2"/>
  <c r="FJ143" i="2"/>
  <c r="FJ163" i="2"/>
  <c r="FJ56" i="2"/>
  <c r="FJ144" i="2"/>
  <c r="FJ12" i="2"/>
  <c r="FJ195" i="2"/>
  <c r="FJ35" i="2"/>
  <c r="FJ201" i="2"/>
  <c r="FJ121" i="2"/>
  <c r="FJ93" i="2"/>
  <c r="FJ192" i="2"/>
  <c r="FJ147" i="2"/>
  <c r="FJ161" i="2"/>
  <c r="FJ61" i="2"/>
  <c r="FJ176" i="2"/>
  <c r="FJ11" i="2"/>
  <c r="FJ157" i="2"/>
  <c r="FJ184" i="2"/>
  <c r="FJ21" i="2"/>
  <c r="FJ171" i="2"/>
  <c r="FJ128" i="2"/>
  <c r="FJ107" i="2"/>
  <c r="FJ155" i="2"/>
  <c r="FJ84" i="2"/>
  <c r="FJ164" i="2"/>
  <c r="FJ10" i="2"/>
  <c r="FJ145" i="2"/>
  <c r="FJ14" i="2"/>
  <c r="FJ65" i="2"/>
  <c r="FJ6" i="2"/>
  <c r="GE50" i="2"/>
  <c r="GE173" i="2"/>
  <c r="GE115" i="2"/>
  <c r="GE112" i="2"/>
  <c r="GE65" i="2"/>
  <c r="GE107" i="2"/>
  <c r="GE12" i="2"/>
  <c r="GE117" i="2"/>
  <c r="GE57" i="2"/>
  <c r="GE113" i="2"/>
  <c r="GE85" i="2"/>
  <c r="GE39" i="2"/>
  <c r="GE123" i="2"/>
  <c r="GE166" i="2"/>
  <c r="GE161" i="2"/>
  <c r="GE78" i="2"/>
  <c r="GE139" i="2"/>
  <c r="GE180" i="2"/>
  <c r="GE156" i="2"/>
  <c r="GE106" i="2"/>
  <c r="GE103" i="2"/>
  <c r="GE60" i="2"/>
  <c r="GE175" i="2"/>
  <c r="GE108" i="2"/>
  <c r="GE193" i="2"/>
  <c r="GE47" i="2"/>
  <c r="GE176" i="2"/>
  <c r="GE31" i="2"/>
  <c r="GE141" i="2"/>
  <c r="GE167" i="2"/>
  <c r="GE151" i="2"/>
  <c r="GE105" i="2"/>
  <c r="GE121" i="2"/>
  <c r="GE169" i="2"/>
  <c r="GE129" i="2"/>
  <c r="GE26" i="2"/>
  <c r="GE44" i="2"/>
  <c r="GE174" i="2"/>
  <c r="GE98" i="2"/>
  <c r="GE135" i="2"/>
  <c r="GE33" i="2"/>
  <c r="GE181" i="2"/>
  <c r="GE68" i="2"/>
  <c r="GE32" i="2"/>
  <c r="GE99" i="2"/>
  <c r="GE6" i="2"/>
  <c r="GE81" i="2"/>
  <c r="GE37" i="2"/>
  <c r="GE13" i="2"/>
  <c r="GE86" i="2"/>
  <c r="GE11" i="2"/>
  <c r="GE171" i="2"/>
  <c r="GE24" i="2"/>
  <c r="GE154" i="2"/>
  <c r="GE97" i="2"/>
  <c r="GE150" i="2"/>
  <c r="GE9" i="2"/>
  <c r="GE160" i="2"/>
  <c r="GE94" i="2"/>
  <c r="GE69" i="2"/>
  <c r="GE197" i="2"/>
  <c r="GE10" i="2"/>
  <c r="GE132" i="2"/>
  <c r="GE196" i="2"/>
  <c r="GE80" i="2"/>
  <c r="GE72" i="2"/>
  <c r="GE114" i="2"/>
  <c r="GE79" i="2"/>
  <c r="GE42" i="2"/>
  <c r="GE56" i="2"/>
  <c r="GE148" i="2"/>
  <c r="GE198" i="2"/>
  <c r="GE147" i="2"/>
  <c r="GE116" i="2"/>
  <c r="GE192" i="2"/>
  <c r="GE22" i="2"/>
  <c r="GE133" i="2"/>
  <c r="GE153" i="2"/>
  <c r="GE58" i="2"/>
  <c r="GE87" i="2"/>
  <c r="GE162" i="2"/>
  <c r="GE64" i="2"/>
  <c r="GE127" i="2"/>
  <c r="GE131" i="2"/>
  <c r="GE62" i="2"/>
  <c r="GE89" i="2"/>
  <c r="GE189" i="2"/>
  <c r="GE152" i="2"/>
  <c r="GE25" i="2"/>
  <c r="GE48" i="2"/>
  <c r="GE8" i="2"/>
  <c r="GE203" i="2"/>
  <c r="GE30" i="2"/>
  <c r="GE200" i="2"/>
  <c r="GE83" i="2"/>
  <c r="GE74" i="2"/>
  <c r="GE145" i="2"/>
  <c r="GE35" i="2"/>
  <c r="GE134" i="2"/>
  <c r="GE5" i="2"/>
  <c r="GE53" i="2"/>
  <c r="GE77" i="2"/>
  <c r="GE126" i="2"/>
  <c r="GE54" i="2"/>
  <c r="GE137" i="2"/>
  <c r="GE130" i="2"/>
  <c r="GE140" i="2"/>
  <c r="GE61" i="2"/>
  <c r="GE23" i="2"/>
  <c r="GE55" i="2"/>
  <c r="GE88" i="2"/>
  <c r="GE71" i="2"/>
  <c r="GE157" i="2"/>
  <c r="GE28" i="2"/>
  <c r="GE177" i="2"/>
  <c r="GE75" i="2"/>
  <c r="GE3" i="2"/>
  <c r="C14" i="4" s="1"/>
  <c r="E14" i="4" s="1"/>
  <c r="F14" i="4" s="1"/>
  <c r="G14" i="4" s="1"/>
  <c r="L14" i="4" s="1"/>
  <c r="GE195" i="2"/>
  <c r="GE158" i="2"/>
  <c r="GE185" i="2"/>
  <c r="GE49" i="2"/>
  <c r="GE15" i="2"/>
  <c r="GE119" i="2"/>
  <c r="GE187" i="2"/>
  <c r="GE90" i="2"/>
  <c r="GE120" i="2"/>
  <c r="GE190" i="2"/>
  <c r="GE4" i="2"/>
  <c r="GE168" i="2"/>
  <c r="GE34" i="2"/>
  <c r="GE76" i="2"/>
  <c r="GE73" i="2"/>
  <c r="GE184" i="2"/>
  <c r="GE109" i="2"/>
  <c r="GE182" i="2"/>
  <c r="GE149" i="2"/>
  <c r="GE92" i="2"/>
  <c r="GE199" i="2"/>
  <c r="GE186" i="2"/>
  <c r="GE41" i="2"/>
  <c r="GE122" i="2"/>
  <c r="GE59" i="2"/>
  <c r="GE138" i="2"/>
  <c r="GE96" i="2"/>
  <c r="GE178" i="2"/>
  <c r="GE18" i="2"/>
  <c r="GE191" i="2"/>
  <c r="GE194" i="2"/>
  <c r="GE95" i="2"/>
  <c r="GE128" i="2"/>
  <c r="GE188" i="2"/>
  <c r="GE52" i="2"/>
  <c r="GE7" i="2"/>
  <c r="GE70" i="2"/>
  <c r="GE84" i="2"/>
  <c r="GE101" i="2"/>
  <c r="GE45" i="2"/>
  <c r="GE93" i="2"/>
  <c r="GE29" i="2"/>
  <c r="GE36" i="2"/>
  <c r="GE82" i="2"/>
  <c r="GE118" i="2"/>
  <c r="GE163" i="2"/>
  <c r="GE111" i="2"/>
  <c r="GE38" i="2"/>
  <c r="GE146" i="2"/>
  <c r="GE201" i="2"/>
  <c r="GE164" i="2"/>
  <c r="GE155" i="2"/>
  <c r="GE100" i="2"/>
  <c r="GE19" i="2"/>
  <c r="GE143" i="2"/>
  <c r="GE43" i="2"/>
  <c r="GE125" i="2"/>
  <c r="GE165" i="2"/>
  <c r="GE21" i="2"/>
  <c r="GE67" i="2"/>
  <c r="GE20" i="2"/>
  <c r="GE51" i="2"/>
  <c r="GE27" i="2"/>
  <c r="GE110" i="2"/>
  <c r="GE40" i="2"/>
  <c r="GE142" i="2"/>
  <c r="GE144" i="2"/>
  <c r="GE46" i="2"/>
  <c r="GE202" i="2"/>
  <c r="GE63" i="2"/>
  <c r="GE124" i="2"/>
  <c r="GE91" i="2"/>
  <c r="GE102" i="2"/>
  <c r="GE172" i="2"/>
  <c r="GE170" i="2"/>
  <c r="GE183" i="2"/>
  <c r="GE104" i="2"/>
  <c r="GE136" i="2"/>
  <c r="GE159" i="2"/>
  <c r="GE66" i="2"/>
  <c r="GE16" i="2"/>
  <c r="GE14" i="2"/>
  <c r="GE17" i="2"/>
  <c r="GE179" i="2"/>
  <c r="FJ69" i="2"/>
  <c r="FJ194" i="2"/>
  <c r="FJ102" i="2"/>
  <c r="FJ158" i="2"/>
  <c r="FJ104" i="2"/>
  <c r="FJ36" i="2"/>
  <c r="FJ131" i="2"/>
  <c r="FJ159" i="2"/>
  <c r="FJ90" i="2"/>
  <c r="FJ98" i="2"/>
  <c r="FJ23" i="2"/>
  <c r="FJ200" i="2"/>
  <c r="FJ83" i="2"/>
  <c r="FJ28" i="2"/>
  <c r="FJ44" i="2"/>
  <c r="FJ138" i="2"/>
  <c r="FJ151" i="2"/>
  <c r="FJ177" i="2"/>
  <c r="FJ178" i="2"/>
  <c r="FJ185" i="2"/>
  <c r="FJ108" i="2"/>
  <c r="FJ78" i="2"/>
  <c r="FJ169" i="2"/>
  <c r="FJ150" i="2"/>
  <c r="FJ94" i="2"/>
  <c r="FJ146" i="2"/>
  <c r="FJ9" i="2"/>
  <c r="FJ57" i="2"/>
  <c r="FJ38" i="2"/>
  <c r="FJ168" i="2"/>
  <c r="FJ85" i="2"/>
  <c r="FJ137" i="2"/>
  <c r="FJ52" i="2"/>
  <c r="FJ135" i="2"/>
  <c r="FJ62" i="2"/>
  <c r="FJ125" i="2"/>
  <c r="FJ197" i="2"/>
  <c r="FJ187" i="2"/>
  <c r="FJ47" i="2"/>
  <c r="FJ80" i="2"/>
  <c r="FJ29" i="2"/>
  <c r="FJ122" i="2"/>
  <c r="FJ133" i="2"/>
  <c r="FJ191" i="2"/>
  <c r="FJ33" i="2"/>
  <c r="FJ110" i="2"/>
  <c r="FJ106" i="2"/>
  <c r="FJ202" i="2"/>
  <c r="FJ113" i="2"/>
  <c r="FJ16" i="2"/>
  <c r="FJ72" i="2"/>
  <c r="FJ97" i="2"/>
  <c r="FJ126" i="2"/>
  <c r="FJ114" i="2"/>
  <c r="FJ179" i="2"/>
  <c r="FJ112" i="2"/>
  <c r="FJ74" i="2"/>
  <c r="FJ26" i="2"/>
  <c r="FJ91" i="2"/>
  <c r="FJ22" i="2"/>
  <c r="FJ182" i="2"/>
  <c r="FJ8" i="2"/>
  <c r="FJ25" i="2"/>
  <c r="FJ95" i="2"/>
  <c r="FJ81" i="2"/>
  <c r="FJ118" i="2"/>
  <c r="FJ15" i="2"/>
  <c r="FJ173" i="2"/>
  <c r="FJ116" i="2"/>
  <c r="FJ105" i="2"/>
  <c r="FJ101" i="2"/>
  <c r="FJ199" i="2"/>
  <c r="FJ31" i="2"/>
  <c r="FJ66" i="2"/>
  <c r="FJ46" i="2"/>
  <c r="FJ165" i="2"/>
  <c r="FJ156" i="2"/>
  <c r="FJ181" i="2"/>
  <c r="FJ196" i="2"/>
  <c r="FJ89" i="2"/>
  <c r="FJ123" i="2"/>
  <c r="FJ41" i="2"/>
  <c r="FJ139" i="2"/>
  <c r="FJ170" i="2"/>
  <c r="FJ39" i="2"/>
  <c r="FJ13" i="2"/>
  <c r="FJ75" i="2"/>
  <c r="FJ45" i="2"/>
  <c r="FJ30" i="2"/>
  <c r="FJ117" i="2"/>
  <c r="FJ186" i="2"/>
  <c r="FJ193" i="2"/>
  <c r="FJ37" i="2"/>
  <c r="FJ5" i="2"/>
  <c r="FJ88" i="2"/>
  <c r="FJ142" i="2"/>
  <c r="FJ79" i="2"/>
  <c r="FJ67" i="2"/>
  <c r="FJ160" i="2"/>
  <c r="FJ76" i="2"/>
  <c r="FJ99" i="2"/>
  <c r="FJ87" i="2"/>
  <c r="FJ27" i="2"/>
  <c r="FJ19" i="2"/>
  <c r="FJ103" i="2"/>
  <c r="FJ77" i="2"/>
  <c r="FJ175" i="2"/>
  <c r="FJ154" i="2"/>
  <c r="FJ18" i="2"/>
  <c r="FJ153" i="2"/>
  <c r="FJ50" i="2"/>
  <c r="FJ180" i="2"/>
  <c r="FJ124" i="2"/>
  <c r="FJ24" i="2"/>
  <c r="FJ189" i="2"/>
  <c r="FJ127" i="2"/>
  <c r="FJ174" i="2"/>
  <c r="FJ141" i="2"/>
  <c r="FJ172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DT153" i="2" l="1"/>
  <c r="DT166" i="2"/>
  <c r="DT175" i="2"/>
  <c r="DT114" i="2"/>
  <c r="DT10" i="2"/>
  <c r="DT6" i="2"/>
  <c r="DT135" i="2"/>
  <c r="DT22" i="2"/>
  <c r="DT120" i="2"/>
  <c r="DT129" i="2"/>
  <c r="DT128" i="2"/>
  <c r="DT5" i="2"/>
  <c r="DT55" i="2"/>
  <c r="DT173" i="2"/>
  <c r="DT12" i="2"/>
  <c r="DT72" i="2"/>
  <c r="DT113" i="2"/>
  <c r="DT28" i="2"/>
  <c r="DT40" i="2"/>
  <c r="DT143" i="2"/>
  <c r="DT110" i="2"/>
  <c r="DT198" i="2"/>
  <c r="DT77" i="2"/>
  <c r="DT35" i="2"/>
  <c r="DT124" i="2"/>
  <c r="DT167" i="2"/>
  <c r="DT111" i="2"/>
  <c r="DT13" i="2"/>
  <c r="DT132" i="2"/>
  <c r="DT179" i="2"/>
  <c r="DT196" i="2"/>
  <c r="DT27" i="2"/>
  <c r="DT203" i="2"/>
  <c r="DT17" i="2"/>
  <c r="DT156" i="2"/>
  <c r="DT195" i="2"/>
  <c r="DT119" i="2"/>
  <c r="DT108" i="2"/>
  <c r="DT163" i="2"/>
  <c r="DT126" i="2"/>
  <c r="DT165" i="2"/>
  <c r="DT31" i="2"/>
  <c r="DT91" i="2"/>
  <c r="DT26" i="2"/>
  <c r="DT47" i="2"/>
  <c r="DT36" i="2"/>
  <c r="DT7" i="2"/>
  <c r="DT127" i="2"/>
  <c r="DT183" i="2"/>
  <c r="DT121" i="2"/>
  <c r="DT86" i="2"/>
  <c r="DT131" i="2"/>
  <c r="DT160" i="2"/>
  <c r="DT147" i="2"/>
  <c r="DT133" i="2"/>
  <c r="DT25" i="2"/>
  <c r="DT9" i="2"/>
  <c r="DT192" i="2"/>
  <c r="DT92" i="2"/>
  <c r="DT42" i="2"/>
  <c r="DT48" i="2"/>
  <c r="DT96" i="2"/>
  <c r="DT109" i="2"/>
  <c r="DT24" i="2"/>
  <c r="DT46" i="2"/>
  <c r="DT29" i="2"/>
  <c r="DT103" i="2"/>
  <c r="DT190" i="2"/>
  <c r="DT56" i="2"/>
  <c r="DT123" i="2"/>
  <c r="DT37" i="2"/>
  <c r="DT33" i="2"/>
  <c r="DT74" i="2"/>
  <c r="DT202" i="2"/>
  <c r="DT87" i="2"/>
  <c r="DT159" i="2"/>
  <c r="DT45" i="2"/>
  <c r="DT161" i="2"/>
  <c r="DT82" i="2"/>
  <c r="DT189" i="2"/>
  <c r="DT169" i="2"/>
  <c r="DT182" i="2"/>
  <c r="DT130" i="2"/>
  <c r="DT105" i="2"/>
  <c r="DT137" i="2"/>
  <c r="DT73" i="2"/>
  <c r="DT116" i="2"/>
  <c r="DT90" i="2"/>
  <c r="DT102" i="2"/>
  <c r="DT172" i="2"/>
  <c r="DT71" i="2"/>
  <c r="DT8" i="2"/>
  <c r="DT80" i="2"/>
  <c r="DT69" i="2"/>
  <c r="DT100" i="2"/>
  <c r="DT78" i="2"/>
  <c r="DT93" i="2"/>
  <c r="DT41" i="2"/>
  <c r="DT154" i="2"/>
  <c r="DT67" i="2"/>
  <c r="DT188" i="2"/>
  <c r="DT118" i="2"/>
  <c r="DT197" i="2"/>
  <c r="DT14" i="2"/>
  <c r="DT34" i="2"/>
  <c r="DT193" i="2"/>
  <c r="DT180" i="2"/>
  <c r="DT19" i="2"/>
  <c r="DT23" i="2"/>
  <c r="DT174" i="2"/>
  <c r="DT200" i="2"/>
  <c r="DT149" i="2"/>
  <c r="DT68" i="2"/>
  <c r="DT107" i="2"/>
  <c r="DT184" i="2"/>
  <c r="DT20" i="2"/>
  <c r="DT62" i="2"/>
  <c r="DT122" i="2"/>
  <c r="DT141" i="2"/>
  <c r="DT76" i="2"/>
  <c r="DT151" i="2"/>
  <c r="DT50" i="2"/>
  <c r="DT4" i="2"/>
  <c r="DT32" i="2"/>
  <c r="DT104" i="2"/>
  <c r="DT89" i="2"/>
  <c r="DT158" i="2"/>
  <c r="DT148" i="2"/>
  <c r="DT142" i="2"/>
  <c r="DT49" i="2"/>
  <c r="DT145" i="2"/>
  <c r="DT150" i="2"/>
  <c r="DT85" i="2"/>
  <c r="DT64" i="2"/>
  <c r="DT117" i="2"/>
  <c r="DT138" i="2"/>
  <c r="DT30" i="2"/>
  <c r="DT146" i="2"/>
  <c r="DT186" i="2"/>
  <c r="DT181" i="2"/>
  <c r="DT18" i="2"/>
  <c r="DT136" i="2"/>
  <c r="DT106" i="2"/>
  <c r="DT115" i="2"/>
  <c r="DT201" i="2"/>
  <c r="DT171" i="2"/>
  <c r="DT84" i="2"/>
  <c r="DT162" i="2"/>
  <c r="DT3" i="2"/>
  <c r="C11" i="4" s="1"/>
  <c r="E11" i="4" s="1"/>
  <c r="F11" i="4" s="1"/>
  <c r="G11" i="4" s="1"/>
  <c r="L11" i="4" s="1"/>
  <c r="DT16" i="2"/>
  <c r="DT140" i="2"/>
  <c r="DT170" i="2"/>
  <c r="DT11" i="2"/>
  <c r="DT79" i="2"/>
  <c r="DT176" i="2"/>
  <c r="DT112" i="2"/>
  <c r="DT65" i="2"/>
  <c r="DT187" i="2"/>
  <c r="DT164" i="2"/>
  <c r="DT94" i="2"/>
  <c r="DT185" i="2"/>
  <c r="DT178" i="2"/>
  <c r="DT75" i="2"/>
  <c r="DT194" i="2"/>
  <c r="DT63" i="2"/>
  <c r="DT101" i="2"/>
  <c r="DT134" i="2"/>
  <c r="DT61" i="2"/>
  <c r="DT70" i="2"/>
  <c r="DT125" i="2"/>
  <c r="DT38" i="2"/>
  <c r="DT191" i="2"/>
  <c r="DT155" i="2"/>
  <c r="DT98" i="2"/>
  <c r="DT152" i="2"/>
  <c r="DT59" i="2"/>
  <c r="DT157" i="2"/>
  <c r="DT83" i="2"/>
  <c r="DT95" i="2"/>
  <c r="DT52" i="2"/>
  <c r="DT53" i="2"/>
  <c r="DT144" i="2"/>
  <c r="DT51" i="2"/>
  <c r="DT99" i="2"/>
  <c r="DT39" i="2"/>
  <c r="DT88" i="2"/>
  <c r="DT199" i="2"/>
  <c r="DT168" i="2"/>
  <c r="DT15" i="2"/>
  <c r="DT58" i="2"/>
  <c r="DT81" i="2"/>
  <c r="DT44" i="2"/>
  <c r="DT97" i="2"/>
  <c r="DT43" i="2"/>
  <c r="DT177" i="2"/>
  <c r="DT57" i="2"/>
  <c r="DT139" i="2"/>
  <c r="DT54" i="2"/>
  <c r="DT66" i="2"/>
  <c r="DT60" i="2"/>
  <c r="DT21" i="2"/>
  <c r="AN91" i="2"/>
  <c r="AN6" i="2"/>
  <c r="AN100" i="2"/>
  <c r="AN187" i="2"/>
  <c r="AN155" i="2"/>
  <c r="AN106" i="2"/>
  <c r="AN40" i="2"/>
  <c r="AN93" i="2"/>
  <c r="AN176" i="2"/>
  <c r="AN54" i="2"/>
  <c r="AN73" i="2"/>
  <c r="AN17" i="2"/>
  <c r="AN177" i="2"/>
  <c r="AN158" i="2"/>
  <c r="AN119" i="2"/>
  <c r="AN200" i="2"/>
  <c r="AN48" i="2"/>
  <c r="AN148" i="2"/>
  <c r="AN64" i="2"/>
  <c r="AN42" i="2"/>
  <c r="AN147" i="2"/>
  <c r="AN129" i="2"/>
  <c r="AN25" i="2"/>
  <c r="AN69" i="2"/>
  <c r="AN107" i="2"/>
  <c r="AN166" i="2"/>
  <c r="AN31" i="2"/>
  <c r="AN84" i="2"/>
  <c r="AN164" i="2"/>
  <c r="AN67" i="2"/>
  <c r="AN61" i="2"/>
  <c r="AN58" i="2"/>
  <c r="AN168" i="2"/>
  <c r="AN45" i="2"/>
  <c r="AN130" i="2"/>
  <c r="AN189" i="2"/>
  <c r="AN141" i="2"/>
  <c r="AN104" i="2"/>
  <c r="AN29" i="2"/>
  <c r="AN111" i="2"/>
  <c r="AN108" i="2"/>
  <c r="AN15" i="2"/>
  <c r="AN110" i="2"/>
  <c r="AN197" i="2"/>
  <c r="AN127" i="2"/>
  <c r="AN139" i="2"/>
  <c r="AN116" i="2"/>
  <c r="AN144" i="2"/>
  <c r="AN27" i="2"/>
  <c r="AN137" i="2"/>
  <c r="AN140" i="2"/>
  <c r="AN113" i="2"/>
  <c r="AN175" i="2"/>
  <c r="AN80" i="2"/>
  <c r="AN157" i="2"/>
  <c r="AN201" i="2"/>
  <c r="AN23" i="2"/>
  <c r="AN53" i="2"/>
  <c r="AN131" i="2"/>
  <c r="AN47" i="2"/>
  <c r="AN133" i="2"/>
  <c r="AN152" i="2"/>
  <c r="AN62" i="2"/>
  <c r="AN169" i="2"/>
  <c r="AN35" i="2"/>
  <c r="AN136" i="2"/>
  <c r="AN123" i="2"/>
  <c r="AN174" i="2"/>
  <c r="AN50" i="2"/>
  <c r="AN88" i="2"/>
  <c r="AN43" i="2"/>
  <c r="AN117" i="2"/>
  <c r="AN156" i="2"/>
  <c r="AN181" i="2"/>
  <c r="AN7" i="2"/>
  <c r="AN22" i="2"/>
  <c r="AN26" i="2"/>
  <c r="AN182" i="2"/>
  <c r="AN12" i="2"/>
  <c r="AN199" i="2"/>
  <c r="AN74" i="2"/>
  <c r="AN162" i="2"/>
  <c r="AN172" i="2"/>
  <c r="AN24" i="2"/>
  <c r="AN196" i="2"/>
  <c r="AN82" i="2"/>
  <c r="AN202" i="2"/>
  <c r="AN103" i="2"/>
  <c r="AN16" i="2"/>
  <c r="AN138" i="2"/>
  <c r="AN20" i="2"/>
  <c r="AN3" i="2"/>
  <c r="C7" i="4" s="1"/>
  <c r="E7" i="4" s="1"/>
  <c r="F7" i="4" s="1"/>
  <c r="G7" i="4" s="1"/>
  <c r="L7" i="4" s="1"/>
  <c r="AN44" i="2"/>
  <c r="AN112" i="2"/>
  <c r="AN51" i="2"/>
  <c r="AN185" i="2"/>
  <c r="AN165" i="2"/>
  <c r="AN52" i="2"/>
  <c r="AN98" i="2"/>
  <c r="AN132" i="2"/>
  <c r="AN96" i="2"/>
  <c r="AN105" i="2"/>
  <c r="AN28" i="2"/>
  <c r="AN49" i="2"/>
  <c r="AN124" i="2"/>
  <c r="AN75" i="2"/>
  <c r="AN30" i="2"/>
  <c r="AN122" i="2"/>
  <c r="AN109" i="2"/>
  <c r="AN180" i="2"/>
  <c r="AN188" i="2"/>
  <c r="AN114" i="2"/>
  <c r="AN97" i="2"/>
  <c r="AN59" i="2"/>
  <c r="AN10" i="2"/>
  <c r="AN193" i="2"/>
  <c r="AN8" i="2"/>
  <c r="AN151" i="2"/>
  <c r="AN14" i="2"/>
  <c r="AN19" i="2"/>
  <c r="AN161" i="2"/>
  <c r="AN92" i="2"/>
  <c r="AN145" i="2"/>
  <c r="AN149" i="2"/>
  <c r="AN143" i="2"/>
  <c r="AN191" i="2"/>
  <c r="AN33" i="2"/>
  <c r="AN37" i="2"/>
  <c r="AN154" i="2"/>
  <c r="AN159" i="2"/>
  <c r="AN89" i="2"/>
  <c r="AN39" i="2"/>
  <c r="AN184" i="2"/>
  <c r="AN18" i="2"/>
  <c r="AN186" i="2"/>
  <c r="AN183" i="2"/>
  <c r="AN142" i="2"/>
  <c r="AN101" i="2"/>
  <c r="AN21" i="2"/>
  <c r="AN128" i="2"/>
  <c r="AN126" i="2"/>
  <c r="AN94" i="2"/>
  <c r="AN171" i="2"/>
  <c r="AN86" i="2"/>
  <c r="AN34" i="2"/>
  <c r="AN41" i="2"/>
  <c r="AN118" i="2"/>
  <c r="AN121" i="2"/>
  <c r="AN95" i="2"/>
  <c r="AN194" i="2"/>
  <c r="AN198" i="2"/>
  <c r="AN79" i="2"/>
  <c r="AN63" i="2"/>
  <c r="AN68" i="2"/>
  <c r="AN78" i="2"/>
  <c r="AN55" i="2"/>
  <c r="AN135" i="2"/>
  <c r="AN170" i="2"/>
  <c r="AN153" i="2"/>
  <c r="AN57" i="2"/>
  <c r="AN190" i="2"/>
  <c r="AN65" i="2"/>
  <c r="AN60" i="2"/>
  <c r="AN9" i="2"/>
  <c r="AN71" i="2"/>
  <c r="AN46" i="2"/>
  <c r="AN36" i="2"/>
  <c r="AN83" i="2"/>
  <c r="AN102" i="2"/>
  <c r="AN87" i="2"/>
  <c r="AN134" i="2"/>
  <c r="AN167" i="2"/>
  <c r="AN11" i="2"/>
  <c r="AN115" i="2"/>
  <c r="AN70" i="2"/>
  <c r="AN173" i="2"/>
  <c r="AN178" i="2"/>
  <c r="AN38" i="2"/>
  <c r="AN150" i="2"/>
  <c r="AN146" i="2"/>
  <c r="AN203" i="2"/>
  <c r="AN77" i="2"/>
  <c r="AN66" i="2"/>
  <c r="AN90" i="2"/>
  <c r="AN76" i="2"/>
  <c r="AN99" i="2"/>
  <c r="AN32" i="2"/>
  <c r="AN163" i="2"/>
  <c r="AN72" i="2"/>
  <c r="AN192" i="2"/>
  <c r="AN179" i="2"/>
  <c r="AN81" i="2"/>
  <c r="AN125" i="2"/>
  <c r="AN4" i="2"/>
  <c r="AN195" i="2"/>
  <c r="AN85" i="2"/>
  <c r="AN56" i="2"/>
  <c r="AN160" i="2"/>
  <c r="AN13" i="2"/>
  <c r="AN120" i="2"/>
  <c r="AN5" i="2"/>
  <c r="EO44" i="2"/>
  <c r="EO115" i="2"/>
  <c r="EO7" i="2"/>
  <c r="EO135" i="2"/>
  <c r="EO174" i="2"/>
  <c r="EO193" i="2"/>
  <c r="EO168" i="2"/>
  <c r="EO166" i="2"/>
  <c r="EO123" i="2"/>
  <c r="EO121" i="2"/>
  <c r="EO151" i="2"/>
  <c r="EO120" i="2"/>
  <c r="EO122" i="2"/>
  <c r="EO152" i="2"/>
  <c r="EO163" i="2"/>
  <c r="EO86" i="2"/>
  <c r="EO80" i="2"/>
  <c r="EO156" i="2"/>
  <c r="EO185" i="2"/>
  <c r="EO130" i="2"/>
  <c r="EO142" i="2"/>
  <c r="EO60" i="2"/>
  <c r="EO52" i="2"/>
  <c r="EO173" i="2"/>
  <c r="EO107" i="2"/>
  <c r="EO55" i="2"/>
  <c r="EO12" i="2"/>
  <c r="EO158" i="2"/>
  <c r="EO131" i="2"/>
  <c r="EO43" i="2"/>
  <c r="EO167" i="2"/>
  <c r="EO144" i="2"/>
  <c r="EO101" i="2"/>
  <c r="EO178" i="2"/>
  <c r="EO146" i="2"/>
  <c r="EO29" i="2"/>
  <c r="EO181" i="2"/>
  <c r="EO137" i="2"/>
  <c r="EO113" i="2"/>
  <c r="EO66" i="2"/>
  <c r="EO67" i="2"/>
  <c r="EO91" i="2"/>
  <c r="EO160" i="2"/>
  <c r="EO41" i="2"/>
  <c r="EO15" i="2"/>
  <c r="EO197" i="2"/>
  <c r="EO16" i="2"/>
  <c r="EO92" i="2"/>
  <c r="EO18" i="2"/>
  <c r="EO129" i="2"/>
  <c r="EO116" i="2"/>
  <c r="EO32" i="2"/>
  <c r="EO70" i="2"/>
  <c r="EO47" i="2"/>
  <c r="EO87" i="2"/>
  <c r="EO126" i="2"/>
  <c r="EO200" i="2"/>
  <c r="EO74" i="2"/>
  <c r="EO192" i="2"/>
  <c r="EO63" i="2"/>
  <c r="EO84" i="2"/>
  <c r="EO51" i="2"/>
  <c r="EO26" i="2"/>
  <c r="EO28" i="2"/>
  <c r="EO36" i="2"/>
  <c r="EO148" i="2"/>
  <c r="EO154" i="2"/>
  <c r="EO125" i="2"/>
  <c r="EO76" i="2"/>
  <c r="EO78" i="2"/>
  <c r="EO59" i="2"/>
  <c r="EO89" i="2"/>
  <c r="EO75" i="2"/>
  <c r="EO180" i="2"/>
  <c r="EO21" i="2"/>
  <c r="EO37" i="2"/>
  <c r="EO11" i="2"/>
  <c r="EO198" i="2"/>
  <c r="EO159" i="2"/>
  <c r="EO175" i="2"/>
  <c r="EO136" i="2"/>
  <c r="EO4" i="2"/>
  <c r="EO22" i="2"/>
  <c r="EO34" i="2"/>
  <c r="EO83" i="2"/>
  <c r="EO6" i="2"/>
  <c r="EO40" i="2"/>
  <c r="EO35" i="2"/>
  <c r="EO110" i="2"/>
  <c r="EO82" i="2"/>
  <c r="EO132" i="2"/>
  <c r="EO177" i="2"/>
  <c r="EO147" i="2"/>
  <c r="EO194" i="2"/>
  <c r="EO85" i="2"/>
  <c r="EO189" i="2"/>
  <c r="EO149" i="2"/>
  <c r="EO96" i="2"/>
  <c r="EO138" i="2"/>
  <c r="EO176" i="2"/>
  <c r="EO64" i="2"/>
  <c r="EO162" i="2"/>
  <c r="EO187" i="2"/>
  <c r="EO140" i="2"/>
  <c r="EO5" i="2"/>
  <c r="EO102" i="2"/>
  <c r="EO13" i="2"/>
  <c r="EO56" i="2"/>
  <c r="EO97" i="2"/>
  <c r="EO172" i="2"/>
  <c r="EO99" i="2"/>
  <c r="EO124" i="2"/>
  <c r="EO184" i="2"/>
  <c r="EO155" i="2"/>
  <c r="EO24" i="2"/>
  <c r="EO171" i="2"/>
  <c r="EO186" i="2"/>
  <c r="EO188" i="2"/>
  <c r="EO145" i="2"/>
  <c r="EO38" i="2"/>
  <c r="EO49" i="2"/>
  <c r="EO153" i="2"/>
  <c r="EO183" i="2"/>
  <c r="EO14" i="2"/>
  <c r="EO128" i="2"/>
  <c r="EO27" i="2"/>
  <c r="EO8" i="2"/>
  <c r="EO103" i="2"/>
  <c r="EO191" i="2"/>
  <c r="EO69" i="2"/>
  <c r="EO71" i="2"/>
  <c r="EO72" i="2"/>
  <c r="EO73" i="2"/>
  <c r="EO98" i="2"/>
  <c r="EO104" i="2"/>
  <c r="EO62" i="2"/>
  <c r="EO100" i="2"/>
  <c r="EO202" i="2"/>
  <c r="EO65" i="2"/>
  <c r="EO20" i="2"/>
  <c r="EO39" i="2"/>
  <c r="EO25" i="2"/>
  <c r="EO164" i="2"/>
  <c r="EO42" i="2"/>
  <c r="EO112" i="2"/>
  <c r="EO54" i="2"/>
  <c r="EO109" i="2"/>
  <c r="EO150" i="2"/>
  <c r="EO3" i="2"/>
  <c r="C12" i="4" s="1"/>
  <c r="E12" i="4" s="1"/>
  <c r="F12" i="4" s="1"/>
  <c r="G12" i="4" s="1"/>
  <c r="L12" i="4" s="1"/>
  <c r="EO23" i="2"/>
  <c r="EO190" i="2"/>
  <c r="EO117" i="2"/>
  <c r="EO105" i="2"/>
  <c r="EO161" i="2"/>
  <c r="EO57" i="2"/>
  <c r="EO17" i="2"/>
  <c r="EO79" i="2"/>
  <c r="EO127" i="2"/>
  <c r="EO143" i="2"/>
  <c r="EO157" i="2"/>
  <c r="EO170" i="2"/>
  <c r="EO77" i="2"/>
  <c r="EO165" i="2"/>
  <c r="EO68" i="2"/>
  <c r="EO10" i="2"/>
  <c r="EO30" i="2"/>
  <c r="EO61" i="2"/>
  <c r="EO94" i="2"/>
  <c r="EO196" i="2"/>
  <c r="EO50" i="2"/>
  <c r="EO53" i="2"/>
  <c r="EO90" i="2"/>
  <c r="EO169" i="2"/>
  <c r="EO81" i="2"/>
  <c r="EO46" i="2"/>
  <c r="EO114" i="2"/>
  <c r="EO108" i="2"/>
  <c r="EO31" i="2"/>
  <c r="EO141" i="2"/>
  <c r="EO179" i="2"/>
  <c r="EO201" i="2"/>
  <c r="EO95" i="2"/>
  <c r="EO93" i="2"/>
  <c r="EO33" i="2"/>
  <c r="EO118" i="2"/>
  <c r="EO139" i="2"/>
  <c r="EO133" i="2"/>
  <c r="EO134" i="2"/>
  <c r="EO9" i="2"/>
  <c r="EO58" i="2"/>
  <c r="EO88" i="2"/>
  <c r="EO48" i="2"/>
  <c r="EO203" i="2"/>
  <c r="EO45" i="2"/>
  <c r="EO19" i="2"/>
  <c r="EO199" i="2"/>
  <c r="EO106" i="2"/>
  <c r="EO119" i="2"/>
  <c r="EO182" i="2"/>
  <c r="EO111" i="2"/>
  <c r="EO195" i="2"/>
  <c r="FE176" i="2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" i="2" l="1"/>
  <c r="BI27" i="2"/>
  <c r="BI9" i="2"/>
  <c r="BI80" i="2"/>
  <c r="BI34" i="2"/>
  <c r="BI77" i="2"/>
  <c r="BI4" i="2"/>
  <c r="BI86" i="2"/>
  <c r="BI64" i="2"/>
  <c r="BI29" i="2"/>
  <c r="BI39" i="2"/>
  <c r="BI30" i="2"/>
  <c r="BI135" i="2"/>
  <c r="BI155" i="2"/>
  <c r="BI73" i="2"/>
  <c r="BI91" i="2"/>
  <c r="BI62" i="2"/>
  <c r="BI111" i="2"/>
  <c r="BI22" i="2"/>
  <c r="BI179" i="2"/>
  <c r="BI31" i="2"/>
  <c r="BI45" i="2"/>
  <c r="BI157" i="2"/>
  <c r="BI165" i="2"/>
  <c r="BI19" i="2"/>
  <c r="BI21" i="2"/>
  <c r="BI81" i="2"/>
  <c r="BI53" i="2"/>
  <c r="BI183" i="2"/>
  <c r="BI107" i="2"/>
  <c r="BI133" i="2"/>
  <c r="BI164" i="2"/>
  <c r="BI118" i="2"/>
  <c r="BI194" i="2"/>
  <c r="BI32" i="2"/>
  <c r="BI141" i="2"/>
  <c r="BI136" i="2"/>
  <c r="BI88" i="2"/>
  <c r="BI23" i="2"/>
  <c r="BI150" i="2"/>
  <c r="BI55" i="2"/>
  <c r="BI85" i="2"/>
  <c r="BI12" i="2"/>
  <c r="BI163" i="2"/>
  <c r="BI76" i="2"/>
  <c r="BI96" i="2"/>
  <c r="BI144" i="2"/>
  <c r="BI126" i="2"/>
  <c r="BI104" i="2"/>
  <c r="BI100" i="2"/>
  <c r="BI195" i="2"/>
  <c r="BI145" i="2"/>
  <c r="BI106" i="2"/>
  <c r="BI110" i="2"/>
  <c r="BI57" i="2"/>
  <c r="BI28" i="2"/>
  <c r="BI152" i="2"/>
  <c r="BI36" i="2"/>
  <c r="BI197" i="2"/>
  <c r="BI198" i="2"/>
  <c r="BI175" i="2"/>
  <c r="BI49" i="2"/>
  <c r="BI108" i="2"/>
  <c r="BI10" i="2"/>
  <c r="BI119" i="2"/>
  <c r="BI98" i="2"/>
  <c r="BI125" i="2"/>
  <c r="BI20" i="2"/>
  <c r="BI170" i="2"/>
  <c r="BI90" i="2"/>
  <c r="BI203" i="2"/>
  <c r="BI70" i="2"/>
  <c r="BI79" i="2"/>
  <c r="BI40" i="2"/>
  <c r="BI72" i="2"/>
  <c r="BI99" i="2"/>
  <c r="BI190" i="2"/>
  <c r="BI102" i="2"/>
  <c r="BI65" i="2"/>
  <c r="BI105" i="2"/>
  <c r="BI132" i="2"/>
  <c r="BI44" i="2"/>
  <c r="BI83" i="2"/>
  <c r="BI161" i="2"/>
  <c r="BI143" i="2"/>
  <c r="BI114" i="2"/>
  <c r="BI46" i="2"/>
  <c r="BI185" i="2"/>
  <c r="BI84" i="2"/>
  <c r="BI33" i="2"/>
  <c r="BI54" i="2"/>
  <c r="BI192" i="2"/>
  <c r="BI172" i="2"/>
  <c r="BI201" i="2"/>
  <c r="BI51" i="2"/>
  <c r="BI131" i="2"/>
  <c r="BI182" i="2"/>
  <c r="BI18" i="2"/>
  <c r="BI14" i="2"/>
  <c r="BI38" i="2"/>
  <c r="BI149" i="2"/>
  <c r="BI187" i="2"/>
  <c r="BI35" i="2"/>
  <c r="BI129" i="2"/>
  <c r="BI122" i="2"/>
  <c r="BI200" i="2"/>
  <c r="BI177" i="2"/>
  <c r="BI186" i="2"/>
  <c r="BI87" i="2"/>
  <c r="BI75" i="2"/>
  <c r="BI68" i="2"/>
  <c r="BI139" i="2"/>
  <c r="BI93" i="2"/>
  <c r="BI181" i="2"/>
  <c r="BI162" i="2"/>
  <c r="BI134" i="2"/>
  <c r="BI160" i="2"/>
  <c r="BI174" i="2"/>
  <c r="BI167" i="2"/>
  <c r="BI67" i="2"/>
  <c r="BI94" i="2"/>
  <c r="BI120" i="2"/>
  <c r="BI59" i="2"/>
  <c r="BI184" i="2"/>
  <c r="BI140" i="2"/>
  <c r="BI95" i="2"/>
  <c r="BI188" i="2"/>
  <c r="BI16" i="2"/>
  <c r="BI13" i="2"/>
  <c r="BI124" i="2"/>
  <c r="BI78" i="2"/>
  <c r="BI115" i="2"/>
  <c r="BI156" i="2"/>
  <c r="BI26" i="2"/>
  <c r="BI180" i="2"/>
  <c r="BI47" i="2"/>
  <c r="BI138" i="2"/>
  <c r="BI48" i="2"/>
  <c r="BI89" i="2"/>
  <c r="BI69" i="2"/>
  <c r="BI137" i="2"/>
  <c r="BI5" i="2"/>
  <c r="BI158" i="2"/>
  <c r="BI128" i="2"/>
  <c r="BI109" i="2"/>
  <c r="BI8" i="2"/>
  <c r="BI11" i="2"/>
  <c r="BI127" i="2"/>
  <c r="BI97" i="2"/>
  <c r="BI24" i="2"/>
  <c r="BI25" i="2"/>
  <c r="BI63" i="2"/>
  <c r="BI42" i="2"/>
  <c r="BI52" i="2"/>
  <c r="BI153" i="2"/>
  <c r="BI159" i="2"/>
  <c r="BI199" i="2"/>
  <c r="BI41" i="2"/>
  <c r="BI74" i="2"/>
  <c r="BI189" i="2"/>
  <c r="BI37" i="2"/>
  <c r="BI191" i="2"/>
  <c r="BI58" i="2"/>
  <c r="BI56" i="2"/>
  <c r="BI176" i="2"/>
  <c r="BI193" i="2"/>
  <c r="BI113" i="2"/>
  <c r="BI3" i="2"/>
  <c r="C8" i="4" s="1"/>
  <c r="E8" i="4" s="1"/>
  <c r="F8" i="4" s="1"/>
  <c r="G8" i="4" s="1"/>
  <c r="L8" i="4" s="1"/>
  <c r="BI173" i="2"/>
  <c r="BI147" i="2"/>
  <c r="BI117" i="2"/>
  <c r="BI171" i="2"/>
  <c r="BI196" i="2"/>
  <c r="BI154" i="2"/>
  <c r="BI121" i="2"/>
  <c r="BI166" i="2"/>
  <c r="BI92" i="2"/>
  <c r="BI123" i="2"/>
  <c r="BI178" i="2"/>
  <c r="BI151" i="2"/>
  <c r="BI71" i="2"/>
  <c r="BI43" i="2"/>
  <c r="BI7" i="2"/>
  <c r="BI82" i="2"/>
  <c r="BI146" i="2"/>
  <c r="BI17" i="2"/>
  <c r="BI116" i="2"/>
  <c r="BI142" i="2"/>
  <c r="BI168" i="2"/>
  <c r="BI148" i="2"/>
  <c r="BI101" i="2"/>
  <c r="BI6" i="2"/>
  <c r="BI130" i="2"/>
  <c r="BI112" i="2"/>
  <c r="BI202" i="2"/>
  <c r="BI103" i="2"/>
  <c r="BI60" i="2"/>
  <c r="BI169" i="2"/>
  <c r="BI61" i="2"/>
  <c r="BI66" i="2"/>
  <c r="BI5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<sst xmlns="http://schemas.openxmlformats.org/spreadsheetml/2006/main" count="1186" uniqueCount="325">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</sst>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7" xfId="0" applyFont="1" applyFill="1" applyBorder="1" applyAlignment="1" applyProtection="1">
      <alignment horizontal="center"/>
      <protection locked="0" hidden="1"/>
    </xf>
    <xf numFmtId="0" fontId="9" fillId="14" borderId="6" xfId="0" applyFont="1" applyFill="1" applyBorder="1" applyAlignment="1" applyProtection="1">
      <alignment horizontal="center"/>
      <protection locked="0" hidden="1"/>
    </xf>
    <xf numFmtId="1" fontId="0" fillId="4" borderId="1" xfId="0" applyNumberForma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1.8792544280676771</c:v>
                </c:pt>
                <c:pt idx="2">
                  <c:v>2.3560805346665266</c:v>
                </c:pt>
                <c:pt idx="3">
                  <c:v>2.9543709429817437</c:v>
                </c:pt>
                <c:pt idx="4">
                  <c:v>3.7051820248967453</c:v>
                </c:pt>
                <c:pt idx="5">
                  <c:v>4.6475383506557835</c:v>
                </c:pt>
                <c:pt idx="6">
                  <c:v>5.8304837002832537</c:v>
                </c:pt>
                <c:pt idx="7">
                  <c:v>7.3156615741163726</c:v>
                </c:pt>
                <c:pt idx="8">
                  <c:v>9.180562272893388</c:v>
                </c:pt>
                <c:pt idx="9">
                  <c:v>11.5226091890909</c:v>
                </c:pt>
                <c:pt idx="10">
                  <c:v>14.464301774356306</c:v>
                </c:pt>
                <c:pt idx="11">
                  <c:v>18.159689134196835</c:v>
                </c:pt>
                <c:pt idx="12">
                  <c:v>22.802519391406893</c:v>
                </c:pt>
                <c:pt idx="13">
                  <c:v>28.636499689113155</c:v>
                </c:pt>
                <c:pt idx="14">
                  <c:v>35.968214809872528</c:v>
                </c:pt>
                <c:pt idx="15">
                  <c:v>45.183394970267649</c:v>
                </c:pt>
                <c:pt idx="16">
                  <c:v>56.767403107340861</c:v>
                </c:pt>
                <c:pt idx="17">
                  <c:v>71.331038613218823</c:v>
                </c:pt>
                <c:pt idx="18">
                  <c:v>89.643040246595135</c:v>
                </c:pt>
                <c:pt idx="19">
                  <c:v>112.67103130891354</c:v>
                </c:pt>
                <c:pt idx="20">
                  <c:v>141.63310461901204</c:v>
                </c:pt>
                <c:pt idx="21">
                  <c:v>178.06281795818174</c:v>
                </c:pt>
                <c:pt idx="22">
                  <c:v>223.89109353785489</c:v>
                </c:pt>
                <c:pt idx="23">
                  <c:v>281.54942684848106</c:v>
                </c:pt>
                <c:pt idx="24">
                  <c:v>354.09996043246269</c:v>
                </c:pt>
                <c:pt idx="25">
                  <c:v>445.39942910007397</c:v>
                </c:pt>
                <c:pt idx="26">
                  <c:v>560.30581365223895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6.6671761608511053</c:v>
                </c:pt>
                <c:pt idx="2">
                  <c:v>13.033663283069531</c:v>
                </c:pt>
                <c:pt idx="3">
                  <c:v>19.303042939455146</c:v>
                </c:pt>
                <c:pt idx="4">
                  <c:v>25.512563294459923</c:v>
                </c:pt>
                <c:pt idx="5">
                  <c:v>31.679106437289075</c:v>
                </c:pt>
                <c:pt idx="6">
                  <c:v>37.812302616472174</c:v>
                </c:pt>
                <c:pt idx="7">
                  <c:v>43.918360080877228</c:v>
                </c:pt>
                <c:pt idx="8">
                  <c:v>50.00160312094232</c:v>
                </c:pt>
                <c:pt idx="9">
                  <c:v>56.06521014514886</c:v>
                </c:pt>
                <c:pt idx="10">
                  <c:v>62.111611813038422</c:v>
                </c:pt>
                <c:pt idx="11">
                  <c:v>68.14272452108996</c:v>
                </c:pt>
                <c:pt idx="12">
                  <c:v>74.160096244932106</c:v>
                </c:pt>
                <c:pt idx="13">
                  <c:v>80.165002252238452</c:v>
                </c:pt>
                <c:pt idx="14">
                  <c:v>86.158510470515978</c:v>
                </c:pt>
                <c:pt idx="15">
                  <c:v>92.141527621369264</c:v>
                </c:pt>
                <c:pt idx="16">
                  <c:v>98.114832690532054</c:v>
                </c:pt>
                <c:pt idx="17">
                  <c:v>104.07910178696937</c:v>
                </c:pt>
                <c:pt idx="18">
                  <c:v>110.03492698401654</c:v>
                </c:pt>
                <c:pt idx="19">
                  <c:v>115.98283085356282</c:v>
                </c:pt>
                <c:pt idx="20">
                  <c:v>121.9232778531174</c:v>
                </c:pt>
                <c:pt idx="21">
                  <c:v>127.85668337074144</c:v>
                </c:pt>
                <c:pt idx="22">
                  <c:v>133.78342099832221</c:v>
                </c:pt>
                <c:pt idx="23">
                  <c:v>139.70382844505221</c:v>
                </c:pt>
                <c:pt idx="24">
                  <c:v>145.61821239345747</c:v>
                </c:pt>
                <c:pt idx="25">
                  <c:v>151.52685252328283</c:v>
                </c:pt>
                <c:pt idx="26">
                  <c:v>157.43000487343213</c:v>
                </c:pt>
                <c:pt idx="27">
                  <c:v>163.32790467213928</c:v>
                </c:pt>
                <c:pt idx="28">
                  <c:v>169.22076873606747</c:v>
                </c:pt>
                <c:pt idx="29">
                  <c:v>175.1087975170492</c:v>
                </c:pt>
                <c:pt idx="30">
                  <c:v>180.99217685858619</c:v>
                </c:pt>
                <c:pt idx="31">
                  <c:v>186.87107951156952</c:v>
                </c:pt>
                <c:pt idx="32">
                  <c:v>192.74566644892982</c:v>
                </c:pt>
                <c:pt idx="33">
                  <c:v>198.6160880113396</c:v>
                </c:pt>
                <c:pt idx="34">
                  <c:v>204.48248491014036</c:v>
                </c:pt>
                <c:pt idx="35">
                  <c:v>210.34498910896306</c:v>
                </c:pt>
                <c:pt idx="36">
                  <c:v>216.20372460175972</c:v>
                </c:pt>
                <c:pt idx="37">
                  <c:v>222.0588081019574</c:v>
                </c:pt>
                <c:pt idx="38">
                  <c:v>227.91034965501251</c:v>
                </c:pt>
                <c:pt idx="39">
                  <c:v>233.75845318467347</c:v>
                </c:pt>
                <c:pt idx="40">
                  <c:v>239.60321698163875</c:v>
                </c:pt>
                <c:pt idx="41">
                  <c:v>245.44473414197429</c:v>
                </c:pt>
                <c:pt idx="42">
                  <c:v>251.28309296155342</c:v>
                </c:pt>
                <c:pt idx="43">
                  <c:v>206.19277841884386</c:v>
                </c:pt>
                <c:pt idx="44">
                  <c:v>219.61962659237349</c:v>
                </c:pt>
                <c:pt idx="45">
                  <c:v>233.02762484918864</c:v>
                </c:pt>
                <c:pt idx="46">
                  <c:v>246.4180109567441</c:v>
                </c:pt>
                <c:pt idx="47">
                  <c:v>259.79187709109505</c:v>
                </c:pt>
                <c:pt idx="48">
                  <c:v>273.15019373627206</c:v>
                </c:pt>
                <c:pt idx="49">
                  <c:v>286.49382865897542</c:v>
                </c:pt>
                <c:pt idx="50">
                  <c:v>299.82356216018104</c:v>
                </c:pt>
                <c:pt idx="51">
                  <c:v>247.14791123904374</c:v>
                </c:pt>
                <c:pt idx="52">
                  <c:v>262.46475523789366</c:v>
                </c:pt>
                <c:pt idx="53">
                  <c:v>277.7614316906799</c:v>
                </c:pt>
                <c:pt idx="54">
                  <c:v>293.03920769154757</c:v>
                </c:pt>
                <c:pt idx="55">
                  <c:v>308.29920739322205</c:v>
                </c:pt>
                <c:pt idx="56">
                  <c:v>323.54243455894931</c:v>
                </c:pt>
                <c:pt idx="57">
                  <c:v>338.76979063952757</c:v>
                </c:pt>
                <c:pt idx="58">
                  <c:v>353.98208942867717</c:v>
                </c:pt>
                <c:pt idx="59">
                  <c:v>282.12838753854095</c:v>
                </c:pt>
                <c:pt idx="60">
                  <c:v>295.46258953205654</c:v>
                </c:pt>
                <c:pt idx="61">
                  <c:v>308.78337213189684</c:v>
                </c:pt>
                <c:pt idx="62">
                  <c:v>322.09139590753097</c:v>
                </c:pt>
                <c:pt idx="63">
                  <c:v>335.38726237234994</c:v>
                </c:pt>
                <c:pt idx="64">
                  <c:v>348.67152144488006</c:v>
                </c:pt>
                <c:pt idx="65">
                  <c:v>361.94467771307944</c:v>
                </c:pt>
                <c:pt idx="66">
                  <c:v>375.20719573147318</c:v>
                </c:pt>
                <c:pt idx="67">
                  <c:v>312.09138137959536</c:v>
                </c:pt>
                <c:pt idx="68">
                  <c:v>324.34850492118829</c:v>
                </c:pt>
                <c:pt idx="69">
                  <c:v>336.59539404232538</c:v>
                </c:pt>
                <c:pt idx="70">
                  <c:v>348.83247368503862</c:v>
                </c:pt>
                <c:pt idx="71">
                  <c:v>361.06013653594306</c:v>
                </c:pt>
                <c:pt idx="72">
                  <c:v>373.27874650728057</c:v>
                </c:pt>
                <c:pt idx="73">
                  <c:v>385.48864173826104</c:v>
                </c:pt>
                <c:pt idx="74">
                  <c:v>397.69013719621665</c:v>
                </c:pt>
                <c:pt idx="75">
                  <c:v>409.88352694182066</c:v>
                </c:pt>
                <c:pt idx="76">
                  <c:v>349.90544700744022</c:v>
                </c:pt>
                <c:pt idx="77">
                  <c:v>361.27457510831579</c:v>
                </c:pt>
                <c:pt idx="78">
                  <c:v>372.63588189193916</c:v>
                </c:pt>
                <c:pt idx="79">
                  <c:v>383.98963949827385</c:v>
                </c:pt>
                <c:pt idx="80">
                  <c:v>395.33610265659195</c:v>
                </c:pt>
                <c:pt idx="81">
                  <c:v>406.6755102777567</c:v>
                </c:pt>
                <c:pt idx="82">
                  <c:v>418.00808685961562</c:v>
                </c:pt>
                <c:pt idx="83">
                  <c:v>429.33404373201734</c:v>
                </c:pt>
                <c:pt idx="84">
                  <c:v>440.653580163588</c:v>
                </c:pt>
                <c:pt idx="85">
                  <c:v>382.49051003700242</c:v>
                </c:pt>
                <c:pt idx="86">
                  <c:v>393.62388679245981</c:v>
                </c:pt>
                <c:pt idx="87">
                  <c:v>404.75043799588434</c:v>
                </c:pt>
                <c:pt idx="88">
                  <c:v>415.87037777065296</c:v>
                </c:pt>
                <c:pt idx="89">
                  <c:v>426.98390785263581</c:v>
                </c:pt>
                <c:pt idx="90">
                  <c:v>438.09121861749276</c:v>
                </c:pt>
                <c:pt idx="91">
                  <c:v>449.19248999834218</c:v>
                </c:pt>
                <c:pt idx="92">
                  <c:v>460.2878923079806</c:v>
                </c:pt>
                <c:pt idx="93">
                  <c:v>471.37758697768658</c:v>
                </c:pt>
                <c:pt idx="94">
                  <c:v>415.07936541145222</c:v>
                </c:pt>
                <c:pt idx="95">
                  <c:v>426.04377568397189</c:v>
                </c:pt>
                <c:pt idx="96">
                  <c:v>437.00211770580137</c:v>
                </c:pt>
                <c:pt idx="97">
                  <c:v>447.95456512007007</c:v>
                </c:pt>
                <c:pt idx="98">
                  <c:v>458.90128238487108</c:v>
                </c:pt>
                <c:pt idx="99">
                  <c:v>469.84242547130066</c:v>
                </c:pt>
                <c:pt idx="100">
                  <c:v>480.77814249308557</c:v>
                </c:pt>
                <c:pt idx="101">
                  <c:v>491.70857427594166</c:v>
                </c:pt>
                <c:pt idx="102">
                  <c:v>502.63385487367213</c:v>
                </c:pt>
                <c:pt idx="103">
                  <c:v>513.5541120370591</c:v>
                </c:pt>
                <c:pt idx="104">
                  <c:v>452.18028418105354</c:v>
                </c:pt>
                <c:pt idx="105">
                  <c:v>463.70070669781381</c:v>
                </c:pt>
                <c:pt idx="106">
                  <c:v>475.21502577729029</c:v>
                </c:pt>
                <c:pt idx="107">
                  <c:v>486.72341015001894</c:v>
                </c:pt>
                <c:pt idx="108">
                  <c:v>498.22601991660628</c:v>
                </c:pt>
                <c:pt idx="109">
                  <c:v>509.72300718239154</c:v>
                </c:pt>
                <c:pt idx="110">
                  <c:v>521.21451663187645</c:v>
                </c:pt>
                <c:pt idx="111">
                  <c:v>532.70068604986409</c:v>
                </c:pt>
                <c:pt idx="112">
                  <c:v>544.1816467953181</c:v>
                </c:pt>
                <c:pt idx="113">
                  <c:v>555.65752423315917</c:v>
                </c:pt>
                <c:pt idx="114">
                  <c:v>487.49042873157441</c:v>
                </c:pt>
                <c:pt idx="115">
                  <c:v>499.75927317637507</c:v>
                </c:pt>
                <c:pt idx="116">
                  <c:v>512.02174279225778</c:v>
                </c:pt>
                <c:pt idx="117">
                  <c:v>524.27801174542856</c:v>
                </c:pt>
                <c:pt idx="118">
                  <c:v>536.52824539615096</c:v>
                </c:pt>
                <c:pt idx="119">
                  <c:v>548.77260093911093</c:v>
                </c:pt>
                <c:pt idx="120">
                  <c:v>561.01122798366839</c:v>
                </c:pt>
                <c:pt idx="121">
                  <c:v>573.24426908085547</c:v>
                </c:pt>
                <c:pt idx="122">
                  <c:v>585.47186020306435</c:v>
                </c:pt>
                <c:pt idx="123">
                  <c:v>597.69413118158775</c:v>
                </c:pt>
                <c:pt idx="124">
                  <c:v>520.73581128610181</c:v>
                </c:pt>
                <c:pt idx="125">
                  <c:v>531.74370597839527</c:v>
                </c:pt>
                <c:pt idx="126">
                  <c:v>542.74680721110872</c:v>
                </c:pt>
                <c:pt idx="127">
                  <c:v>553.74522585166278</c:v>
                </c:pt>
                <c:pt idx="128">
                  <c:v>564.73906800471207</c:v>
                </c:pt>
                <c:pt idx="129">
                  <c:v>575.72843530744899</c:v>
                </c:pt>
                <c:pt idx="130">
                  <c:v>586.71342520119254</c:v>
                </c:pt>
                <c:pt idx="131">
                  <c:v>597.69413118158775</c:v>
                </c:pt>
                <c:pt idx="132">
                  <c:v>608.67064302946301</c:v>
                </c:pt>
                <c:pt idx="133">
                  <c:v>619.64304702417724</c:v>
                </c:pt>
                <c:pt idx="134">
                  <c:v>630.61142614107314</c:v>
                </c:pt>
                <c:pt idx="135">
                  <c:v>641.57586023448391</c:v>
                </c:pt>
                <c:pt idx="136">
                  <c:v>561.07495608955958</c:v>
                </c:pt>
                <c:pt idx="137">
                  <c:v>572.22505898184272</c:v>
                </c:pt>
                <c:pt idx="138">
                  <c:v>583.37062513175886</c:v>
                </c:pt>
                <c:pt idx="139">
                  <c:v>594.51175341700264</c:v>
                </c:pt>
                <c:pt idx="140">
                  <c:v>605.64853870790557</c:v>
                </c:pt>
                <c:pt idx="141">
                  <c:v>616.78107210210828</c:v>
                </c:pt>
                <c:pt idx="142">
                  <c:v>627.90944114141314</c:v>
                </c:pt>
                <c:pt idx="143">
                  <c:v>639.03373001247098</c:v>
                </c:pt>
                <c:pt idx="144">
                  <c:v>650.15401973277153</c:v>
                </c:pt>
                <c:pt idx="145">
                  <c:v>661.270388323254</c:v>
                </c:pt>
                <c:pt idx="146">
                  <c:v>672.38291096870944</c:v>
                </c:pt>
                <c:pt idx="147">
                  <c:v>683.49166016703623</c:v>
                </c:pt>
                <c:pt idx="148">
                  <c:v>603.26244570587482</c:v>
                </c:pt>
                <c:pt idx="149">
                  <c:v>614.55490132345665</c:v>
                </c:pt>
                <c:pt idx="150">
                  <c:v>625.84305501667779</c:v>
                </c:pt>
                <c:pt idx="151">
                  <c:v>637.12699529231918</c:v>
                </c:pt>
                <c:pt idx="152">
                  <c:v>648.40680726747155</c:v>
                </c:pt>
                <c:pt idx="153">
                  <c:v>659.68257285730886</c:v>
                </c:pt>
                <c:pt idx="154">
                  <c:v>670.9543709493596</c:v>
                </c:pt>
                <c:pt idx="155">
                  <c:v>682.22227756546476</c:v>
                </c:pt>
                <c:pt idx="156">
                  <c:v>693.48636601248518</c:v>
                </c:pt>
                <c:pt idx="157">
                  <c:v>704.74670702271203</c:v>
                </c:pt>
                <c:pt idx="158">
                  <c:v>716.00336888484344</c:v>
                </c:pt>
                <c:pt idx="159">
                  <c:v>727.25641756629886</c:v>
                </c:pt>
                <c:pt idx="160">
                  <c:v>649.20100677344124</c:v>
                </c:pt>
                <c:pt idx="161">
                  <c:v>660.63527156703651</c:v>
                </c:pt>
                <c:pt idx="162">
                  <c:v>672.06546302674553</c:v>
                </c:pt>
                <c:pt idx="163">
                  <c:v>683.49166016703657</c:v>
                </c:pt>
                <c:pt idx="164">
                  <c:v>694.91393914623552</c:v>
                </c:pt>
                <c:pt idx="165">
                  <c:v>706.3323734160025</c:v>
                </c:pt>
                <c:pt idx="166">
                  <c:v>717.74703386064641</c:v>
                </c:pt>
                <c:pt idx="167">
                  <c:v>729.15798892711973</c:v>
                </c:pt>
                <c:pt idx="168">
                  <c:v>740.56530474645842</c:v>
                </c:pt>
                <c:pt idx="169">
                  <c:v>751.96904524735544</c:v>
                </c:pt>
                <c:pt idx="170">
                  <c:v>763.36927226249054</c:v>
                </c:pt>
                <c:pt idx="171">
                  <c:v>774.76604562818238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7.4431958650460386</c:v>
                </c:pt>
                <c:pt idx="2">
                  <c:v>14.553852518063183</c:v>
                </c:pt>
                <c:pt idx="3">
                  <c:v>21.557115698019228</c:v>
                </c:pt>
                <c:pt idx="4">
                  <c:v>28.494179042409929</c:v>
                </c:pt>
                <c:pt idx="5">
                  <c:v>35.383712858165119</c:v>
                </c:pt>
                <c:pt idx="6">
                  <c:v>42.236367467864618</c:v>
                </c:pt>
                <c:pt idx="7">
                  <c:v>49.059008722674939</c:v>
                </c:pt>
                <c:pt idx="8">
                  <c:v>55.85641895899721</c:v>
                </c:pt>
                <c:pt idx="9">
                  <c:v>62.632113254922452</c:v>
                </c:pt>
                <c:pt idx="10">
                  <c:v>69.388779735073783</c:v>
                </c:pt>
                <c:pt idx="11">
                  <c:v>76.128537788232251</c:v>
                </c:pt>
                <c:pt idx="12">
                  <c:v>82.853099357733484</c:v>
                </c:pt>
                <c:pt idx="13">
                  <c:v>89.563874792651845</c:v>
                </c:pt>
                <c:pt idx="14">
                  <c:v>96.262045139603686</c:v>
                </c:pt>
                <c:pt idx="15">
                  <c:v>102.94861316373577</c:v>
                </c:pt>
                <c:pt idx="16">
                  <c:v>109.62444036403467</c:v>
                </c:pt>
                <c:pt idx="17">
                  <c:v>116.29027446560372</c:v>
                </c:pt>
                <c:pt idx="18">
                  <c:v>122.94677025652992</c:v>
                </c:pt>
                <c:pt idx="19">
                  <c:v>129.59450566158588</c:v>
                </c:pt>
                <c:pt idx="20">
                  <c:v>136.23399433545893</c:v>
                </c:pt>
                <c:pt idx="21">
                  <c:v>142.86569566575824</c:v>
                </c:pt>
                <c:pt idx="22">
                  <c:v>149.49002281670286</c:v>
                </c:pt>
                <c:pt idx="23">
                  <c:v>156.10734926897979</c:v>
                </c:pt>
                <c:pt idx="24">
                  <c:v>162.7180141901425</c:v>
                </c:pt>
                <c:pt idx="25">
                  <c:v>169.32232688472163</c:v>
                </c:pt>
                <c:pt idx="26">
                  <c:v>175.92057051227542</c:v>
                </c:pt>
                <c:pt idx="27">
                  <c:v>182.51300521734345</c:v>
                </c:pt>
                <c:pt idx="28">
                  <c:v>189.09987078266829</c:v>
                </c:pt>
                <c:pt idx="29">
                  <c:v>195.68138889273428</c:v>
                </c:pt>
                <c:pt idx="30">
                  <c:v>202.25776507632233</c:v>
                </c:pt>
                <c:pt idx="31">
                  <c:v>208.829190382782</c:v>
                </c:pt>
                <c:pt idx="32">
                  <c:v>215.3958428359341</c:v>
                </c:pt>
                <c:pt idx="33">
                  <c:v>221.95788870113014</c:v>
                </c:pt>
                <c:pt idx="34">
                  <c:v>228.51548359441404</c:v>
                </c:pt>
                <c:pt idx="35">
                  <c:v>235.06877345752704</c:v>
                </c:pt>
                <c:pt idx="36">
                  <c:v>241.61789541835174</c:v>
                </c:pt>
                <c:pt idx="37">
                  <c:v>248.16297855306297</c:v>
                </c:pt>
                <c:pt idx="38">
                  <c:v>254.70414456356778</c:v>
                </c:pt>
                <c:pt idx="39">
                  <c:v>261.24150838162944</c:v>
                </c:pt>
                <c:pt idx="40">
                  <c:v>267.77517870928631</c:v>
                </c:pt>
                <c:pt idx="41">
                  <c:v>274.3052585037081</c:v>
                </c:pt>
                <c:pt idx="42">
                  <c:v>280.83184541341694</c:v>
                </c:pt>
                <c:pt idx="43">
                  <c:v>230.42729824883145</c:v>
                </c:pt>
                <c:pt idx="44">
                  <c:v>245.4363434438072</c:v>
                </c:pt>
                <c:pt idx="45">
                  <c:v>260.42454206426356</c:v>
                </c:pt>
                <c:pt idx="46">
                  <c:v>275.39326298688428</c:v>
                </c:pt>
                <c:pt idx="47">
                  <c:v>290.34371407533627</c:v>
                </c:pt>
                <c:pt idx="48">
                  <c:v>305.27696861116084</c:v>
                </c:pt>
                <c:pt idx="49">
                  <c:v>320.19398627834249</c:v>
                </c:pt>
                <c:pt idx="50">
                  <c:v>335.09563003042587</c:v>
                </c:pt>
                <c:pt idx="51">
                  <c:v>276.20920294799743</c:v>
                </c:pt>
                <c:pt idx="52">
                  <c:v>293.33170847857133</c:v>
                </c:pt>
                <c:pt idx="53">
                  <c:v>310.43191023675951</c:v>
                </c:pt>
                <c:pt idx="54">
                  <c:v>327.51120953233504</c:v>
                </c:pt>
                <c:pt idx="55">
                  <c:v>344.57084959273078</c:v>
                </c:pt>
                <c:pt idx="56">
                  <c:v>361.61194050376952</c:v>
                </c:pt>
                <c:pt idx="57">
                  <c:v>378.63547920148682</c:v>
                </c:pt>
                <c:pt idx="58">
                  <c:v>395.64236567985586</c:v>
                </c:pt>
                <c:pt idx="59">
                  <c:v>315.31378584422714</c:v>
                </c:pt>
                <c:pt idx="60">
                  <c:v>330.22037140901671</c:v>
                </c:pt>
                <c:pt idx="61">
                  <c:v>345.11211614482573</c:v>
                </c:pt>
                <c:pt idx="62">
                  <c:v>359.9897505912565</c:v>
                </c:pt>
                <c:pt idx="63">
                  <c:v>374.85393997637999</c:v>
                </c:pt>
                <c:pt idx="64">
                  <c:v>389.70529246826982</c:v>
                </c:pt>
                <c:pt idx="65">
                  <c:v>404.54436610283841</c:v>
                </c:pt>
                <c:pt idx="66">
                  <c:v>419.37167464206533</c:v>
                </c:pt>
                <c:pt idx="67">
                  <c:v>348.81027347297407</c:v>
                </c:pt>
                <c:pt idx="68">
                  <c:v>362.51308830916196</c:v>
                </c:pt>
                <c:pt idx="69">
                  <c:v>376.2045846545613</c:v>
                </c:pt>
                <c:pt idx="70">
                  <c:v>389.8852324627465</c:v>
                </c:pt>
                <c:pt idx="71">
                  <c:v>403.55546601525361</c:v>
                </c:pt>
                <c:pt idx="72">
                  <c:v>417.21568777134968</c:v>
                </c:pt>
                <c:pt idx="73">
                  <c:v>430.86627168728864</c:v>
                </c:pt>
                <c:pt idx="74">
                  <c:v>444.50756609298952</c:v>
                </c:pt>
                <c:pt idx="75">
                  <c:v>458.13989619719581</c:v>
                </c:pt>
                <c:pt idx="76">
                  <c:v>391.08478640622803</c:v>
                </c:pt>
                <c:pt idx="77">
                  <c:v>403.79520417794828</c:v>
                </c:pt>
                <c:pt idx="78">
                  <c:v>416.49697216752833</c:v>
                </c:pt>
                <c:pt idx="79">
                  <c:v>429.19039134107408</c:v>
                </c:pt>
                <c:pt idx="80">
                  <c:v>441.87574340979091</c:v>
                </c:pt>
                <c:pt idx="81">
                  <c:v>454.55329259092628</c:v>
                </c:pt>
                <c:pt idx="82">
                  <c:v>467.22328716202838</c:v>
                </c:pt>
                <c:pt idx="83">
                  <c:v>479.88596083784046</c:v>
                </c:pt>
                <c:pt idx="84">
                  <c:v>492.54153399430999</c:v>
                </c:pt>
                <c:pt idx="85">
                  <c:v>427.51437029779345</c:v>
                </c:pt>
                <c:pt idx="86">
                  <c:v>439.96147960047523</c:v>
                </c:pt>
                <c:pt idx="87">
                  <c:v>452.40104036163081</c:v>
                </c:pt>
                <c:pt idx="88">
                  <c:v>464.83328938543258</c:v>
                </c:pt>
                <c:pt idx="89">
                  <c:v>477.25844977641265</c:v>
                </c:pt>
                <c:pt idx="90">
                  <c:v>489.67673207557482</c:v>
                </c:pt>
                <c:pt idx="91">
                  <c:v>502.08833527526576</c:v>
                </c:pt>
                <c:pt idx="92">
                  <c:v>514.49344772848701</c:v>
                </c:pt>
                <c:pt idx="93">
                  <c:v>526.89224796595806</c:v>
                </c:pt>
                <c:pt idx="94">
                  <c:v>463.94892385676343</c:v>
                </c:pt>
                <c:pt idx="95">
                  <c:v>476.20735929225503</c:v>
                </c:pt>
                <c:pt idx="96">
                  <c:v>488.45908370391936</c:v>
                </c:pt>
                <c:pt idx="97">
                  <c:v>500.70428912785286</c:v>
                </c:pt>
                <c:pt idx="98">
                  <c:v>512.94315744220205</c:v>
                </c:pt>
                <c:pt idx="99">
                  <c:v>525.17586113913831</c:v>
                </c:pt>
                <c:pt idx="100">
                  <c:v>537.40256402118098</c:v>
                </c:pt>
                <c:pt idx="101">
                  <c:v>549.62342183086355</c:v>
                </c:pt>
                <c:pt idx="102">
                  <c:v>561.83858282149833</c:v>
                </c:pt>
                <c:pt idx="103">
                  <c:v>574.04818827573627</c:v>
                </c:pt>
                <c:pt idx="104">
                  <c:v>505.42880415532318</c:v>
                </c:pt>
                <c:pt idx="105">
                  <c:v>518.30912745420756</c:v>
                </c:pt>
                <c:pt idx="106">
                  <c:v>531.18270081556796</c:v>
                </c:pt>
                <c:pt idx="107">
                  <c:v>544.04971084254646</c:v>
                </c:pt>
                <c:pt idx="108">
                  <c:v>556.91033459423932</c:v>
                </c:pt>
                <c:pt idx="109">
                  <c:v>569.76474028758594</c:v>
                </c:pt>
                <c:pt idx="110">
                  <c:v>582.61308793264288</c:v>
                </c:pt>
                <c:pt idx="111">
                  <c:v>595.45552990892554</c:v>
                </c:pt>
                <c:pt idx="112">
                  <c:v>608.29221148945828</c:v>
                </c:pt>
                <c:pt idx="113">
                  <c:v>621.12327131831137</c:v>
                </c:pt>
                <c:pt idx="114">
                  <c:v>544.90728253687325</c:v>
                </c:pt>
                <c:pt idx="115">
                  <c:v>558.62461104540546</c:v>
                </c:pt>
                <c:pt idx="116">
                  <c:v>572.33488947790272</c:v>
                </c:pt>
                <c:pt idx="117">
                  <c:v>586.03831044894537</c:v>
                </c:pt>
                <c:pt idx="118">
                  <c:v>599.73505683441078</c:v>
                </c:pt>
                <c:pt idx="119">
                  <c:v>613.42530247966806</c:v>
                </c:pt>
                <c:pt idx="120">
                  <c:v>627.10921284129302</c:v>
                </c:pt>
                <c:pt idx="121">
                  <c:v>640.78694556988728</c:v>
                </c:pt>
                <c:pt idx="122">
                  <c:v>654.45865104057725</c:v>
                </c:pt>
                <c:pt idx="123">
                  <c:v>668.12447283690051</c:v>
                </c:pt>
                <c:pt idx="124">
                  <c:v>582.07785905395792</c:v>
                </c:pt>
                <c:pt idx="125">
                  <c:v>594.38554838461982</c:v>
                </c:pt>
                <c:pt idx="126">
                  <c:v>606.68793651348506</c:v>
                </c:pt>
                <c:pt idx="127">
                  <c:v>618.98514605149137</c:v>
                </c:pt>
                <c:pt idx="128">
                  <c:v>631.27729434231833</c:v>
                </c:pt>
                <c:pt idx="129">
                  <c:v>643.5644937889715</c:v>
                </c:pt>
                <c:pt idx="130">
                  <c:v>655.84685215414117</c:v>
                </c:pt>
                <c:pt idx="131">
                  <c:v>668.12447283690051</c:v>
                </c:pt>
                <c:pt idx="132">
                  <c:v>680.39745512801858</c:v>
                </c:pt>
                <c:pt idx="133">
                  <c:v>692.66589444590602</c:v>
                </c:pt>
                <c:pt idx="134">
                  <c:v>704.92988255498256</c:v>
                </c:pt>
                <c:pt idx="135">
                  <c:v>717.18950776806741</c:v>
                </c:pt>
                <c:pt idx="136">
                  <c:v>627.18046690279186</c:v>
                </c:pt>
                <c:pt idx="137">
                  <c:v>639.6473667448189</c:v>
                </c:pt>
                <c:pt idx="138">
                  <c:v>652.10924929476664</c:v>
                </c:pt>
                <c:pt idx="139">
                  <c:v>664.56622390384643</c:v>
                </c:pt>
                <c:pt idx="140">
                  <c:v>677.01839549143097</c:v>
                </c:pt>
                <c:pt idx="141">
                  <c:v>689.4658648045837</c:v>
                </c:pt>
                <c:pt idx="142">
                  <c:v>701.90872865788094</c:v>
                </c:pt>
                <c:pt idx="143">
                  <c:v>714.34708015535705</c:v>
                </c:pt>
                <c:pt idx="144">
                  <c:v>726.78100889619554</c:v>
                </c:pt>
                <c:pt idx="145">
                  <c:v>739.21060116562137</c:v>
                </c:pt>
                <c:pt idx="146">
                  <c:v>751.63594011229691</c:v>
                </c:pt>
                <c:pt idx="147">
                  <c:v>764.05710591338527</c:v>
                </c:pt>
                <c:pt idx="148">
                  <c:v>674.35047223462504</c:v>
                </c:pt>
                <c:pt idx="149">
                  <c:v>686.97674242201981</c:v>
                </c:pt>
                <c:pt idx="150">
                  <c:v>699.59825500819431</c:v>
                </c:pt>
                <c:pt idx="151">
                  <c:v>712.21510787491763</c:v>
                </c:pt>
                <c:pt idx="152">
                  <c:v>724.82739515522064</c:v>
                </c:pt>
                <c:pt idx="153">
                  <c:v>737.43520744105683</c:v>
                </c:pt>
                <c:pt idx="154">
                  <c:v>750.03863197603312</c:v>
                </c:pt>
                <c:pt idx="155">
                  <c:v>762.63775283452549</c:v>
                </c:pt>
                <c:pt idx="156">
                  <c:v>775.23265108834732</c:v>
                </c:pt>
                <c:pt idx="157">
                  <c:v>787.82340496203472</c:v>
                </c:pt>
                <c:pt idx="158">
                  <c:v>800.4100899776945</c:v>
                </c:pt>
                <c:pt idx="159">
                  <c:v>812.99277909027694</c:v>
                </c:pt>
                <c:pt idx="160">
                  <c:v>725.71541469625129</c:v>
                </c:pt>
                <c:pt idx="161">
                  <c:v>738.50045410483597</c:v>
                </c:pt>
                <c:pt idx="162">
                  <c:v>751.28098871588315</c:v>
                </c:pt>
                <c:pt idx="163">
                  <c:v>764.05710591338584</c:v>
                </c:pt>
                <c:pt idx="164">
                  <c:v>776.82888992266123</c:v>
                </c:pt>
                <c:pt idx="165">
                  <c:v>789.59642197566109</c:v>
                </c:pt>
                <c:pt idx="166">
                  <c:v>802.35978046504022</c:v>
                </c:pt>
                <c:pt idx="167">
                  <c:v>815.11904108792316</c:v>
                </c:pt>
                <c:pt idx="168">
                  <c:v>827.87427698020747</c:v>
                </c:pt>
                <c:pt idx="169">
                  <c:v>840.62555884216579</c:v>
                </c:pt>
                <c:pt idx="170">
                  <c:v>853.3729550560405</c:v>
                </c:pt>
                <c:pt idx="171">
                  <c:v>866.11653179625011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2.831109883706608</c:v>
                </c:pt>
                <c:pt idx="2">
                  <c:v>3.588743690716981</c:v>
                </c:pt>
                <c:pt idx="3">
                  <c:v>4.5499209827563751</c:v>
                </c:pt>
                <c:pt idx="4">
                  <c:v>5.769525756466181</c:v>
                </c:pt>
                <c:pt idx="5">
                  <c:v>7.3172916476627918</c:v>
                </c:pt>
                <c:pt idx="6">
                  <c:v>9.2818324115941682</c:v>
                </c:pt>
                <c:pt idx="7">
                  <c:v>11.775769532514182</c:v>
                </c:pt>
                <c:pt idx="8">
                  <c:v>14.942256403107324</c:v>
                </c:pt>
                <c:pt idx="9">
                  <c:v>18.963280438167057</c:v>
                </c:pt>
                <c:pt idx="10">
                  <c:v>24.070228873283444</c:v>
                </c:pt>
                <c:pt idx="11">
                  <c:v>30.557337019171232</c:v>
                </c:pt>
                <c:pt idx="12">
                  <c:v>38.798807265050783</c:v>
                </c:pt>
                <c:pt idx="13">
                  <c:v>49.270603186045356</c:v>
                </c:pt>
                <c:pt idx="14">
                  <c:v>62.578198509588582</c:v>
                </c:pt>
                <c:pt idx="15">
                  <c:v>79.491911760197141</c:v>
                </c:pt>
                <c:pt idx="16">
                  <c:v>100.99190495548567</c:v>
                </c:pt>
                <c:pt idx="17">
                  <c:v>128.32549533436566</c:v>
                </c:pt>
                <c:pt idx="18">
                  <c:v>163.08015665156708</c:v>
                </c:pt>
                <c:pt idx="19">
                  <c:v>207.27651430938363</c:v>
                </c:pt>
                <c:pt idx="20">
                  <c:v>263.48682168593842</c:v>
                </c:pt>
                <c:pt idx="21">
                  <c:v>199.49292850815041</c:v>
                </c:pt>
                <c:pt idx="22">
                  <c:v>216.47300307155021</c:v>
                </c:pt>
                <c:pt idx="23">
                  <c:v>233.42244664801697</c:v>
                </c:pt>
                <c:pt idx="24">
                  <c:v>250.34379664975143</c:v>
                </c:pt>
                <c:pt idx="25">
                  <c:v>267.23921926263699</c:v>
                </c:pt>
                <c:pt idx="26">
                  <c:v>284.11058429716292</c:v>
                </c:pt>
                <c:pt idx="27">
                  <c:v>300.95952130477974</c:v>
                </c:pt>
                <c:pt idx="28">
                  <c:v>317.78746245668026</c:v>
                </c:pt>
                <c:pt idx="29">
                  <c:v>334.59567585759874</c:v>
                </c:pt>
                <c:pt idx="30">
                  <c:v>351.38529181133845</c:v>
                </c:pt>
                <c:pt idx="31">
                  <c:v>282.79919105709729</c:v>
                </c:pt>
                <c:pt idx="32">
                  <c:v>296.46858031425882</c:v>
                </c:pt>
                <c:pt idx="33">
                  <c:v>310.12391968967148</c:v>
                </c:pt>
                <c:pt idx="34">
                  <c:v>323.76591506204625</c:v>
                </c:pt>
                <c:pt idx="35">
                  <c:v>337.39520795625043</c:v>
                </c:pt>
                <c:pt idx="36">
                  <c:v>351.01238382795651</c:v>
                </c:pt>
                <c:pt idx="37">
                  <c:v>364.61797899508082</c:v>
                </c:pt>
                <c:pt idx="38">
                  <c:v>378.21248648031383</c:v>
                </c:pt>
                <c:pt idx="39">
                  <c:v>391.79636096959183</c:v>
                </c:pt>
                <c:pt idx="40">
                  <c:v>405.37002304691265</c:v>
                </c:pt>
                <c:pt idx="41">
                  <c:v>343.36583983111797</c:v>
                </c:pt>
                <c:pt idx="42">
                  <c:v>353.99540526070876</c:v>
                </c:pt>
                <c:pt idx="43">
                  <c:v>364.61797899508082</c:v>
                </c:pt>
                <c:pt idx="44">
                  <c:v>375.23379351840327</c:v>
                </c:pt>
                <c:pt idx="45">
                  <c:v>385.84306708196351</c:v>
                </c:pt>
                <c:pt idx="46">
                  <c:v>396.44600495131112</c:v>
                </c:pt>
                <c:pt idx="47">
                  <c:v>407.04280051298934</c:v>
                </c:pt>
                <c:pt idx="48">
                  <c:v>417.63363625997869</c:v>
                </c:pt>
                <c:pt idx="49">
                  <c:v>428.21868467194827</c:v>
                </c:pt>
                <c:pt idx="50">
                  <c:v>438.79810900392067</c:v>
                </c:pt>
                <c:pt idx="51">
                  <c:v>385.65699465901594</c:v>
                </c:pt>
                <c:pt idx="52">
                  <c:v>393.84235089269191</c:v>
                </c:pt>
                <c:pt idx="53">
                  <c:v>402.02401961743982</c:v>
                </c:pt>
                <c:pt idx="54">
                  <c:v>410.20208650717791</c:v>
                </c:pt>
                <c:pt idx="55">
                  <c:v>418.37663353903241</c:v>
                </c:pt>
                <c:pt idx="56">
                  <c:v>426.54773922354428</c:v>
                </c:pt>
                <c:pt idx="57">
                  <c:v>434.71547881631085</c:v>
                </c:pt>
                <c:pt idx="58">
                  <c:v>442.87992451288665</c:v>
                </c:pt>
                <c:pt idx="59">
                  <c:v>451.0411456285596</c:v>
                </c:pt>
                <c:pt idx="60">
                  <c:v>459.19920876443285</c:v>
                </c:pt>
                <c:pt idx="61">
                  <c:v>417.07636960303012</c:v>
                </c:pt>
                <c:pt idx="62">
                  <c:v>423.20542522400018</c:v>
                </c:pt>
                <c:pt idx="63">
                  <c:v>429.33257037940683</c:v>
                </c:pt>
                <c:pt idx="64">
                  <c:v>435.45783620208493</c:v>
                </c:pt>
                <c:pt idx="65">
                  <c:v>441.58125287689433</c:v>
                </c:pt>
                <c:pt idx="66">
                  <c:v>447.70284968262354</c:v>
                </c:pt>
                <c:pt idx="67">
                  <c:v>453.82265503147863</c:v>
                </c:pt>
                <c:pt idx="68">
                  <c:v>459.94069650633213</c:v>
                </c:pt>
                <c:pt idx="69">
                  <c:v>466.05700089588487</c:v>
                </c:pt>
                <c:pt idx="70">
                  <c:v>472.17159422788467</c:v>
                </c:pt>
                <c:pt idx="71">
                  <c:v>3.9806453659427267E-12</c:v>
                </c:pt>
                <c:pt idx="72">
                  <c:v>3.9806453659427267E-12</c:v>
                </c:pt>
                <c:pt idx="73">
                  <c:v>3.9806453659427267E-12</c:v>
                </c:pt>
                <c:pt idx="74">
                  <c:v>3.9806453659427267E-12</c:v>
                </c:pt>
                <c:pt idx="75">
                  <c:v>3.9806453659427267E-12</c:v>
                </c:pt>
                <c:pt idx="76">
                  <c:v>3.9806453659427267E-12</c:v>
                </c:pt>
                <c:pt idx="77">
                  <c:v>3.9806453659427267E-12</c:v>
                </c:pt>
                <c:pt idx="78">
                  <c:v>3.9806453659427267E-12</c:v>
                </c:pt>
                <c:pt idx="79">
                  <c:v>3.9806453659427267E-12</c:v>
                </c:pt>
                <c:pt idx="80">
                  <c:v>3.9806453659427267E-12</c:v>
                </c:pt>
                <c:pt idx="81">
                  <c:v>3.9806453659427267E-12</c:v>
                </c:pt>
                <c:pt idx="82">
                  <c:v>3.9806453659427267E-12</c:v>
                </c:pt>
                <c:pt idx="83">
                  <c:v>3.9806453659427267E-12</c:v>
                </c:pt>
                <c:pt idx="84">
                  <c:v>3.9806453659427267E-12</c:v>
                </c:pt>
                <c:pt idx="85">
                  <c:v>3.9806453659427267E-12</c:v>
                </c:pt>
                <c:pt idx="86">
                  <c:v>3.9806453659427267E-12</c:v>
                </c:pt>
                <c:pt idx="87">
                  <c:v>3.9806453659427267E-12</c:v>
                </c:pt>
                <c:pt idx="88">
                  <c:v>3.9806453659427267E-12</c:v>
                </c:pt>
                <c:pt idx="89">
                  <c:v>3.9806453659427267E-12</c:v>
                </c:pt>
                <c:pt idx="90">
                  <c:v>3.9806453659427267E-12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7.1109484771487343</c:v>
                </c:pt>
                <c:pt idx="2">
                  <c:v>13.902956272504184</c:v>
                </c:pt>
                <c:pt idx="3">
                  <c:v>20.591962237461122</c:v>
                </c:pt>
                <c:pt idx="4">
                  <c:v>27.217475477572183</c:v>
                </c:pt>
                <c:pt idx="5">
                  <c:v>33.797402814667969</c:v>
                </c:pt>
                <c:pt idx="6">
                  <c:v>40.341959047551335</c:v>
                </c:pt>
                <c:pt idx="7">
                  <c:v>46.85772926204951</c:v>
                </c:pt>
                <c:pt idx="8">
                  <c:v>53.349300230420219</c:v>
                </c:pt>
                <c:pt idx="9">
                  <c:v>59.820043288621314</c:v>
                </c:pt>
                <c:pt idx="10">
                  <c:v>66.272536635761469</c:v>
                </c:pt>
                <c:pt idx="11">
                  <c:v>72.708812992429259</c:v>
                </c:pt>
                <c:pt idx="12">
                  <c:v>79.130514295439681</c:v>
                </c:pt>
                <c:pt idx="13">
                  <c:v>85.538993220444425</c:v>
                </c:pt>
                <c:pt idx="14">
                  <c:v>91.935382517505545</c:v>
                </c:pt>
                <c:pt idx="15">
                  <c:v>98.320643945681795</c:v>
                </c:pt>
                <c:pt idx="16">
                  <c:v>104.69560377467076</c:v>
                </c:pt>
                <c:pt idx="17">
                  <c:v>111.06097915284364</c:v>
                </c:pt>
                <c:pt idx="18">
                  <c:v>117.41739809202976</c:v>
                </c:pt>
                <c:pt idx="19">
                  <c:v>123.7654148839167</c:v>
                </c:pt>
                <c:pt idx="20">
                  <c:v>130.10552217830414</c:v>
                </c:pt>
                <c:pt idx="21">
                  <c:v>136.4381605770578</c:v>
                </c:pt>
                <c:pt idx="22">
                  <c:v>142.7637263488671</c:v>
                </c:pt>
                <c:pt idx="23">
                  <c:v>149.08257770166853</c:v>
                </c:pt>
                <c:pt idx="24">
                  <c:v>155.39503993343254</c:v>
                </c:pt>
                <c:pt idx="25">
                  <c:v>161.70140970029556</c:v>
                </c:pt>
                <c:pt idx="26">
                  <c:v>168.00195858256848</c:v>
                </c:pt>
                <c:pt idx="27">
                  <c:v>174.29693608669686</c:v>
                </c:pt>
                <c:pt idx="28">
                  <c:v>180.58657218998462</c:v>
                </c:pt>
                <c:pt idx="29">
                  <c:v>186.87107951156952</c:v>
                </c:pt>
                <c:pt idx="30">
                  <c:v>193.15065517554152</c:v>
                </c:pt>
                <c:pt idx="31">
                  <c:v>199.42548241866658</c:v>
                </c:pt>
                <c:pt idx="32">
                  <c:v>205.69573198483519</c:v>
                </c:pt>
                <c:pt idx="33">
                  <c:v>211.96156334030786</c:v>
                </c:pt>
                <c:pt idx="34">
                  <c:v>218.22312573751947</c:v>
                </c:pt>
                <c:pt idx="35">
                  <c:v>224.48055915021379</c:v>
                </c:pt>
                <c:pt idx="36">
                  <c:v>230.73399509870114</c:v>
                </c:pt>
                <c:pt idx="37">
                  <c:v>236.98355738084277</c:v>
                </c:pt>
                <c:pt idx="38">
                  <c:v>243.22936272178819</c:v>
                </c:pt>
                <c:pt idx="39">
                  <c:v>249.47152135339448</c:v>
                </c:pt>
                <c:pt idx="40">
                  <c:v>255.71013753254616</c:v>
                </c:pt>
                <c:pt idx="41">
                  <c:v>261.94531000618412</c:v>
                </c:pt>
                <c:pt idx="42">
                  <c:v>268.17713242968824</c:v>
                </c:pt>
                <c:pt idx="43">
                  <c:v>220.04863099792124</c:v>
                </c:pt>
                <c:pt idx="44">
                  <c:v>234.38003621441283</c:v>
                </c:pt>
                <c:pt idx="45">
                  <c:v>248.69144733562243</c:v>
                </c:pt>
                <c:pt idx="46">
                  <c:v>262.98417726074234</c:v>
                </c:pt>
                <c:pt idx="47">
                  <c:v>277.25938446025492</c:v>
                </c:pt>
                <c:pt idx="48">
                  <c:v>291.51809832598582</c:v>
                </c:pt>
                <c:pt idx="49">
                  <c:v>305.76123929755039</c:v>
                </c:pt>
                <c:pt idx="50">
                  <c:v>319.98963503972249</c:v>
                </c:pt>
                <c:pt idx="51">
                  <c:v>263.76326689306092</c:v>
                </c:pt>
                <c:pt idx="52">
                  <c:v>280.11241578986937</c:v>
                </c:pt>
                <c:pt idx="53">
                  <c:v>296.44017298274048</c:v>
                </c:pt>
                <c:pt idx="54">
                  <c:v>312.74788247766895</c:v>
                </c:pt>
                <c:pt idx="55">
                  <c:v>329.03673666277251</c:v>
                </c:pt>
                <c:pt idx="56">
                  <c:v>345.30780022911995</c:v>
                </c:pt>
                <c:pt idx="57">
                  <c:v>361.56202934502903</c:v>
                </c:pt>
                <c:pt idx="58">
                  <c:v>377.80028720100808</c:v>
                </c:pt>
                <c:pt idx="59">
                  <c:v>301.10150947537892</c:v>
                </c:pt>
                <c:pt idx="60">
                  <c:v>315.33464494464727</c:v>
                </c:pt>
                <c:pt idx="61">
                  <c:v>329.55354647114376</c:v>
                </c:pt>
                <c:pt idx="62">
                  <c:v>343.75891472050535</c:v>
                </c:pt>
                <c:pt idx="63">
                  <c:v>357.95138771762305</c:v>
                </c:pt>
                <c:pt idx="64">
                  <c:v>372.13154876074577</c:v>
                </c:pt>
                <c:pt idx="65">
                  <c:v>386.29993306601608</c:v>
                </c:pt>
                <c:pt idx="66">
                  <c:v>400.45703338613856</c:v>
                </c:pt>
                <c:pt idx="67">
                  <c:v>333.08460305918476</c:v>
                </c:pt>
                <c:pt idx="68">
                  <c:v>346.16822617963732</c:v>
                </c:pt>
                <c:pt idx="69">
                  <c:v>359.24099365648954</c:v>
                </c:pt>
                <c:pt idx="70">
                  <c:v>372.30335622549819</c:v>
                </c:pt>
                <c:pt idx="71">
                  <c:v>385.35573040911868</c:v>
                </c:pt>
                <c:pt idx="72">
                  <c:v>398.39850220884659</c:v>
                </c:pt>
                <c:pt idx="73">
                  <c:v>411.43203028873785</c:v>
                </c:pt>
                <c:pt idx="74">
                  <c:v>424.45664873445122</c:v>
                </c:pt>
                <c:pt idx="75">
                  <c:v>437.47266945596544</c:v>
                </c:pt>
                <c:pt idx="76">
                  <c:v>373.44869518603531</c:v>
                </c:pt>
                <c:pt idx="77">
                  <c:v>385.58463263442172</c:v>
                </c:pt>
                <c:pt idx="78">
                  <c:v>397.7122740163195</c:v>
                </c:pt>
                <c:pt idx="79">
                  <c:v>409.83190799042353</c:v>
                </c:pt>
                <c:pt idx="80">
                  <c:v>421.94380474791905</c:v>
                </c:pt>
                <c:pt idx="81">
                  <c:v>434.04821770141444</c:v>
                </c:pt>
                <c:pt idx="82">
                  <c:v>446.14538497564104</c:v>
                </c:pt>
                <c:pt idx="83">
                  <c:v>458.23553072804179</c:v>
                </c:pt>
                <c:pt idx="84">
                  <c:v>470.3188663227283</c:v>
                </c:pt>
                <c:pt idx="85">
                  <c:v>408.23165074857008</c:v>
                </c:pt>
                <c:pt idx="86">
                  <c:v>420.11607952614742</c:v>
                </c:pt>
                <c:pt idx="87">
                  <c:v>431.99326844480362</c:v>
                </c:pt>
                <c:pt idx="88">
                  <c:v>443.86344462507469</c:v>
                </c:pt>
                <c:pt idx="89">
                  <c:v>455.7268220480766</c:v>
                </c:pt>
                <c:pt idx="90">
                  <c:v>467.58360264515659</c:v>
                </c:pt>
                <c:pt idx="91">
                  <c:v>479.43397727126518</c:v>
                </c:pt>
                <c:pt idx="92">
                  <c:v>491.27812657708233</c:v>
                </c:pt>
                <c:pt idx="93">
                  <c:v>503.11622179266845</c:v>
                </c:pt>
                <c:pt idx="94">
                  <c:v>443.01906305734218</c:v>
                </c:pt>
                <c:pt idx="95">
                  <c:v>454.72325603573933</c:v>
                </c:pt>
                <c:pt idx="96">
                  <c:v>466.42101242429226</c:v>
                </c:pt>
                <c:pt idx="97">
                  <c:v>478.11251640616291</c:v>
                </c:pt>
                <c:pt idx="98">
                  <c:v>489.7979424219518</c:v>
                </c:pt>
                <c:pt idx="99">
                  <c:v>501.47745591010658</c:v>
                </c:pt>
                <c:pt idx="100">
                  <c:v>513.15121397476764</c:v>
                </c:pt>
                <c:pt idx="101">
                  <c:v>524.81936598968673</c:v>
                </c:pt>
                <c:pt idx="102">
                  <c:v>536.48205414565246</c:v>
                </c:pt>
                <c:pt idx="103">
                  <c:v>548.13941394784183</c:v>
                </c:pt>
                <c:pt idx="104">
                  <c:v>482.62339181174929</c:v>
                </c:pt>
                <c:pt idx="105">
                  <c:v>494.92125451676338</c:v>
                </c:pt>
                <c:pt idx="106">
                  <c:v>507.21264330953437</c:v>
                </c:pt>
                <c:pt idx="107">
                  <c:v>519.49773716244022</c:v>
                </c:pt>
                <c:pt idx="108">
                  <c:v>531.77670589409684</c:v>
                </c:pt>
                <c:pt idx="109">
                  <c:v>544.04971084254646</c:v>
                </c:pt>
                <c:pt idx="110">
                  <c:v>556.31690547455264</c:v>
                </c:pt>
                <c:pt idx="111">
                  <c:v>568.57843593837254</c:v>
                </c:pt>
                <c:pt idx="112">
                  <c:v>580.8344415663795</c:v>
                </c:pt>
                <c:pt idx="113">
                  <c:v>593.08505533307016</c:v>
                </c:pt>
                <c:pt idx="114">
                  <c:v>520.3165238086043</c:v>
                </c:pt>
                <c:pt idx="115">
                  <c:v>533.41344770062381</c:v>
                </c:pt>
                <c:pt idx="116">
                  <c:v>546.50360981545737</c:v>
                </c:pt>
                <c:pt idx="117">
                  <c:v>559.58719489109478</c:v>
                </c:pt>
                <c:pt idx="118">
                  <c:v>572.66437832506801</c:v>
                </c:pt>
                <c:pt idx="119">
                  <c:v>585.73532685368571</c:v>
                </c:pt>
                <c:pt idx="120">
                  <c:v>598.80019916750496</c:v>
                </c:pt>
                <c:pt idx="121">
                  <c:v>611.8591464703203</c:v>
                </c:pt>
                <c:pt idx="122">
                  <c:v>624.91231298796504</c:v>
                </c:pt>
                <c:pt idx="123">
                  <c:v>637.95983643241436</c:v>
                </c:pt>
                <c:pt idx="124">
                  <c:v>555.80588644093564</c:v>
                </c:pt>
                <c:pt idx="125">
                  <c:v>567.55685462959786</c:v>
                </c:pt>
                <c:pt idx="126">
                  <c:v>579.30273839857648</c:v>
                </c:pt>
                <c:pt idx="127">
                  <c:v>591.04365534487806</c:v>
                </c:pt>
                <c:pt idx="128">
                  <c:v>602.77971801364561</c:v>
                </c:pt>
                <c:pt idx="129">
                  <c:v>614.5110342113876</c:v>
                </c:pt>
                <c:pt idx="130">
                  <c:v>626.23770729405271</c:v>
                </c:pt>
                <c:pt idx="131">
                  <c:v>637.95983643241436</c:v>
                </c:pt>
                <c:pt idx="132">
                  <c:v>649.6775168569435</c:v>
                </c:pt>
                <c:pt idx="133">
                  <c:v>661.3908400841043</c:v>
                </c:pt>
                <c:pt idx="134">
                  <c:v>673.0998941257925</c:v>
                </c:pt>
                <c:pt idx="135">
                  <c:v>684.8047636834508</c:v>
                </c:pt>
                <c:pt idx="136">
                  <c:v>598.86822973926428</c:v>
                </c:pt>
                <c:pt idx="137">
                  <c:v>610.7711236005847</c:v>
                </c:pt>
                <c:pt idx="138">
                  <c:v>622.66920534201483</c:v>
                </c:pt>
                <c:pt idx="139">
                  <c:v>634.56257984306546</c:v>
                </c:pt>
                <c:pt idx="140">
                  <c:v>646.45134773263999</c:v>
                </c:pt>
                <c:pt idx="141">
                  <c:v>658.33560563795118</c:v>
                </c:pt>
                <c:pt idx="142">
                  <c:v>670.21544641453545</c:v>
                </c:pt>
                <c:pt idx="143">
                  <c:v>682.09095935912262</c:v>
                </c:pt>
                <c:pt idx="144">
                  <c:v>693.96223040691564</c:v>
                </c:pt>
                <c:pt idx="145">
                  <c:v>705.82934231467641</c:v>
                </c:pt>
                <c:pt idx="146">
                  <c:v>717.69237483086874</c:v>
                </c:pt>
                <c:pt idx="147">
                  <c:v>729.55140485396976</c:v>
                </c:pt>
                <c:pt idx="148">
                  <c:v>643.9041375141295</c:v>
                </c:pt>
                <c:pt idx="149">
                  <c:v>655.9591103460167</c:v>
                </c:pt>
                <c:pt idx="150">
                  <c:v>668.00952012933078</c:v>
                </c:pt>
                <c:pt idx="151">
                  <c:v>680.05546074316078</c:v>
                </c:pt>
                <c:pt idx="152">
                  <c:v>692.09702247115422</c:v>
                </c:pt>
                <c:pt idx="153">
                  <c:v>704.13429220068599</c:v>
                </c:pt>
                <c:pt idx="154">
                  <c:v>716.1673536077102</c:v>
                </c:pt>
                <c:pt idx="155">
                  <c:v>728.19628732854778</c:v>
                </c:pt>
                <c:pt idx="156">
                  <c:v>740.2211711197416</c:v>
                </c:pt>
                <c:pt idx="157">
                  <c:v>752.24208000699025</c:v>
                </c:pt>
                <c:pt idx="158">
                  <c:v>764.25908642407467</c:v>
                </c:pt>
                <c:pt idx="159">
                  <c:v>776.27226034259695</c:v>
                </c:pt>
                <c:pt idx="160">
                  <c:v>692.94485701159147</c:v>
                </c:pt>
                <c:pt idx="161">
                  <c:v>705.15133227164586</c:v>
                </c:pt>
                <c:pt idx="162">
                  <c:v>717.35348694890592</c:v>
                </c:pt>
                <c:pt idx="163">
                  <c:v>729.55140485396998</c:v>
                </c:pt>
                <c:pt idx="164">
                  <c:v>741.74516676792837</c:v>
                </c:pt>
                <c:pt idx="165">
                  <c:v>753.93485060091325</c:v>
                </c:pt>
                <c:pt idx="166">
                  <c:v>766.12053153986756</c:v>
                </c:pt>
                <c:pt idx="167">
                  <c:v>778.30228218643288</c:v>
                </c:pt>
                <c:pt idx="168">
                  <c:v>790.48017268575893</c:v>
                </c:pt>
                <c:pt idx="169">
                  <c:v>802.65427084697149</c:v>
                </c:pt>
                <c:pt idx="170">
                  <c:v>814.8246422559572</c:v>
                </c:pt>
                <c:pt idx="171">
                  <c:v>826.99135038106317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2.1840002048843661</c:v>
                </c:pt>
                <c:pt idx="2">
                  <c:v>2.7539039091267692</c:v>
                </c:pt>
                <c:pt idx="3">
                  <c:v>3.4731078023855084</c:v>
                </c:pt>
                <c:pt idx="4">
                  <c:v>4.3808697663619798</c:v>
                </c:pt>
                <c:pt idx="5">
                  <c:v>5.5268061034535796</c:v>
                </c:pt>
                <c:pt idx="6">
                  <c:v>6.9736334297828648</c:v>
                </c:pt>
                <c:pt idx="7">
                  <c:v>8.8006384949715102</c:v>
                </c:pt>
                <c:pt idx="8">
                  <c:v>11.108069703220364</c:v>
                </c:pt>
                <c:pt idx="9">
                  <c:v>14.022695820056965</c:v>
                </c:pt>
                <c:pt idx="10">
                  <c:v>17.704842888704938</c:v>
                </c:pt>
                <c:pt idx="11">
                  <c:v>22.357303455629751</c:v>
                </c:pt>
                <c:pt idx="12">
                  <c:v>28.236617517648664</c:v>
                </c:pt>
                <c:pt idx="13">
                  <c:v>35.667358116863085</c:v>
                </c:pt>
                <c:pt idx="14">
                  <c:v>45.060223790575982</c:v>
                </c:pt>
                <c:pt idx="15">
                  <c:v>56.934954730586902</c:v>
                </c:pt>
                <c:pt idx="16">
                  <c:v>51.843545813809293</c:v>
                </c:pt>
                <c:pt idx="17">
                  <c:v>69.167301187373923</c:v>
                </c:pt>
                <c:pt idx="18">
                  <c:v>86.378756193793791</c:v>
                </c:pt>
                <c:pt idx="19">
                  <c:v>103.50361847180874</c:v>
                </c:pt>
                <c:pt idx="20">
                  <c:v>120.55829551377816</c:v>
                </c:pt>
                <c:pt idx="21">
                  <c:v>97.90214978108321</c:v>
                </c:pt>
                <c:pt idx="22">
                  <c:v>116.44740463134538</c:v>
                </c:pt>
                <c:pt idx="23">
                  <c:v>134.92034809985532</c:v>
                </c:pt>
                <c:pt idx="24">
                  <c:v>153.3322955751384</c:v>
                </c:pt>
                <c:pt idx="25">
                  <c:v>171.69161142115618</c:v>
                </c:pt>
                <c:pt idx="26">
                  <c:v>148.07743258285993</c:v>
                </c:pt>
                <c:pt idx="27">
                  <c:v>165.28596765319438</c:v>
                </c:pt>
                <c:pt idx="28">
                  <c:v>182.45217779473441</c:v>
                </c:pt>
                <c:pt idx="29">
                  <c:v>199.58060763371597</c:v>
                </c:pt>
                <c:pt idx="30">
                  <c:v>216.67495686509289</c:v>
                </c:pt>
                <c:pt idx="31">
                  <c:v>191.74660946762219</c:v>
                </c:pt>
                <c:pt idx="32">
                  <c:v>207.40747716194713</c:v>
                </c:pt>
                <c:pt idx="33">
                  <c:v>223.04103536231375</c:v>
                </c:pt>
                <c:pt idx="34">
                  <c:v>238.64946815456815</c:v>
                </c:pt>
                <c:pt idx="35">
                  <c:v>254.23465040940448</c:v>
                </c:pt>
                <c:pt idx="36">
                  <c:v>227.66828578510027</c:v>
                </c:pt>
                <c:pt idx="37">
                  <c:v>241.53731564574147</c:v>
                </c:pt>
                <c:pt idx="38">
                  <c:v>255.38822954763404</c:v>
                </c:pt>
                <c:pt idx="39">
                  <c:v>269.22214864231626</c:v>
                </c:pt>
                <c:pt idx="40">
                  <c:v>283.04006939986522</c:v>
                </c:pt>
                <c:pt idx="41">
                  <c:v>254.52305628500744</c:v>
                </c:pt>
                <c:pt idx="42">
                  <c:v>266.34143288880705</c:v>
                </c:pt>
                <c:pt idx="43">
                  <c:v>278.14799417366703</c:v>
                </c:pt>
                <c:pt idx="44">
                  <c:v>289.94331256428518</c:v>
                </c:pt>
                <c:pt idx="45">
                  <c:v>301.72791008451253</c:v>
                </c:pt>
                <c:pt idx="46">
                  <c:v>280.45038555869701</c:v>
                </c:pt>
                <c:pt idx="47">
                  <c:v>290.80595767435875</c:v>
                </c:pt>
                <c:pt idx="48">
                  <c:v>301.15329302528215</c:v>
                </c:pt>
                <c:pt idx="49">
                  <c:v>311.49271468133566</c:v>
                </c:pt>
                <c:pt idx="50">
                  <c:v>321.82452250125186</c:v>
                </c:pt>
                <c:pt idx="51">
                  <c:v>306.03676500452571</c:v>
                </c:pt>
                <c:pt idx="52">
                  <c:v>314.65045048417011</c:v>
                </c:pt>
                <c:pt idx="53">
                  <c:v>323.25890960508121</c:v>
                </c:pt>
                <c:pt idx="54">
                  <c:v>331.86230128321324</c:v>
                </c:pt>
                <c:pt idx="55">
                  <c:v>340.46077551603128</c:v>
                </c:pt>
                <c:pt idx="56">
                  <c:v>329.28180677177016</c:v>
                </c:pt>
                <c:pt idx="57">
                  <c:v>336.7353644960258</c:v>
                </c:pt>
                <c:pt idx="58">
                  <c:v>344.18528987135346</c:v>
                </c:pt>
                <c:pt idx="59">
                  <c:v>351.63167268082196</c:v>
                </c:pt>
                <c:pt idx="60">
                  <c:v>359.07459859126033</c:v>
                </c:pt>
                <c:pt idx="61">
                  <c:v>348.1953152639291</c:v>
                </c:pt>
                <c:pt idx="62">
                  <c:v>354.49474104178239</c:v>
                </c:pt>
                <c:pt idx="63">
                  <c:v>360.79171467277774</c:v>
                </c:pt>
                <c:pt idx="64">
                  <c:v>367.08628503631934</c:v>
                </c:pt>
                <c:pt idx="65">
                  <c:v>373.37849919705491</c:v>
                </c:pt>
                <c:pt idx="66">
                  <c:v>363.08092490118565</c:v>
                </c:pt>
                <c:pt idx="67">
                  <c:v>368.51653895153322</c:v>
                </c:pt>
                <c:pt idx="68">
                  <c:v>373.95040340997576</c:v>
                </c:pt>
                <c:pt idx="69">
                  <c:v>379.38254731510438</c:v>
                </c:pt>
                <c:pt idx="70">
                  <c:v>384.81299880518804</c:v>
                </c:pt>
                <c:pt idx="71">
                  <c:v>375.3800806123125</c:v>
                </c:pt>
                <c:pt idx="72">
                  <c:v>380.24009882927476</c:v>
                </c:pt>
                <c:pt idx="73">
                  <c:v>385.09876568097212</c:v>
                </c:pt>
                <c:pt idx="74">
                  <c:v>389.95610064267231</c:v>
                </c:pt>
                <c:pt idx="75">
                  <c:v>394.81212266433687</c:v>
                </c:pt>
                <c:pt idx="76">
                  <c:v>385.95603867315367</c:v>
                </c:pt>
                <c:pt idx="77">
                  <c:v>389.95610064267231</c:v>
                </c:pt>
                <c:pt idx="78">
                  <c:v>393.95527218452713</c:v>
                </c:pt>
                <c:pt idx="79">
                  <c:v>397.95356362471392</c:v>
                </c:pt>
                <c:pt idx="80">
                  <c:v>401.95098506454946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defaultColWidth="10.906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0" t="s">
        <v>291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</row>
    <row r="13" spans="2:13" ht="15" customHeight="1" x14ac:dyDescent="0.35"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2:13" ht="15" customHeight="1" x14ac:dyDescent="0.35"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</row>
    <row r="15" spans="2:13" ht="18.75" customHeight="1" x14ac:dyDescent="0.35"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</row>
    <row r="16" spans="2:13" ht="18.75" customHeight="1" x14ac:dyDescent="0.35"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</row>
    <row r="18" spans="2:13" ht="12" customHeight="1" x14ac:dyDescent="0.35">
      <c r="B18" s="260" t="s">
        <v>292</v>
      </c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</row>
    <row r="19" spans="2:13" ht="12" customHeight="1" x14ac:dyDescent="0.35"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</row>
    <row r="20" spans="2:13" ht="12" customHeight="1" x14ac:dyDescent="0.35"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</row>
    <row r="21" spans="2:13" ht="12" customHeight="1" x14ac:dyDescent="0.35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</row>
    <row r="22" spans="2:13" ht="12" customHeight="1" x14ac:dyDescent="0.35"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</row>
    <row r="23" spans="2:13" ht="12" customHeight="1" x14ac:dyDescent="0.35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</row>
    <row r="24" spans="2:13" ht="12" customHeight="1" x14ac:dyDescent="0.35"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</row>
    <row r="25" spans="2:13" ht="12" customHeight="1" x14ac:dyDescent="0.35"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</row>
    <row r="26" spans="2:13" ht="12" customHeight="1" x14ac:dyDescent="0.35"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spans="2:13" ht="12" customHeight="1" x14ac:dyDescent="0.35"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</row>
    <row r="28" spans="2:13" ht="12" customHeight="1" x14ac:dyDescent="0.35"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</row>
    <row r="29" spans="2:13" ht="12" customHeight="1" x14ac:dyDescent="0.35"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</row>
    <row r="30" spans="2:13" ht="12" customHeight="1" x14ac:dyDescent="0.35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spans="2:13" ht="12" customHeight="1" x14ac:dyDescent="0.35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80" zoomScaleNormal="80" workbookViewId="0">
      <selection activeCell="D16" sqref="D16"/>
    </sheetView>
  </sheetViews>
  <sheetFormatPr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6" t="s">
        <v>192</v>
      </c>
      <c r="C3" s="267"/>
      <c r="D3" s="267"/>
      <c r="E3" s="267"/>
      <c r="F3" s="268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1" t="s">
        <v>231</v>
      </c>
      <c r="B5" s="271"/>
      <c r="C5" s="24">
        <v>29.04</v>
      </c>
      <c r="D5" s="272" t="s">
        <v>229</v>
      </c>
      <c r="E5" s="273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0" t="s">
        <v>226</v>
      </c>
      <c r="B7" s="270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32</v>
      </c>
      <c r="C9" s="32">
        <v>9.8900000000000002E-2</v>
      </c>
      <c r="D9" s="33">
        <f t="shared" ref="D9:D18" si="0">C9*$C$5</f>
        <v>2.8720560000000002</v>
      </c>
      <c r="E9" s="34">
        <v>26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14</v>
      </c>
      <c r="C10" s="32">
        <v>8.3000000000000004E-2</v>
      </c>
      <c r="D10" s="33">
        <f t="shared" si="0"/>
        <v>2.41032</v>
      </c>
      <c r="E10" s="34">
        <v>171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12</v>
      </c>
      <c r="C11" s="32">
        <v>3.6700000000000003E-2</v>
      </c>
      <c r="D11" s="33">
        <f t="shared" si="0"/>
        <v>1.065768</v>
      </c>
      <c r="E11" s="34">
        <v>171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35</v>
      </c>
      <c r="C12" s="32">
        <v>0.45550000000000002</v>
      </c>
      <c r="D12" s="33">
        <f t="shared" si="0"/>
        <v>13.22772</v>
      </c>
      <c r="E12" s="34">
        <v>82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13</v>
      </c>
      <c r="C13" s="32">
        <v>0.1358</v>
      </c>
      <c r="D13" s="33">
        <f t="shared" si="0"/>
        <v>3.943632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1</v>
      </c>
      <c r="C14" s="32">
        <v>3.6700000000000003E-2</v>
      </c>
      <c r="D14" s="33">
        <f t="shared" si="0"/>
        <v>1.065768</v>
      </c>
      <c r="E14" s="34">
        <v>171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50</v>
      </c>
      <c r="C15" s="32">
        <v>3.6700000000000003E-2</v>
      </c>
      <c r="D15" s="33">
        <f t="shared" si="0"/>
        <v>1.065768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23</v>
      </c>
      <c r="C16" s="32">
        <v>3.6799999999999999E-2</v>
      </c>
      <c r="D16" s="33">
        <f t="shared" si="0"/>
        <v>1.0686719999999998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 t="s">
        <v>36</v>
      </c>
      <c r="C17" s="32">
        <v>7.9799999999999996E-2</v>
      </c>
      <c r="D17" s="33">
        <f t="shared" si="0"/>
        <v>2.3173919999999999</v>
      </c>
      <c r="E17" s="34">
        <v>62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0.9998999999999999</v>
      </c>
      <c r="D19" s="38">
        <f>SUM(D9:D18)</f>
        <v>29.037095999999998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9" t="s">
        <v>232</v>
      </c>
      <c r="B22" s="269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0" t="s">
        <v>227</v>
      </c>
      <c r="B30" s="270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non cultivé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2" t="s">
        <v>186</v>
      </c>
      <c r="D34" s="262"/>
      <c r="E34" s="263" t="s">
        <v>187</v>
      </c>
      <c r="F34" s="264"/>
      <c r="G34" s="264"/>
      <c r="H34" s="265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7">
        <v>26</v>
      </c>
      <c r="B36" s="60">
        <v>449</v>
      </c>
      <c r="C36" s="60" t="s">
        <v>324</v>
      </c>
      <c r="D36" s="60">
        <f>B36</f>
        <v>449</v>
      </c>
      <c r="E36" s="51">
        <v>0.77</v>
      </c>
      <c r="F36" s="51">
        <v>0.23</v>
      </c>
      <c r="G36" s="51">
        <v>0</v>
      </c>
      <c r="H36" s="51">
        <v>0</v>
      </c>
      <c r="I36" s="49">
        <f>IFERROR(B36/A36,"")</f>
        <v>17.26923076923077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2" t="s">
        <v>186</v>
      </c>
      <c r="D60" s="262"/>
      <c r="E60" s="263" t="s">
        <v>187</v>
      </c>
      <c r="F60" s="264"/>
      <c r="G60" s="264"/>
      <c r="H60" s="265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42</v>
      </c>
      <c r="B62" s="60">
        <v>126</v>
      </c>
      <c r="C62" s="60">
        <v>1</v>
      </c>
      <c r="D62" s="60">
        <v>30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50</v>
      </c>
      <c r="B63" s="60">
        <v>151</v>
      </c>
      <c r="C63" s="60">
        <v>2</v>
      </c>
      <c r="D63" s="60">
        <v>35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6.875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58</v>
      </c>
      <c r="B64" s="60">
        <v>179</v>
      </c>
      <c r="C64" s="60">
        <v>3</v>
      </c>
      <c r="D64" s="60">
        <v>44</v>
      </c>
      <c r="E64" s="51">
        <v>0</v>
      </c>
      <c r="F64" s="51">
        <v>0.5</v>
      </c>
      <c r="G64" s="51">
        <v>0</v>
      </c>
      <c r="H64" s="51">
        <v>0.5</v>
      </c>
      <c r="I64" s="49">
        <f>IF(A64&lt;&gt;0,(B64-(B63-D63))/(A64-A63),"")</f>
        <v>7.875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66</v>
      </c>
      <c r="B65" s="60">
        <v>190</v>
      </c>
      <c r="C65" s="60">
        <v>4</v>
      </c>
      <c r="D65" s="60">
        <v>39</v>
      </c>
      <c r="E65" s="51">
        <v>0</v>
      </c>
      <c r="F65" s="51">
        <v>0.5</v>
      </c>
      <c r="G65" s="51">
        <v>0</v>
      </c>
      <c r="H65" s="51">
        <v>0.5</v>
      </c>
      <c r="I65" s="49">
        <f>IF(A65&lt;&gt;0,(B65-(B64-D64))/(A65-A64),"")</f>
        <v>6.875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75</v>
      </c>
      <c r="B66" s="60">
        <v>208</v>
      </c>
      <c r="C66" s="60">
        <v>5</v>
      </c>
      <c r="D66" s="60">
        <v>37</v>
      </c>
      <c r="E66" s="51">
        <v>0</v>
      </c>
      <c r="F66" s="51">
        <v>0.5</v>
      </c>
      <c r="G66" s="51">
        <v>0</v>
      </c>
      <c r="H66" s="51">
        <v>0.5</v>
      </c>
      <c r="I66" s="49">
        <f t="shared" ref="I66:I81" si="2">IF(A66&lt;&gt;0,(B66-(B65-D65))/(A66-A65),"")</f>
        <v>6.333333333333333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84</v>
      </c>
      <c r="B67" s="60">
        <v>224</v>
      </c>
      <c r="C67" s="60">
        <v>6</v>
      </c>
      <c r="D67" s="60">
        <v>36</v>
      </c>
      <c r="E67" s="51">
        <v>0.1</v>
      </c>
      <c r="F67" s="51">
        <v>0.5</v>
      </c>
      <c r="G67" s="51">
        <v>0</v>
      </c>
      <c r="H67" s="51">
        <v>0.4</v>
      </c>
      <c r="I67" s="49">
        <f t="shared" si="2"/>
        <v>5.8888888888888893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93</v>
      </c>
      <c r="B68" s="60">
        <v>240</v>
      </c>
      <c r="C68" s="60">
        <v>7</v>
      </c>
      <c r="D68" s="60">
        <v>35</v>
      </c>
      <c r="E68" s="51">
        <v>0.3</v>
      </c>
      <c r="F68" s="51">
        <v>0.35</v>
      </c>
      <c r="G68" s="51">
        <v>0</v>
      </c>
      <c r="H68" s="51">
        <v>0.35</v>
      </c>
      <c r="I68" s="49">
        <f t="shared" si="2"/>
        <v>5.7777777777777777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103</v>
      </c>
      <c r="B69" s="60">
        <v>262</v>
      </c>
      <c r="C69" s="60">
        <v>8</v>
      </c>
      <c r="D69" s="60">
        <v>38</v>
      </c>
      <c r="E69" s="51">
        <v>0.4</v>
      </c>
      <c r="F69" s="51">
        <v>0.3</v>
      </c>
      <c r="G69" s="51">
        <v>0</v>
      </c>
      <c r="H69" s="51">
        <v>0.3</v>
      </c>
      <c r="I69" s="49">
        <f t="shared" si="2"/>
        <v>5.7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113</v>
      </c>
      <c r="B70" s="60">
        <v>284</v>
      </c>
      <c r="C70" s="60">
        <v>9</v>
      </c>
      <c r="D70" s="60">
        <v>42</v>
      </c>
      <c r="E70" s="51">
        <v>0.7</v>
      </c>
      <c r="F70" s="51">
        <v>0.1</v>
      </c>
      <c r="G70" s="51">
        <v>0</v>
      </c>
      <c r="H70" s="51">
        <v>0.2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123</v>
      </c>
      <c r="B71" s="60">
        <v>306</v>
      </c>
      <c r="C71" s="60">
        <v>10</v>
      </c>
      <c r="D71" s="60">
        <v>46</v>
      </c>
      <c r="E71" s="51">
        <v>0.7</v>
      </c>
      <c r="F71" s="51">
        <v>0.1</v>
      </c>
      <c r="G71" s="51">
        <v>0</v>
      </c>
      <c r="H71" s="51">
        <v>0.2</v>
      </c>
      <c r="I71" s="49">
        <f t="shared" si="2"/>
        <v>6.4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135</v>
      </c>
      <c r="B72" s="60">
        <v>329</v>
      </c>
      <c r="C72" s="60">
        <v>11</v>
      </c>
      <c r="D72" s="60">
        <v>48</v>
      </c>
      <c r="E72" s="51">
        <v>0.7</v>
      </c>
      <c r="F72" s="51">
        <v>0.1</v>
      </c>
      <c r="G72" s="51">
        <v>0</v>
      </c>
      <c r="H72" s="51">
        <v>0.2</v>
      </c>
      <c r="I72" s="49">
        <f t="shared" si="2"/>
        <v>5.75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147</v>
      </c>
      <c r="B73" s="60">
        <v>351</v>
      </c>
      <c r="C73" s="60">
        <v>12</v>
      </c>
      <c r="D73" s="60">
        <v>48</v>
      </c>
      <c r="E73" s="51">
        <v>0.7</v>
      </c>
      <c r="F73" s="51">
        <v>0.1</v>
      </c>
      <c r="G73" s="51">
        <v>0</v>
      </c>
      <c r="H73" s="51">
        <v>0.2</v>
      </c>
      <c r="I73" s="49">
        <f t="shared" si="2"/>
        <v>5.833333333333333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159</v>
      </c>
      <c r="B74" s="60">
        <v>374</v>
      </c>
      <c r="C74" s="60">
        <v>13</v>
      </c>
      <c r="D74" s="60">
        <v>47</v>
      </c>
      <c r="E74" s="51">
        <v>0.7</v>
      </c>
      <c r="F74" s="51">
        <v>0.1</v>
      </c>
      <c r="G74" s="51">
        <v>0</v>
      </c>
      <c r="H74" s="51">
        <v>0.2</v>
      </c>
      <c r="I74" s="49">
        <f t="shared" si="2"/>
        <v>5.916666666666667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171</v>
      </c>
      <c r="B75" s="60">
        <v>399</v>
      </c>
      <c r="C75" s="60" t="s">
        <v>324</v>
      </c>
      <c r="D75" s="60">
        <f>B75</f>
        <v>399</v>
      </c>
      <c r="E75" s="51">
        <v>0.7</v>
      </c>
      <c r="F75" s="51">
        <v>0.1</v>
      </c>
      <c r="G75" s="51">
        <v>0</v>
      </c>
      <c r="H75" s="51">
        <v>0.2</v>
      </c>
      <c r="I75" s="49">
        <f t="shared" si="2"/>
        <v>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2" t="s">
        <v>186</v>
      </c>
      <c r="D86" s="262"/>
      <c r="E86" s="263" t="s">
        <v>187</v>
      </c>
      <c r="F86" s="264"/>
      <c r="G86" s="264"/>
      <c r="H86" s="265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42</v>
      </c>
      <c r="B88" s="60">
        <v>126</v>
      </c>
      <c r="C88" s="60">
        <v>1</v>
      </c>
      <c r="D88" s="60">
        <v>30</v>
      </c>
      <c r="E88" s="51">
        <v>0</v>
      </c>
      <c r="F88" s="51">
        <v>0</v>
      </c>
      <c r="G88" s="51">
        <v>0</v>
      </c>
      <c r="H88" s="51">
        <v>1</v>
      </c>
      <c r="I88" s="53">
        <f>IFERROR(B88/A88,"")</f>
        <v>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50</v>
      </c>
      <c r="B89" s="60">
        <v>151</v>
      </c>
      <c r="C89" s="60">
        <v>2</v>
      </c>
      <c r="D89" s="60">
        <v>35</v>
      </c>
      <c r="E89" s="51">
        <v>0</v>
      </c>
      <c r="F89" s="51">
        <v>0</v>
      </c>
      <c r="G89" s="51">
        <v>0</v>
      </c>
      <c r="H89" s="51">
        <v>1</v>
      </c>
      <c r="I89" s="53">
        <f t="shared" ref="I89:I107" si="3">IF(A89&lt;&gt;0,(B89-(B88-D88))/(A89-A88),"")</f>
        <v>6.875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58</v>
      </c>
      <c r="B90" s="60">
        <v>179</v>
      </c>
      <c r="C90" s="60">
        <v>3</v>
      </c>
      <c r="D90" s="60">
        <v>44</v>
      </c>
      <c r="E90" s="51">
        <v>0</v>
      </c>
      <c r="F90" s="51">
        <v>0.5</v>
      </c>
      <c r="G90" s="51">
        <v>0</v>
      </c>
      <c r="H90" s="51">
        <v>0.5</v>
      </c>
      <c r="I90" s="53">
        <f t="shared" si="3"/>
        <v>7.875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66</v>
      </c>
      <c r="B91" s="60">
        <v>190</v>
      </c>
      <c r="C91" s="60">
        <v>4</v>
      </c>
      <c r="D91" s="60">
        <v>39</v>
      </c>
      <c r="E91" s="51">
        <v>0</v>
      </c>
      <c r="F91" s="51">
        <v>0.5</v>
      </c>
      <c r="G91" s="51">
        <v>0</v>
      </c>
      <c r="H91" s="51">
        <v>0.5</v>
      </c>
      <c r="I91" s="53">
        <f t="shared" si="3"/>
        <v>6.875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75</v>
      </c>
      <c r="B92" s="60">
        <v>208</v>
      </c>
      <c r="C92" s="60">
        <v>5</v>
      </c>
      <c r="D92" s="60">
        <v>37</v>
      </c>
      <c r="E92" s="51">
        <v>0</v>
      </c>
      <c r="F92" s="51">
        <v>0.5</v>
      </c>
      <c r="G92" s="51">
        <v>0</v>
      </c>
      <c r="H92" s="51">
        <v>0.5</v>
      </c>
      <c r="I92" s="53">
        <f t="shared" si="3"/>
        <v>6.333333333333333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84</v>
      </c>
      <c r="B93" s="60">
        <v>224</v>
      </c>
      <c r="C93" s="60">
        <v>6</v>
      </c>
      <c r="D93" s="60">
        <v>36</v>
      </c>
      <c r="E93" s="51">
        <v>0.1</v>
      </c>
      <c r="F93" s="51">
        <v>0.5</v>
      </c>
      <c r="G93" s="51">
        <v>0</v>
      </c>
      <c r="H93" s="51">
        <v>0.4</v>
      </c>
      <c r="I93" s="53">
        <f t="shared" si="3"/>
        <v>5.8888888888888893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93</v>
      </c>
      <c r="B94" s="60">
        <v>240</v>
      </c>
      <c r="C94" s="60">
        <v>7</v>
      </c>
      <c r="D94" s="60">
        <v>35</v>
      </c>
      <c r="E94" s="51">
        <v>0.3</v>
      </c>
      <c r="F94" s="51">
        <v>0.35</v>
      </c>
      <c r="G94" s="51">
        <v>0</v>
      </c>
      <c r="H94" s="51">
        <v>0.35</v>
      </c>
      <c r="I94" s="53">
        <f t="shared" si="3"/>
        <v>5.7777777777777777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50">
        <v>103</v>
      </c>
      <c r="B95" s="60">
        <v>262</v>
      </c>
      <c r="C95" s="60">
        <v>8</v>
      </c>
      <c r="D95" s="60">
        <v>38</v>
      </c>
      <c r="E95" s="51">
        <v>0.4</v>
      </c>
      <c r="F95" s="51">
        <v>0.3</v>
      </c>
      <c r="G95" s="51">
        <v>0</v>
      </c>
      <c r="H95" s="51">
        <v>0.3</v>
      </c>
      <c r="I95" s="53">
        <f t="shared" si="3"/>
        <v>5.7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50">
        <v>113</v>
      </c>
      <c r="B96" s="60">
        <v>284</v>
      </c>
      <c r="C96" s="60">
        <v>9</v>
      </c>
      <c r="D96" s="60">
        <v>42</v>
      </c>
      <c r="E96" s="51">
        <v>0.7</v>
      </c>
      <c r="F96" s="51">
        <v>0.1</v>
      </c>
      <c r="G96" s="51">
        <v>0</v>
      </c>
      <c r="H96" s="51">
        <v>0.2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50">
        <v>123</v>
      </c>
      <c r="B97" s="60">
        <v>306</v>
      </c>
      <c r="C97" s="60">
        <v>10</v>
      </c>
      <c r="D97" s="60">
        <v>46</v>
      </c>
      <c r="E97" s="51">
        <v>0.7</v>
      </c>
      <c r="F97" s="51">
        <v>0.1</v>
      </c>
      <c r="G97" s="51">
        <v>0</v>
      </c>
      <c r="H97" s="51">
        <v>0.2</v>
      </c>
      <c r="I97" s="53">
        <f t="shared" si="3"/>
        <v>6.4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50">
        <v>135</v>
      </c>
      <c r="B98" s="60">
        <v>329</v>
      </c>
      <c r="C98" s="60">
        <v>11</v>
      </c>
      <c r="D98" s="60">
        <v>48</v>
      </c>
      <c r="E98" s="51">
        <v>0.7</v>
      </c>
      <c r="F98" s="51">
        <v>0.1</v>
      </c>
      <c r="G98" s="51">
        <v>0</v>
      </c>
      <c r="H98" s="51">
        <v>0.2</v>
      </c>
      <c r="I98" s="53">
        <f t="shared" si="3"/>
        <v>5.75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50">
        <v>147</v>
      </c>
      <c r="B99" s="60">
        <v>351</v>
      </c>
      <c r="C99" s="60">
        <v>12</v>
      </c>
      <c r="D99" s="60">
        <v>48</v>
      </c>
      <c r="E99" s="51">
        <v>0.7</v>
      </c>
      <c r="F99" s="51">
        <v>0.1</v>
      </c>
      <c r="G99" s="51">
        <v>0</v>
      </c>
      <c r="H99" s="51">
        <v>0.2</v>
      </c>
      <c r="I99" s="53">
        <f t="shared" si="3"/>
        <v>5.833333333333333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50">
        <v>159</v>
      </c>
      <c r="B100" s="60">
        <v>374</v>
      </c>
      <c r="C100" s="60">
        <v>13</v>
      </c>
      <c r="D100" s="60">
        <v>47</v>
      </c>
      <c r="E100" s="51">
        <v>0.7</v>
      </c>
      <c r="F100" s="51">
        <v>0.1</v>
      </c>
      <c r="G100" s="51">
        <v>0</v>
      </c>
      <c r="H100" s="51">
        <v>0.2</v>
      </c>
      <c r="I100" s="53">
        <f t="shared" si="3"/>
        <v>5.916666666666667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50">
        <v>171</v>
      </c>
      <c r="B101" s="60">
        <v>399</v>
      </c>
      <c r="C101" s="60" t="s">
        <v>324</v>
      </c>
      <c r="D101" s="60">
        <f>B101</f>
        <v>399</v>
      </c>
      <c r="E101" s="51">
        <v>0.7</v>
      </c>
      <c r="F101" s="51">
        <v>0.1</v>
      </c>
      <c r="G101" s="51">
        <v>0</v>
      </c>
      <c r="H101" s="51">
        <v>0.2</v>
      </c>
      <c r="I101" s="53">
        <f t="shared" si="3"/>
        <v>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2" t="s">
        <v>186</v>
      </c>
      <c r="D112" s="262"/>
      <c r="E112" s="263" t="s">
        <v>187</v>
      </c>
      <c r="F112" s="264"/>
      <c r="G112" s="264"/>
      <c r="H112" s="265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22</v>
      </c>
      <c r="B114" s="60">
        <f>107+D114</f>
        <v>123</v>
      </c>
      <c r="C114" s="60">
        <v>1</v>
      </c>
      <c r="D114" s="60">
        <v>16</v>
      </c>
      <c r="E114" s="51">
        <v>0</v>
      </c>
      <c r="F114" s="51">
        <v>0.6</v>
      </c>
      <c r="G114" s="51">
        <v>0.4</v>
      </c>
      <c r="H114" s="51">
        <v>0</v>
      </c>
      <c r="I114" s="53">
        <f>IFERROR(B114/A114,"")</f>
        <v>5.5909090909090908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25</v>
      </c>
      <c r="B115" s="60">
        <f>127+D115</f>
        <v>144</v>
      </c>
      <c r="C115" s="60">
        <v>2</v>
      </c>
      <c r="D115" s="60">
        <v>17</v>
      </c>
      <c r="E115" s="51">
        <v>0</v>
      </c>
      <c r="F115" s="51">
        <v>0.6</v>
      </c>
      <c r="G115" s="51">
        <v>0.4</v>
      </c>
      <c r="H115" s="51">
        <v>0</v>
      </c>
      <c r="I115" s="53">
        <f t="shared" ref="I115:I133" si="4">IF(A115&lt;&gt;0,(B115-(B114-D114))/(A115-A114),"")</f>
        <v>12.333333333333334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30</v>
      </c>
      <c r="B116" s="60">
        <f>160+D116</f>
        <v>194</v>
      </c>
      <c r="C116" s="60">
        <v>3</v>
      </c>
      <c r="D116" s="60">
        <v>34</v>
      </c>
      <c r="E116" s="51">
        <v>0</v>
      </c>
      <c r="F116" s="51">
        <v>0.6</v>
      </c>
      <c r="G116" s="51">
        <v>0.4</v>
      </c>
      <c r="H116" s="51">
        <v>0</v>
      </c>
      <c r="I116" s="53">
        <f t="shared" si="4"/>
        <v>13.4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35</v>
      </c>
      <c r="B117" s="60">
        <f>192+D117</f>
        <v>233</v>
      </c>
      <c r="C117" s="60">
        <v>4</v>
      </c>
      <c r="D117" s="60">
        <v>41</v>
      </c>
      <c r="E117" s="51">
        <v>0</v>
      </c>
      <c r="F117" s="51">
        <v>0.6</v>
      </c>
      <c r="G117" s="51">
        <v>0.4</v>
      </c>
      <c r="H117" s="51">
        <v>0</v>
      </c>
      <c r="I117" s="53">
        <f t="shared" si="4"/>
        <v>14.6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40</v>
      </c>
      <c r="B118" s="60">
        <f>223+D118</f>
        <v>264</v>
      </c>
      <c r="C118" s="60">
        <v>5</v>
      </c>
      <c r="D118" s="60">
        <v>41</v>
      </c>
      <c r="E118" s="51">
        <v>0</v>
      </c>
      <c r="F118" s="51">
        <v>0.6</v>
      </c>
      <c r="G118" s="51">
        <v>0.4</v>
      </c>
      <c r="H118" s="51">
        <v>0</v>
      </c>
      <c r="I118" s="53">
        <f t="shared" si="4"/>
        <v>14.4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45</v>
      </c>
      <c r="B119" s="60">
        <f>265+D119</f>
        <v>318</v>
      </c>
      <c r="C119" s="60">
        <v>6</v>
      </c>
      <c r="D119" s="60">
        <v>53</v>
      </c>
      <c r="E119" s="51">
        <v>0</v>
      </c>
      <c r="F119" s="51">
        <v>0.6</v>
      </c>
      <c r="G119" s="51">
        <v>0.4</v>
      </c>
      <c r="H119" s="51">
        <v>0</v>
      </c>
      <c r="I119" s="53">
        <f t="shared" si="4"/>
        <v>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50">
        <v>50</v>
      </c>
      <c r="B120" s="60">
        <f>299+D120</f>
        <v>352</v>
      </c>
      <c r="C120" s="60">
        <v>7</v>
      </c>
      <c r="D120" s="60">
        <v>53</v>
      </c>
      <c r="E120" s="51">
        <v>0.2</v>
      </c>
      <c r="F120" s="51">
        <v>0.4</v>
      </c>
      <c r="G120" s="51">
        <v>0.4</v>
      </c>
      <c r="H120" s="51">
        <v>0</v>
      </c>
      <c r="I120" s="53">
        <f t="shared" si="4"/>
        <v>17.399999999999999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50">
        <v>58</v>
      </c>
      <c r="B121" s="60">
        <f>362+D121</f>
        <v>440</v>
      </c>
      <c r="C121" s="60">
        <v>8</v>
      </c>
      <c r="D121" s="60">
        <v>78</v>
      </c>
      <c r="E121" s="51">
        <v>0.3</v>
      </c>
      <c r="F121" s="51">
        <v>0.4</v>
      </c>
      <c r="G121" s="51">
        <v>0.3</v>
      </c>
      <c r="H121" s="51">
        <v>0</v>
      </c>
      <c r="I121" s="53">
        <f t="shared" si="4"/>
        <v>17.625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50">
        <v>66</v>
      </c>
      <c r="B122" s="60">
        <f>430+D122</f>
        <v>495</v>
      </c>
      <c r="C122" s="60">
        <v>9</v>
      </c>
      <c r="D122" s="60">
        <v>65</v>
      </c>
      <c r="E122" s="51">
        <v>0.3</v>
      </c>
      <c r="F122" s="51">
        <v>0.4</v>
      </c>
      <c r="G122" s="51">
        <v>0.3</v>
      </c>
      <c r="H122" s="51">
        <v>0</v>
      </c>
      <c r="I122" s="53">
        <f t="shared" si="4"/>
        <v>16.625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50">
        <v>74</v>
      </c>
      <c r="B123" s="60">
        <f>496+D123</f>
        <v>533</v>
      </c>
      <c r="C123" s="60">
        <v>10</v>
      </c>
      <c r="D123" s="60">
        <v>37</v>
      </c>
      <c r="E123" s="51">
        <v>0.5</v>
      </c>
      <c r="F123" s="51">
        <v>0.3</v>
      </c>
      <c r="G123" s="51">
        <v>0.2</v>
      </c>
      <c r="H123" s="51">
        <v>0</v>
      </c>
      <c r="I123" s="53">
        <f t="shared" si="4"/>
        <v>12.875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50">
        <v>82</v>
      </c>
      <c r="B124" s="60">
        <f>541+26</f>
        <v>567</v>
      </c>
      <c r="C124" s="60" t="s">
        <v>324</v>
      </c>
      <c r="D124" s="60">
        <f>B124</f>
        <v>567</v>
      </c>
      <c r="E124" s="51">
        <v>0.7</v>
      </c>
      <c r="F124" s="51">
        <v>0.2</v>
      </c>
      <c r="G124" s="51">
        <v>0.1</v>
      </c>
      <c r="H124" s="51">
        <v>0</v>
      </c>
      <c r="I124" s="53">
        <f t="shared" si="4"/>
        <v>8.875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Chêne rouge d'Amérique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2" t="s">
        <v>186</v>
      </c>
      <c r="D138" s="262"/>
      <c r="E138" s="263" t="s">
        <v>187</v>
      </c>
      <c r="F138" s="264"/>
      <c r="G138" s="264"/>
      <c r="H138" s="265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20</v>
      </c>
      <c r="B140" s="60">
        <v>137</v>
      </c>
      <c r="C140" s="60">
        <v>1</v>
      </c>
      <c r="D140" s="60">
        <v>43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6.85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30</v>
      </c>
      <c r="B141" s="60">
        <v>184</v>
      </c>
      <c r="C141" s="60">
        <v>2</v>
      </c>
      <c r="D141" s="60">
        <v>44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9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40</v>
      </c>
      <c r="B142" s="60">
        <v>213</v>
      </c>
      <c r="C142" s="60">
        <v>3</v>
      </c>
      <c r="D142" s="60">
        <v>39</v>
      </c>
      <c r="E142" s="51">
        <v>0.5</v>
      </c>
      <c r="F142" s="51">
        <v>0</v>
      </c>
      <c r="G142" s="51">
        <v>0.3</v>
      </c>
      <c r="H142" s="51">
        <v>0.2</v>
      </c>
      <c r="I142" s="57">
        <f t="shared" si="5"/>
        <v>7.3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50</v>
      </c>
      <c r="B143" s="60">
        <v>231</v>
      </c>
      <c r="C143" s="60">
        <v>4</v>
      </c>
      <c r="D143" s="60">
        <v>33</v>
      </c>
      <c r="E143" s="51">
        <v>0.5</v>
      </c>
      <c r="F143" s="51">
        <v>0</v>
      </c>
      <c r="G143" s="51">
        <v>0.3</v>
      </c>
      <c r="H143" s="51">
        <v>0.2</v>
      </c>
      <c r="I143" s="57">
        <f t="shared" si="5"/>
        <v>5.7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60</v>
      </c>
      <c r="B144" s="60">
        <v>242</v>
      </c>
      <c r="C144" s="60">
        <v>5</v>
      </c>
      <c r="D144" s="60">
        <v>26</v>
      </c>
      <c r="E144" s="51">
        <v>0.7</v>
      </c>
      <c r="F144" s="51">
        <v>0</v>
      </c>
      <c r="G144" s="51">
        <v>0.2</v>
      </c>
      <c r="H144" s="51">
        <v>0.1</v>
      </c>
      <c r="I144" s="57">
        <f t="shared" si="5"/>
        <v>4.4000000000000004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70</v>
      </c>
      <c r="B145" s="60">
        <v>249</v>
      </c>
      <c r="C145" s="60">
        <v>6</v>
      </c>
      <c r="D145" s="60">
        <v>249</v>
      </c>
      <c r="E145" s="51">
        <v>0.7</v>
      </c>
      <c r="F145" s="51">
        <v>0</v>
      </c>
      <c r="G145" s="51">
        <v>0.2</v>
      </c>
      <c r="H145" s="51">
        <v>0.1</v>
      </c>
      <c r="I145" s="57">
        <f t="shared" si="5"/>
        <v>3.3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6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6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6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2" t="s">
        <v>186</v>
      </c>
      <c r="D164" s="262"/>
      <c r="E164" s="263" t="s">
        <v>187</v>
      </c>
      <c r="F164" s="264"/>
      <c r="G164" s="264"/>
      <c r="H164" s="265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42</v>
      </c>
      <c r="B166" s="60">
        <v>126</v>
      </c>
      <c r="C166" s="60">
        <v>1</v>
      </c>
      <c r="D166" s="60">
        <v>30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50</v>
      </c>
      <c r="B167" s="60">
        <v>151</v>
      </c>
      <c r="C167" s="60">
        <v>2</v>
      </c>
      <c r="D167" s="60">
        <v>35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6.875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58</v>
      </c>
      <c r="B168" s="60">
        <v>179</v>
      </c>
      <c r="C168" s="60">
        <v>3</v>
      </c>
      <c r="D168" s="60">
        <v>44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7.875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66</v>
      </c>
      <c r="B169" s="60">
        <v>190</v>
      </c>
      <c r="C169" s="60">
        <v>4</v>
      </c>
      <c r="D169" s="60">
        <v>39</v>
      </c>
      <c r="E169" s="51">
        <v>0</v>
      </c>
      <c r="F169" s="51">
        <v>0.5</v>
      </c>
      <c r="G169" s="51">
        <v>0</v>
      </c>
      <c r="H169" s="51">
        <v>0.5</v>
      </c>
      <c r="I169" s="49">
        <f t="shared" si="6"/>
        <v>6.875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75</v>
      </c>
      <c r="B170" s="60">
        <v>208</v>
      </c>
      <c r="C170" s="60">
        <v>5</v>
      </c>
      <c r="D170" s="60">
        <v>37</v>
      </c>
      <c r="E170" s="51">
        <v>0</v>
      </c>
      <c r="F170" s="51">
        <v>0.5</v>
      </c>
      <c r="G170" s="51">
        <v>0</v>
      </c>
      <c r="H170" s="51">
        <v>0.5</v>
      </c>
      <c r="I170" s="49">
        <f t="shared" si="6"/>
        <v>6.333333333333333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84</v>
      </c>
      <c r="B171" s="60">
        <v>224</v>
      </c>
      <c r="C171" s="60">
        <v>6</v>
      </c>
      <c r="D171" s="60">
        <v>36</v>
      </c>
      <c r="E171" s="51">
        <v>0.1</v>
      </c>
      <c r="F171" s="51">
        <v>0.5</v>
      </c>
      <c r="G171" s="51">
        <v>0</v>
      </c>
      <c r="H171" s="51">
        <v>0.4</v>
      </c>
      <c r="I171" s="49">
        <f t="shared" si="6"/>
        <v>5.8888888888888893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93</v>
      </c>
      <c r="B172" s="60">
        <v>240</v>
      </c>
      <c r="C172" s="60">
        <v>7</v>
      </c>
      <c r="D172" s="60">
        <v>35</v>
      </c>
      <c r="E172" s="51">
        <v>0.3</v>
      </c>
      <c r="F172" s="51">
        <v>0.35</v>
      </c>
      <c r="G172" s="51">
        <v>0</v>
      </c>
      <c r="H172" s="51">
        <v>0.35</v>
      </c>
      <c r="I172" s="49">
        <f t="shared" si="6"/>
        <v>5.7777777777777777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103</v>
      </c>
      <c r="B173" s="50">
        <v>262</v>
      </c>
      <c r="C173" s="50">
        <v>8</v>
      </c>
      <c r="D173" s="50">
        <v>38</v>
      </c>
      <c r="E173" s="51">
        <v>0.4</v>
      </c>
      <c r="F173" s="51">
        <v>0.3</v>
      </c>
      <c r="G173" s="51">
        <v>0</v>
      </c>
      <c r="H173" s="51">
        <v>0.3</v>
      </c>
      <c r="I173" s="49">
        <f t="shared" si="6"/>
        <v>5.7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113</v>
      </c>
      <c r="B174" s="50">
        <v>284</v>
      </c>
      <c r="C174" s="50">
        <v>9</v>
      </c>
      <c r="D174" s="50">
        <v>42</v>
      </c>
      <c r="E174" s="51">
        <v>0.7</v>
      </c>
      <c r="F174" s="51">
        <v>0.1</v>
      </c>
      <c r="G174" s="51">
        <v>0</v>
      </c>
      <c r="H174" s="51">
        <v>0.2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123</v>
      </c>
      <c r="B175" s="50">
        <v>306</v>
      </c>
      <c r="C175" s="50">
        <v>10</v>
      </c>
      <c r="D175" s="50">
        <v>46</v>
      </c>
      <c r="E175" s="51">
        <v>0.7</v>
      </c>
      <c r="F175" s="51">
        <v>0.1</v>
      </c>
      <c r="G175" s="51">
        <v>0</v>
      </c>
      <c r="H175" s="51">
        <v>0.2</v>
      </c>
      <c r="I175" s="49">
        <f t="shared" si="6"/>
        <v>6.4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135</v>
      </c>
      <c r="B176" s="50">
        <v>329</v>
      </c>
      <c r="C176" s="50">
        <v>11</v>
      </c>
      <c r="D176" s="50">
        <v>48</v>
      </c>
      <c r="E176" s="51">
        <v>0.7</v>
      </c>
      <c r="F176" s="51">
        <v>0.1</v>
      </c>
      <c r="G176" s="51">
        <v>0</v>
      </c>
      <c r="H176" s="51">
        <v>0.2</v>
      </c>
      <c r="I176" s="49">
        <f t="shared" si="6"/>
        <v>5.75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147</v>
      </c>
      <c r="B177" s="50">
        <v>351</v>
      </c>
      <c r="C177" s="50">
        <v>12</v>
      </c>
      <c r="D177" s="50">
        <v>48</v>
      </c>
      <c r="E177" s="51">
        <v>0.7</v>
      </c>
      <c r="F177" s="51">
        <v>0.1</v>
      </c>
      <c r="G177" s="51">
        <v>0</v>
      </c>
      <c r="H177" s="51">
        <v>0.2</v>
      </c>
      <c r="I177" s="49">
        <f t="shared" si="6"/>
        <v>5.833333333333333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159</v>
      </c>
      <c r="B178" s="50">
        <v>374</v>
      </c>
      <c r="C178" s="50">
        <v>13</v>
      </c>
      <c r="D178" s="50">
        <v>47</v>
      </c>
      <c r="E178" s="51">
        <v>0.7</v>
      </c>
      <c r="F178" s="51">
        <v>0.1</v>
      </c>
      <c r="G178" s="51">
        <v>0</v>
      </c>
      <c r="H178" s="51">
        <v>0.2</v>
      </c>
      <c r="I178" s="49">
        <f t="shared" si="6"/>
        <v>5.916666666666667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171</v>
      </c>
      <c r="B179" s="50">
        <v>399</v>
      </c>
      <c r="C179" s="50" t="s">
        <v>324</v>
      </c>
      <c r="D179" s="50">
        <f>B179</f>
        <v>399</v>
      </c>
      <c r="E179" s="51">
        <v>0.7</v>
      </c>
      <c r="F179" s="51">
        <v>0.1</v>
      </c>
      <c r="G179" s="51">
        <v>0</v>
      </c>
      <c r="H179" s="51">
        <v>0.2</v>
      </c>
      <c r="I179" s="49">
        <f t="shared" si="6"/>
        <v>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Tilleul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2" t="s">
        <v>186</v>
      </c>
      <c r="D190" s="262"/>
      <c r="E190" s="263" t="s">
        <v>187</v>
      </c>
      <c r="F190" s="264"/>
      <c r="G190" s="264"/>
      <c r="H190" s="265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15</v>
      </c>
      <c r="B192" s="60">
        <f>22+D192</f>
        <v>37</v>
      </c>
      <c r="C192" s="60">
        <v>1</v>
      </c>
      <c r="D192" s="60">
        <v>15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2.4666666666666668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20</v>
      </c>
      <c r="B193" s="60">
        <f>52+D193</f>
        <v>80</v>
      </c>
      <c r="C193" s="60">
        <v>2</v>
      </c>
      <c r="D193" s="60">
        <v>28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11.6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25</v>
      </c>
      <c r="B194" s="60">
        <f>87+D194</f>
        <v>115</v>
      </c>
      <c r="C194" s="60">
        <v>3</v>
      </c>
      <c r="D194" s="60">
        <v>28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12.6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30</v>
      </c>
      <c r="B195" s="60">
        <f>118+D195</f>
        <v>146</v>
      </c>
      <c r="C195" s="60">
        <v>4</v>
      </c>
      <c r="D195" s="60">
        <v>28</v>
      </c>
      <c r="E195" s="51">
        <v>0</v>
      </c>
      <c r="F195" s="51">
        <v>0</v>
      </c>
      <c r="G195" s="51">
        <v>0</v>
      </c>
      <c r="H195" s="51">
        <v>1</v>
      </c>
      <c r="I195" s="49">
        <f t="shared" si="7"/>
        <v>11.8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35</v>
      </c>
      <c r="B196" s="60">
        <f>144+D196</f>
        <v>172</v>
      </c>
      <c r="C196" s="60">
        <v>5</v>
      </c>
      <c r="D196" s="60">
        <v>28</v>
      </c>
      <c r="E196" s="51">
        <v>0.3</v>
      </c>
      <c r="F196" s="51">
        <v>0</v>
      </c>
      <c r="G196" s="51">
        <v>0.4</v>
      </c>
      <c r="H196" s="51">
        <v>0.3</v>
      </c>
      <c r="I196" s="49">
        <f t="shared" si="7"/>
        <v>10.8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40</v>
      </c>
      <c r="B197" s="60">
        <f>164+D197</f>
        <v>192</v>
      </c>
      <c r="C197" s="60">
        <v>6</v>
      </c>
      <c r="D197" s="60">
        <v>28</v>
      </c>
      <c r="E197" s="51">
        <v>0.3</v>
      </c>
      <c r="F197" s="51">
        <v>0</v>
      </c>
      <c r="G197" s="51">
        <v>0.4</v>
      </c>
      <c r="H197" s="51">
        <v>0.3</v>
      </c>
      <c r="I197" s="49">
        <f t="shared" si="7"/>
        <v>9.6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45</v>
      </c>
      <c r="B198" s="60">
        <f>183+D198</f>
        <v>205</v>
      </c>
      <c r="C198" s="60">
        <v>7</v>
      </c>
      <c r="D198" s="60">
        <v>22</v>
      </c>
      <c r="E198" s="51">
        <v>0.3</v>
      </c>
      <c r="F198" s="51">
        <v>0</v>
      </c>
      <c r="G198" s="51">
        <v>0.4</v>
      </c>
      <c r="H198" s="51">
        <v>0.3</v>
      </c>
      <c r="I198" s="49">
        <f t="shared" si="7"/>
        <v>8.1999999999999993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50</v>
      </c>
      <c r="B199" s="60">
        <f>202+D199</f>
        <v>219</v>
      </c>
      <c r="C199" s="60">
        <v>8</v>
      </c>
      <c r="D199" s="60">
        <v>17</v>
      </c>
      <c r="E199" s="51">
        <v>0.3</v>
      </c>
      <c r="F199" s="51">
        <v>0</v>
      </c>
      <c r="G199" s="51">
        <v>0.4</v>
      </c>
      <c r="H199" s="51">
        <v>0.3</v>
      </c>
      <c r="I199" s="49">
        <f t="shared" si="7"/>
        <v>7.2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55</v>
      </c>
      <c r="B200" s="60">
        <f>219+D200</f>
        <v>232</v>
      </c>
      <c r="C200" s="60">
        <v>9</v>
      </c>
      <c r="D200" s="60">
        <v>13</v>
      </c>
      <c r="E200" s="51">
        <v>0.5</v>
      </c>
      <c r="F200" s="51">
        <v>0</v>
      </c>
      <c r="G200" s="51">
        <v>0.3</v>
      </c>
      <c r="H200" s="51">
        <v>0.2</v>
      </c>
      <c r="I200" s="49">
        <f t="shared" si="7"/>
        <v>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60</v>
      </c>
      <c r="B201" s="60">
        <f>233+D201</f>
        <v>245</v>
      </c>
      <c r="C201" s="60">
        <v>10</v>
      </c>
      <c r="D201" s="60">
        <v>12</v>
      </c>
      <c r="E201" s="51">
        <v>0.5</v>
      </c>
      <c r="F201" s="51">
        <v>0</v>
      </c>
      <c r="G201" s="51">
        <v>0.3</v>
      </c>
      <c r="H201" s="51">
        <v>0.2</v>
      </c>
      <c r="I201" s="49">
        <f t="shared" si="7"/>
        <v>5.2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65</v>
      </c>
      <c r="B202" s="60">
        <f>244+D202</f>
        <v>255</v>
      </c>
      <c r="C202" s="60">
        <v>11</v>
      </c>
      <c r="D202" s="60">
        <v>11</v>
      </c>
      <c r="E202" s="51">
        <v>0.5</v>
      </c>
      <c r="F202" s="51">
        <v>0</v>
      </c>
      <c r="G202" s="51">
        <v>0.3</v>
      </c>
      <c r="H202" s="51">
        <v>0.2</v>
      </c>
      <c r="I202" s="49">
        <f t="shared" si="7"/>
        <v>4.4000000000000004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70</v>
      </c>
      <c r="B203" s="60">
        <f>253+D203</f>
        <v>263</v>
      </c>
      <c r="C203" s="60">
        <v>12</v>
      </c>
      <c r="D203" s="60">
        <v>10</v>
      </c>
      <c r="E203" s="51">
        <v>0.5</v>
      </c>
      <c r="F203" s="51">
        <v>0</v>
      </c>
      <c r="G203" s="51">
        <v>0.3</v>
      </c>
      <c r="H203" s="51">
        <v>0.2</v>
      </c>
      <c r="I203" s="49">
        <f t="shared" si="7"/>
        <v>3.8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75</v>
      </c>
      <c r="B204" s="60">
        <f>261+D204</f>
        <v>270</v>
      </c>
      <c r="C204" s="60">
        <v>13</v>
      </c>
      <c r="D204" s="60">
        <v>9</v>
      </c>
      <c r="E204" s="51">
        <v>0.7</v>
      </c>
      <c r="F204" s="51">
        <v>0</v>
      </c>
      <c r="G204" s="51">
        <v>0.2</v>
      </c>
      <c r="H204" s="51">
        <v>0.1</v>
      </c>
      <c r="I204" s="49">
        <f t="shared" si="7"/>
        <v>3.4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80</v>
      </c>
      <c r="B205" s="60">
        <f>267+8</f>
        <v>275</v>
      </c>
      <c r="C205" s="60" t="s">
        <v>324</v>
      </c>
      <c r="D205" s="60">
        <f>B205</f>
        <v>275</v>
      </c>
      <c r="E205" s="51">
        <v>0.7</v>
      </c>
      <c r="F205" s="51">
        <v>0</v>
      </c>
      <c r="G205" s="51">
        <v>0.2</v>
      </c>
      <c r="H205" s="51">
        <v>0.1</v>
      </c>
      <c r="I205" s="49">
        <f t="shared" si="7"/>
        <v>2.8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Erable sycomore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2" t="s">
        <v>186</v>
      </c>
      <c r="D216" s="262"/>
      <c r="E216" s="263" t="s">
        <v>187</v>
      </c>
      <c r="F216" s="264"/>
      <c r="G216" s="264"/>
      <c r="H216" s="265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258">
        <v>15</v>
      </c>
      <c r="B218" s="60">
        <f>22+D218</f>
        <v>37</v>
      </c>
      <c r="C218" s="60">
        <v>1</v>
      </c>
      <c r="D218" s="60">
        <v>15</v>
      </c>
      <c r="E218" s="51">
        <v>0</v>
      </c>
      <c r="F218" s="51">
        <v>0</v>
      </c>
      <c r="G218" s="51">
        <v>0</v>
      </c>
      <c r="H218" s="51">
        <v>1</v>
      </c>
      <c r="I218" s="53">
        <f>IFERROR(B218/A218,"")</f>
        <v>2.4666666666666668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258">
        <v>20</v>
      </c>
      <c r="B219" s="60">
        <f>52+D219</f>
        <v>80</v>
      </c>
      <c r="C219" s="60">
        <v>2</v>
      </c>
      <c r="D219" s="60">
        <v>28</v>
      </c>
      <c r="E219" s="51">
        <v>0</v>
      </c>
      <c r="F219" s="51">
        <v>0</v>
      </c>
      <c r="G219" s="51">
        <v>0</v>
      </c>
      <c r="H219" s="51">
        <v>1</v>
      </c>
      <c r="I219" s="53">
        <f t="shared" ref="I219:I237" si="8">IF(A219&lt;&gt;0,(B219-(B218-D218))/(A219-A218),"")</f>
        <v>11.6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258">
        <v>25</v>
      </c>
      <c r="B220" s="60">
        <f>87+D220</f>
        <v>115</v>
      </c>
      <c r="C220" s="60">
        <v>3</v>
      </c>
      <c r="D220" s="60">
        <v>28</v>
      </c>
      <c r="E220" s="51">
        <v>0</v>
      </c>
      <c r="F220" s="51">
        <v>0</v>
      </c>
      <c r="G220" s="51">
        <v>0</v>
      </c>
      <c r="H220" s="51">
        <v>1</v>
      </c>
      <c r="I220" s="53">
        <f t="shared" si="8"/>
        <v>12.6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258">
        <v>30</v>
      </c>
      <c r="B221" s="60">
        <f>118+D221</f>
        <v>146</v>
      </c>
      <c r="C221" s="60">
        <v>4</v>
      </c>
      <c r="D221" s="60">
        <v>28</v>
      </c>
      <c r="E221" s="51">
        <v>0</v>
      </c>
      <c r="F221" s="51">
        <v>0</v>
      </c>
      <c r="G221" s="51">
        <v>0</v>
      </c>
      <c r="H221" s="51">
        <v>1</v>
      </c>
      <c r="I221" s="53">
        <f t="shared" si="8"/>
        <v>11.8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258">
        <v>35</v>
      </c>
      <c r="B222" s="60">
        <f>144+D222</f>
        <v>172</v>
      </c>
      <c r="C222" s="60">
        <v>5</v>
      </c>
      <c r="D222" s="60">
        <v>28</v>
      </c>
      <c r="E222" s="51">
        <v>0.3</v>
      </c>
      <c r="F222" s="51">
        <v>0</v>
      </c>
      <c r="G222" s="51">
        <v>0.4</v>
      </c>
      <c r="H222" s="51">
        <v>0.3</v>
      </c>
      <c r="I222" s="53">
        <f t="shared" si="8"/>
        <v>10.8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258">
        <v>40</v>
      </c>
      <c r="B223" s="60">
        <f>164+D223</f>
        <v>192</v>
      </c>
      <c r="C223" s="60">
        <v>6</v>
      </c>
      <c r="D223" s="60">
        <v>28</v>
      </c>
      <c r="E223" s="51">
        <v>0.3</v>
      </c>
      <c r="F223" s="51">
        <v>0</v>
      </c>
      <c r="G223" s="51">
        <v>0.4</v>
      </c>
      <c r="H223" s="51">
        <v>0.3</v>
      </c>
      <c r="I223" s="53">
        <f t="shared" si="8"/>
        <v>9.6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258">
        <v>45</v>
      </c>
      <c r="B224" s="60">
        <f>183+D224</f>
        <v>205</v>
      </c>
      <c r="C224" s="60">
        <v>7</v>
      </c>
      <c r="D224" s="60">
        <v>22</v>
      </c>
      <c r="E224" s="51">
        <v>0.3</v>
      </c>
      <c r="F224" s="51">
        <v>0</v>
      </c>
      <c r="G224" s="51">
        <v>0.4</v>
      </c>
      <c r="H224" s="51">
        <v>0.3</v>
      </c>
      <c r="I224" s="53">
        <f t="shared" si="8"/>
        <v>8.1999999999999993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258">
        <v>50</v>
      </c>
      <c r="B225" s="60">
        <f>202+D225</f>
        <v>219</v>
      </c>
      <c r="C225" s="60">
        <v>8</v>
      </c>
      <c r="D225" s="60">
        <v>17</v>
      </c>
      <c r="E225" s="51">
        <v>0.3</v>
      </c>
      <c r="F225" s="51">
        <v>0</v>
      </c>
      <c r="G225" s="51">
        <v>0.4</v>
      </c>
      <c r="H225" s="51">
        <v>0.3</v>
      </c>
      <c r="I225" s="53">
        <f t="shared" si="8"/>
        <v>7.2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258">
        <v>55</v>
      </c>
      <c r="B226" s="60">
        <f>219+D226</f>
        <v>232</v>
      </c>
      <c r="C226" s="60">
        <v>9</v>
      </c>
      <c r="D226" s="60">
        <v>13</v>
      </c>
      <c r="E226" s="51">
        <v>0.5</v>
      </c>
      <c r="F226" s="51">
        <v>0</v>
      </c>
      <c r="G226" s="51">
        <v>0.3</v>
      </c>
      <c r="H226" s="51">
        <v>0.2</v>
      </c>
      <c r="I226" s="53">
        <f t="shared" si="8"/>
        <v>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258">
        <v>60</v>
      </c>
      <c r="B227" s="60">
        <f>233+D227</f>
        <v>245</v>
      </c>
      <c r="C227" s="60">
        <v>10</v>
      </c>
      <c r="D227" s="60">
        <v>12</v>
      </c>
      <c r="E227" s="51">
        <v>0.5</v>
      </c>
      <c r="F227" s="51">
        <v>0</v>
      </c>
      <c r="G227" s="51">
        <v>0.3</v>
      </c>
      <c r="H227" s="51">
        <v>0.2</v>
      </c>
      <c r="I227" s="53">
        <f t="shared" si="8"/>
        <v>5.2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258">
        <v>65</v>
      </c>
      <c r="B228" s="60">
        <f>244+D228</f>
        <v>255</v>
      </c>
      <c r="C228" s="60">
        <v>11</v>
      </c>
      <c r="D228" s="60">
        <v>11</v>
      </c>
      <c r="E228" s="51">
        <v>0.5</v>
      </c>
      <c r="F228" s="51">
        <v>0</v>
      </c>
      <c r="G228" s="51">
        <v>0.3</v>
      </c>
      <c r="H228" s="51">
        <v>0.2</v>
      </c>
      <c r="I228" s="53">
        <f t="shared" si="8"/>
        <v>4.4000000000000004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258">
        <v>70</v>
      </c>
      <c r="B229" s="60">
        <f>253+D229</f>
        <v>263</v>
      </c>
      <c r="C229" s="60">
        <v>12</v>
      </c>
      <c r="D229" s="60">
        <v>10</v>
      </c>
      <c r="E229" s="51">
        <v>0.5</v>
      </c>
      <c r="F229" s="51">
        <v>0</v>
      </c>
      <c r="G229" s="51">
        <v>0.3</v>
      </c>
      <c r="H229" s="51">
        <v>0.2</v>
      </c>
      <c r="I229" s="53">
        <f t="shared" si="8"/>
        <v>3.8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0">
        <v>75</v>
      </c>
      <c r="B230" s="60">
        <f>261+D230</f>
        <v>270</v>
      </c>
      <c r="C230" s="60">
        <v>13</v>
      </c>
      <c r="D230" s="60">
        <v>9</v>
      </c>
      <c r="E230" s="51">
        <v>0.7</v>
      </c>
      <c r="F230" s="51">
        <v>0</v>
      </c>
      <c r="G230" s="51">
        <v>0.2</v>
      </c>
      <c r="H230" s="51">
        <v>0.1</v>
      </c>
      <c r="I230" s="53">
        <f t="shared" si="8"/>
        <v>3.4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50">
        <v>80</v>
      </c>
      <c r="B231" s="60">
        <f>267+8</f>
        <v>275</v>
      </c>
      <c r="C231" s="60" t="s">
        <v>324</v>
      </c>
      <c r="D231" s="60">
        <f>B231</f>
        <v>275</v>
      </c>
      <c r="E231" s="51">
        <v>0.7</v>
      </c>
      <c r="F231" s="51">
        <v>0</v>
      </c>
      <c r="G231" s="51">
        <v>0.2</v>
      </c>
      <c r="H231" s="51">
        <v>0.1</v>
      </c>
      <c r="I231" s="53">
        <f t="shared" si="8"/>
        <v>2.8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>Pin maritime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2" t="s">
        <v>186</v>
      </c>
      <c r="D242" s="262"/>
      <c r="E242" s="263" t="s">
        <v>187</v>
      </c>
      <c r="F242" s="264"/>
      <c r="G242" s="264"/>
      <c r="H242" s="265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258">
        <v>12</v>
      </c>
      <c r="B244" s="60">
        <v>36</v>
      </c>
      <c r="C244" s="60">
        <v>1</v>
      </c>
      <c r="D244" s="60">
        <v>0</v>
      </c>
      <c r="E244" s="51">
        <v>0</v>
      </c>
      <c r="F244" s="51">
        <v>0.6</v>
      </c>
      <c r="G244" s="51">
        <v>0.4</v>
      </c>
      <c r="H244" s="51">
        <v>0</v>
      </c>
      <c r="I244" s="53">
        <f>IFERROR(B244/A244,"")</f>
        <v>3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258">
        <v>16</v>
      </c>
      <c r="B245" s="60">
        <v>81</v>
      </c>
      <c r="C245" s="60">
        <v>2</v>
      </c>
      <c r="D245" s="60">
        <v>15</v>
      </c>
      <c r="E245" s="51">
        <v>0</v>
      </c>
      <c r="F245" s="51">
        <v>0.6</v>
      </c>
      <c r="G245" s="51">
        <v>0.4</v>
      </c>
      <c r="H245" s="51">
        <v>0</v>
      </c>
      <c r="I245" s="53">
        <f>IF(A245&lt;&gt;0,(B245-(B244-D244))/(A245-A244),"")</f>
        <v>11.25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258">
        <v>20</v>
      </c>
      <c r="B246" s="60">
        <f>97+22</f>
        <v>119</v>
      </c>
      <c r="C246" s="60">
        <v>3</v>
      </c>
      <c r="D246" s="60">
        <v>22</v>
      </c>
      <c r="E246" s="51">
        <v>0</v>
      </c>
      <c r="F246" s="51">
        <v>0.6</v>
      </c>
      <c r="G246" s="51">
        <v>0.4</v>
      </c>
      <c r="H246" s="51">
        <v>0</v>
      </c>
      <c r="I246" s="53">
        <f>IF(A246&lt;&gt;0,(B246-(B245-D245))/(A246-A245),"")</f>
        <v>13.25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258">
        <v>24</v>
      </c>
      <c r="B247" s="60">
        <f>126+31</f>
        <v>157</v>
      </c>
      <c r="C247" s="60">
        <v>4</v>
      </c>
      <c r="D247" s="60">
        <v>31</v>
      </c>
      <c r="E247" s="51">
        <v>0.2</v>
      </c>
      <c r="F247" s="51">
        <v>0.4</v>
      </c>
      <c r="G247" s="51">
        <v>0.4</v>
      </c>
      <c r="H247" s="51">
        <v>0</v>
      </c>
      <c r="I247" s="53">
        <f t="shared" ref="I247:I263" si="9">IF(A247&lt;&gt;0,(B247-(B246-D246))/(A247-A246),"")</f>
        <v>15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258">
        <v>28</v>
      </c>
      <c r="B248" s="60">
        <f>155+35</f>
        <v>190</v>
      </c>
      <c r="C248" s="60">
        <v>5</v>
      </c>
      <c r="D248" s="60">
        <v>35</v>
      </c>
      <c r="E248" s="51">
        <v>0.4</v>
      </c>
      <c r="F248" s="51">
        <v>0.3</v>
      </c>
      <c r="G248" s="51">
        <v>0.3</v>
      </c>
      <c r="H248" s="51">
        <v>0</v>
      </c>
      <c r="I248" s="53">
        <f t="shared" si="9"/>
        <v>16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258">
        <v>34</v>
      </c>
      <c r="B249" s="60">
        <f>198+46</f>
        <v>244</v>
      </c>
      <c r="C249" s="60">
        <v>6</v>
      </c>
      <c r="D249" s="60">
        <v>46</v>
      </c>
      <c r="E249" s="51">
        <v>0.5</v>
      </c>
      <c r="F249" s="51">
        <v>0.3</v>
      </c>
      <c r="G249" s="51">
        <v>0.2</v>
      </c>
      <c r="H249" s="51">
        <v>0</v>
      </c>
      <c r="I249" s="53">
        <f t="shared" si="9"/>
        <v>14.833333333333334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258">
        <v>40</v>
      </c>
      <c r="B250" s="60">
        <f>234+41</f>
        <v>275</v>
      </c>
      <c r="C250" s="60">
        <v>7</v>
      </c>
      <c r="D250" s="60">
        <v>41</v>
      </c>
      <c r="E250" s="51">
        <v>0.5</v>
      </c>
      <c r="F250" s="51">
        <v>0.3</v>
      </c>
      <c r="G250" s="51">
        <v>0.2</v>
      </c>
      <c r="H250" s="51">
        <v>0</v>
      </c>
      <c r="I250" s="53">
        <f t="shared" si="9"/>
        <v>12.833333333333334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258">
        <v>46</v>
      </c>
      <c r="B251" s="60">
        <f>264+29</f>
        <v>293</v>
      </c>
      <c r="C251" s="60">
        <v>8</v>
      </c>
      <c r="D251" s="60">
        <v>29</v>
      </c>
      <c r="E251" s="51">
        <v>0.6</v>
      </c>
      <c r="F251" s="51">
        <v>0.2</v>
      </c>
      <c r="G251" s="51">
        <v>0.2</v>
      </c>
      <c r="H251" s="51">
        <v>0</v>
      </c>
      <c r="I251" s="53">
        <f t="shared" si="9"/>
        <v>9.8333333333333339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258">
        <v>54</v>
      </c>
      <c r="B252" s="60">
        <f>295+16</f>
        <v>311</v>
      </c>
      <c r="C252" s="60">
        <v>9</v>
      </c>
      <c r="D252" s="60">
        <v>16</v>
      </c>
      <c r="E252" s="51">
        <v>0.8</v>
      </c>
      <c r="F252" s="51">
        <v>0.1</v>
      </c>
      <c r="G252" s="51">
        <v>0.1</v>
      </c>
      <c r="H252" s="51">
        <v>0</v>
      </c>
      <c r="I252" s="53">
        <f t="shared" si="9"/>
        <v>5.875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258">
        <v>62</v>
      </c>
      <c r="B253" s="60">
        <f>309+7</f>
        <v>316</v>
      </c>
      <c r="C253" s="60" t="s">
        <v>324</v>
      </c>
      <c r="D253" s="60">
        <v>316</v>
      </c>
      <c r="E253" s="51">
        <v>0.8</v>
      </c>
      <c r="F253" s="51">
        <v>0.1</v>
      </c>
      <c r="G253" s="51">
        <v>0.1</v>
      </c>
      <c r="H253" s="51">
        <v>0</v>
      </c>
      <c r="I253" s="53">
        <f t="shared" si="9"/>
        <v>2.625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258"/>
      <c r="B254" s="60"/>
      <c r="C254" s="60"/>
      <c r="D254" s="60"/>
      <c r="E254" s="51"/>
      <c r="F254" s="51"/>
      <c r="G254" s="51"/>
      <c r="H254" s="51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258"/>
      <c r="B255" s="60"/>
      <c r="C255" s="60"/>
      <c r="D255" s="60"/>
      <c r="E255" s="51"/>
      <c r="F255" s="51"/>
      <c r="G255" s="51"/>
      <c r="H255" s="51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0"/>
      <c r="B256" s="60"/>
      <c r="C256" s="60"/>
      <c r="D256" s="60"/>
      <c r="E256" s="51"/>
      <c r="F256" s="51"/>
      <c r="G256" s="51"/>
      <c r="H256" s="51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50"/>
      <c r="B257" s="60"/>
      <c r="C257" s="60"/>
      <c r="D257" s="60"/>
      <c r="E257" s="51"/>
      <c r="F257" s="51"/>
      <c r="G257" s="51"/>
      <c r="H257" s="51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2" t="s">
        <v>186</v>
      </c>
      <c r="D268" s="262"/>
      <c r="E268" s="263" t="s">
        <v>187</v>
      </c>
      <c r="F268" s="264"/>
      <c r="G268" s="264"/>
      <c r="H268" s="265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8" sqref="G8"/>
    </sheetView>
  </sheetViews>
  <sheetFormatPr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5" t="s">
        <v>191</v>
      </c>
      <c r="C2" s="276"/>
      <c r="D2" s="276"/>
      <c r="E2" s="276"/>
      <c r="F2" s="276"/>
      <c r="G2" s="27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4"/>
      <c r="C4" s="274"/>
      <c r="D4" s="274"/>
      <c r="E4" s="274"/>
      <c r="F4" s="274"/>
      <c r="G4" s="274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1" t="s">
        <v>176</v>
      </c>
      <c r="C1" s="282"/>
      <c r="D1" s="282"/>
      <c r="E1" s="282"/>
      <c r="F1" s="282"/>
      <c r="G1" s="282"/>
      <c r="H1" s="283"/>
      <c r="I1" s="278" t="str">
        <f>IF('Données projet'!$B$9="","",'Données projet'!$B$9)</f>
        <v>Peuplier non cultivé</v>
      </c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80"/>
      <c r="AD1" s="279" t="str">
        <f>IF('Données projet'!$B$10="","",'Données projet'!$B$10)</f>
        <v>Chêne sessile</v>
      </c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80"/>
      <c r="AY1" s="278" t="str">
        <f>IF('Données projet'!$B$11="","",'Données projet'!$B$11)</f>
        <v>Chêne pubescent</v>
      </c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80"/>
      <c r="BT1" s="278" t="str">
        <f>IF('Données projet'!$B$12="","",'Données projet'!$B$12)</f>
        <v>Pin laricio</v>
      </c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80"/>
      <c r="CO1" s="278" t="str">
        <f>IF('Données projet'!$B$13="","",'Données projet'!$B$13)</f>
        <v>Chêne rouge d'Amérique</v>
      </c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80"/>
      <c r="DJ1" s="278" t="str">
        <f>IF('Données projet'!$B$14="","",'Données projet'!$B$14)</f>
        <v>Alisier torminal</v>
      </c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80"/>
      <c r="EE1" s="278" t="str">
        <f>IF('Données projet'!$B$15="","",'Données projet'!$B$15)</f>
        <v>Tilleul</v>
      </c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  <c r="ER1" s="279"/>
      <c r="ES1" s="279"/>
      <c r="ET1" s="279"/>
      <c r="EU1" s="279"/>
      <c r="EV1" s="279"/>
      <c r="EW1" s="279"/>
      <c r="EX1" s="279"/>
      <c r="EY1" s="280"/>
      <c r="EZ1" s="278" t="str">
        <f>IF('Données projet'!$B$16="","",'Données projet'!$B$16)</f>
        <v>Erable sycomore</v>
      </c>
      <c r="FA1" s="279"/>
      <c r="FB1" s="279"/>
      <c r="FC1" s="279"/>
      <c r="FD1" s="279"/>
      <c r="FE1" s="279"/>
      <c r="FF1" s="279"/>
      <c r="FG1" s="279"/>
      <c r="FH1" s="279"/>
      <c r="FI1" s="279"/>
      <c r="FJ1" s="279"/>
      <c r="FK1" s="279"/>
      <c r="FL1" s="279"/>
      <c r="FM1" s="279"/>
      <c r="FN1" s="279"/>
      <c r="FO1" s="279"/>
      <c r="FP1" s="279"/>
      <c r="FQ1" s="279"/>
      <c r="FR1" s="279"/>
      <c r="FS1" s="279"/>
      <c r="FT1" s="280"/>
      <c r="FU1" s="278" t="str">
        <f>IF('Données projet'!$B$17="","",'Données projet'!$B$17)</f>
        <v>Pin maritime</v>
      </c>
      <c r="FV1" s="279"/>
      <c r="FW1" s="279"/>
      <c r="FX1" s="279"/>
      <c r="FY1" s="279"/>
      <c r="FZ1" s="279"/>
      <c r="GA1" s="279"/>
      <c r="GB1" s="279"/>
      <c r="GC1" s="279"/>
      <c r="GD1" s="279"/>
      <c r="GE1" s="279"/>
      <c r="GF1" s="279"/>
      <c r="GG1" s="279"/>
      <c r="GH1" s="279"/>
      <c r="GI1" s="279"/>
      <c r="GJ1" s="279"/>
      <c r="GK1" s="279"/>
      <c r="GL1" s="279"/>
      <c r="GM1" s="279"/>
      <c r="GN1" s="279"/>
      <c r="GO1" s="280"/>
      <c r="GP1" s="278" t="str">
        <f>IF('Données projet'!$B$18="","",'Données projet'!$B$18)</f>
        <v/>
      </c>
      <c r="GQ1" s="279"/>
      <c r="GR1" s="279"/>
      <c r="GS1" s="279"/>
      <c r="GT1" s="279"/>
      <c r="GU1" s="279"/>
      <c r="GV1" s="279"/>
      <c r="GW1" s="279"/>
      <c r="GX1" s="279"/>
      <c r="GY1" s="279"/>
      <c r="GZ1" s="279"/>
      <c r="HA1" s="279"/>
      <c r="HB1" s="279"/>
      <c r="HC1" s="279"/>
      <c r="HD1" s="279"/>
      <c r="HE1" s="279"/>
      <c r="HF1" s="279"/>
      <c r="HG1" s="279"/>
      <c r="HH1" s="279"/>
      <c r="HI1" s="279"/>
      <c r="HJ1" s="280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84.31577618130467</v>
      </c>
      <c r="T3" s="59">
        <f>IF('Données projet'!E9&gt;30,$R$33-$H$33,LOOKUP('Données projet'!$E$9,$A$3:$A$203,R3:R203)-LOOKUP('Données projet'!$E$9,$A$3:$A$203,$H$3:$H$203))</f>
        <v>527.2140904310653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297.90790572649428</v>
      </c>
      <c r="AO3" s="59">
        <f>IF('Données projet'!E10&gt;30,$AM$33-$H$33,LOOKUP('Données projet'!$E$10,$A$3:$A$203,AM3:AM203)-LOOKUP('Données projet'!$E$10,$A$3:$A$203,$H$3:$H$203))</f>
        <v>142.96889776844506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345.3294887586967</v>
      </c>
      <c r="BJ3" s="59">
        <f>IF('Données projet'!E11&gt;30,$BH$33-$H$33,LOOKUP('Données projet'!$E$11,$A$3:$A$203,BH3:BH203)-LOOKUP('Données projet'!$E$11,$A$3:$A$203,$H$3:$H$203))</f>
        <v>164.23448598618114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289.07218105343333</v>
      </c>
      <c r="CE3" s="59">
        <f>IF('Données projet'!E12&gt;30,$CC$33-$H$33,LOOKUP('Données projet'!$E$12,$A$3:$A$203,CC3:CC203)-LOOKUP('Données projet'!$E$12,$A$3:$A$203,$H$3:$H$203))</f>
        <v>217.57508587672368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237.8483058552178</v>
      </c>
      <c r="CZ3" s="59">
        <f>IF('Données projet'!E13&gt;30,$CX$33-$H$33,LOOKUP('Données projet'!$E$13,$A$3:$A$203,CX3:CX203)-LOOKUP('Données projet'!$E$13,$A$3:$A$203,$H$3:$H$203))</f>
        <v>313.36201272119723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325.01961068962373</v>
      </c>
      <c r="DU3" s="59">
        <f>IF('Données projet'!E14&gt;30,$DS$33-$H$33,LOOKUP('Données projet'!$E$14,$A$3:$A$203,DS3:DS203)-LOOKUP('Données projet'!$E$14,$A$3:$A$203,$H$3:$H$203))</f>
        <v>155.12737608540039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178.09619481964575</v>
      </c>
      <c r="EP3" s="59">
        <f>IF('Données projet'!E15&gt;30,$EN$33-$H$33,LOOKUP('Données projet'!$E$15,$A$3:$A$203,EN3:EN203)-LOOKUP('Données projet'!$E$15,$A$3:$A$203,$H$3:$H$203))</f>
        <v>178.65167777495174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219.43439115440339</v>
      </c>
      <c r="FK3" s="59">
        <f>IF('Données projet'!E16&gt;30,$FI$33-$H$33,LOOKUP('Données projet'!$E$16,$A$3:$A$203,FI3:FI203)-LOOKUP('Données projet'!$E$16,$A$3:$A$203,$H$3:$H$203))</f>
        <v>217.8880462742099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191.77102466144095</v>
      </c>
      <c r="GF3" s="59">
        <f>IF('Données projet'!E17&gt;30,$GD$33-$H$33,LOOKUP('Données projet'!$E$17,$A$3:$A$203,GD3:GD203)-LOOKUP('Données projet'!$E$17,$A$3:$A$203,$H$3:$H$203))</f>
        <v>205.57161411620217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17.26923076923077</v>
      </c>
      <c r="N4" s="13">
        <f>IF('Données projet'!$A$36&gt;35,N3+M4-V3,IF(A4&lt;'Données projet'!$A$36,$K$205^A4,IF(A4='Données projet'!$A$36,'Données projet'!$B$36,N3+M4-V3)))</f>
        <v>1.2647639395094386</v>
      </c>
      <c r="O4" s="13">
        <f>N4*VLOOKUP('Données projet'!$B$9,Paramètres!$A$1:$I$89,3,0)*VLOOKUP('Données projet'!$B$9,Paramètres!$A$1:$I$89,5,0)</f>
        <v>0.73002174588484792</v>
      </c>
      <c r="P4" s="13">
        <f>EXP(-1.0587+0.8836*LN(O4)+0.284)</f>
        <v>0.34897601185735894</v>
      </c>
      <c r="Q4" s="20">
        <f t="shared" ref="Q4:Q34" si="2">(O4+P4)*0.475*44/12</f>
        <v>1.8792544280676771</v>
      </c>
      <c r="R4" s="59">
        <f t="shared" si="0"/>
        <v>295.21258776140098</v>
      </c>
      <c r="S4" s="59">
        <f ca="1">AVERAGE(OFFSET($R$3,0,0,'Données projet'!$E$9+1,1))-AVERAGE(OFFSET($H$3,0,0,'Données projet'!$E$9+1,1))</f>
        <v>84.31577618130467</v>
      </c>
      <c r="T4" s="59">
        <f>$T$3</f>
        <v>527.2140904310653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</v>
      </c>
      <c r="AI4" s="13">
        <f>IF('Données projet'!$A$62&gt;35,AI3+AH4-AQ3,IF(A4&lt;'Données projet'!$A$62,$AF$205^A4,IF(A4='Données projet'!$A$62,'Données projet'!$B$62,AI3+AH4-AQ3)))</f>
        <v>3</v>
      </c>
      <c r="AJ4" s="13">
        <f>AI4*VLOOKUP('Données projet'!$B$10,Paramètres!$A$1:$I$89,3,0)*VLOOKUP('Données projet'!$B$10,Paramètres!$A$1:$I$89,5,0)</f>
        <v>2.7143999999999999</v>
      </c>
      <c r="AK4" s="13">
        <f>EXP(-1.0587+0.8836*LN(AJ4)+0.284)</f>
        <v>1.1136437287183383</v>
      </c>
      <c r="AL4" s="20">
        <f t="shared" ref="AL4:AL67" si="4">(AJ4+AK4)*0.475*44/12</f>
        <v>6.6671761608511053</v>
      </c>
      <c r="AM4" s="59">
        <f t="shared" ref="AM4:AM67" si="5">AL4+(AD4+AE4)*44/12</f>
        <v>300.00050949418443</v>
      </c>
      <c r="AN4" s="59">
        <f ca="1">AVERAGE(OFFSET($AM$3,0,0,'Données projet'!$E$10+1,1))-AVERAGE(OFFSET($H$3,0,0,'Données projet'!$E$10+1,1))</f>
        <v>297.90790572649428</v>
      </c>
      <c r="AO4" s="59">
        <f>$AO$3</f>
        <v>142.96889776844506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</v>
      </c>
      <c r="BD4" s="12">
        <f>IF('Données projet'!$A$88&gt;35,BD3+BC4-BL3,IF(A4&lt;'Données projet'!$A$88,$BA$205^A4,IF(A4='Données projet'!$A$88,'Données projet'!$B$88,BD3+BC4-BL3)))</f>
        <v>3</v>
      </c>
      <c r="BE4" s="13">
        <f>BD4*VLOOKUP('Données projet'!$B$11,Paramètres!$A$1:$I$89,3,0)*VLOOKUP('Données projet'!$B$11,Paramètres!$A$1:$I$89,5,0)</f>
        <v>3.0420000000000003</v>
      </c>
      <c r="BF4" s="13">
        <f>EXP(-1.0587+0.8836*LN(BE4)+0.284)</f>
        <v>1.2316052813661467</v>
      </c>
      <c r="BG4" s="20">
        <f t="shared" ref="BG4:BG67" si="7">(BE4+BF4)*0.475*44/12</f>
        <v>7.4431958650460386</v>
      </c>
      <c r="BH4" s="59">
        <f t="shared" ref="BH4:BH67" si="8">BG4+(AY4+AZ4)*44/12</f>
        <v>300.77652919837936</v>
      </c>
      <c r="BI4" s="59">
        <f ca="1">AVERAGE(OFFSET($BH$3,0,0,'Données projet'!$E$11+1,1))-AVERAGE(OFFSET($H$3,0,0,'Données projet'!$E$11+1,1))</f>
        <v>345.3294887586967</v>
      </c>
      <c r="BJ4" s="59">
        <f>$BJ$3</f>
        <v>164.23448598618114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5.5909090909090908</v>
      </c>
      <c r="BY4" s="12">
        <f>IF('Données projet'!$A$114&gt;35,BY3+BX4-CG3,IF(A4&lt;'Données projet'!$A$114,$BV$205^A4,IF(A4='Données projet'!$A$114,'Données projet'!$B$114,BY3+BX4-CG3)))</f>
        <v>1.244502252163008</v>
      </c>
      <c r="BZ4" s="13">
        <f>BY4*VLOOKUP('Données projet'!$B$12,Paramètres!$A$1:$I$89,3,0)*VLOOKUP('Données projet'!$B$12,Paramètres!$A$1:$I$89,5,0)</f>
        <v>0.74421234679347892</v>
      </c>
      <c r="CA4" s="13">
        <f>EXP(-1.0587+0.8836*LN(BZ4)+0.284)</f>
        <v>0.3549632728022305</v>
      </c>
      <c r="CB4" s="20">
        <f t="shared" ref="CB4:CB67" si="10">(BZ4+CA4)*0.475*44/12</f>
        <v>1.9143975374625271</v>
      </c>
      <c r="CC4" s="59">
        <f t="shared" ref="CC4:CC67" si="11">CB4+(BT4+BU4)*44/12</f>
        <v>295.24773087079586</v>
      </c>
      <c r="CD4" s="59">
        <f ca="1">AVERAGE(OFFSET($CC$3,0,0,'Données projet'!$E$12+1,1))-AVERAGE(OFFSET($H$3,0,0,'Données projet'!$E$12+1,1))</f>
        <v>289.07218105343333</v>
      </c>
      <c r="CE4" s="59">
        <f>$CE$3</f>
        <v>217.57508587672368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6.85</v>
      </c>
      <c r="CT4" s="12">
        <f>IF('Données projet'!$A$140&gt;35,CT3+CS4-DB3,IF(A4&lt;'Données projet'!$A$140,$CQ$205^A4,IF(A4='Données projet'!$A$140,'Données projet'!$B$140,CT3+CS4-DB3)))</f>
        <v>1.278898353844806</v>
      </c>
      <c r="CU4" s="17">
        <f>CT4*VLOOKUP('Données projet'!$B$13,Paramètres!$A$1:$I$89,3,0)*VLOOKUP('Données projet'!$B$13,Paramètres!$A$1:$I$89,5,0)</f>
        <v>1.1172456019188226</v>
      </c>
      <c r="CV4" s="13">
        <f>EXP(-1.0587+0.8836*LN(CU4)+0.284)</f>
        <v>0.5082720346591344</v>
      </c>
      <c r="CW4" s="20">
        <f t="shared" ref="CW4:CW67" si="13">(CU4+CV4)*0.475*44/12</f>
        <v>2.831109883706608</v>
      </c>
      <c r="CX4" s="59">
        <f t="shared" ref="CX4:CX67" si="14">CW4+(CO4+CP4)*44/12</f>
        <v>296.16444321703995</v>
      </c>
      <c r="CY4" s="59">
        <f ca="1">AVERAGE(OFFSET($CX$3,0,0,'Données projet'!$E$13+1,1))-AVERAGE(OFFSET($H$3,0,0,'Données projet'!$E$13+1,1))</f>
        <v>237.8483058552178</v>
      </c>
      <c r="CZ4" s="59">
        <f>$CZ$3</f>
        <v>313.36201272119723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</v>
      </c>
      <c r="DO4" s="12">
        <f>IF('Données projet'!$A$166&gt;35,DO3+DN4-DW3,IF(A4&lt;'Données projet'!$A$166,$DL$205^A4,IF(A4='Données projet'!$A$166,'Données projet'!$B$166,DO3+DN4-DW3)))</f>
        <v>3</v>
      </c>
      <c r="DP4" s="17">
        <f>DO4*VLOOKUP('Données projet'!$B$14,Paramètres!$A$1:$I$89,3,0)*VLOOKUP('Données projet'!$B$14,Paramètres!$A$1:$I$89,5,0)</f>
        <v>2.9015999999999997</v>
      </c>
      <c r="DQ4" s="13">
        <f>EXP(-1.0587+0.8836*LN(DP4)+0.284)</f>
        <v>1.1812412308987945</v>
      </c>
      <c r="DR4" s="20">
        <f t="shared" ref="DR4:DR67" si="16">(DP4+DQ4)*0.475*44/12</f>
        <v>7.1109484771487343</v>
      </c>
      <c r="DS4" s="59">
        <f t="shared" ref="DS4:DS67" si="17">DR4+(DJ4+DK4)*44/12</f>
        <v>300.44428181048204</v>
      </c>
      <c r="DT4" s="59">
        <f ca="1">AVERAGE(OFFSET($DS$3,0,0,'Données projet'!$E$14+1,1))-AVERAGE(OFFSET($H$3,0,0,'Données projet'!$E$14+1,1))</f>
        <v>325.01961068962373</v>
      </c>
      <c r="DU4" s="59">
        <f>$DU$3</f>
        <v>155.12737608540039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2.4666666666666668</v>
      </c>
      <c r="EJ4" s="12">
        <f>IF('Données projet'!$A$192&gt;35,EJ3+EI4-ER3,IF(A4&lt;'Données projet'!$A$192,$EG$205^A4,IF(A4='Données projet'!$A$192,'Données projet'!$B$192,EJ3+EI4-ER3)))</f>
        <v>1.2721747796233518</v>
      </c>
      <c r="EK4" s="17">
        <f>EJ4*VLOOKUP('Données projet'!$B$15,Paramètres!$A$1:$I$89,3,0)*VLOOKUP('Données projet'!$B$15,Paramètres!$A$1:$I$89,5,0)</f>
        <v>0.85337484217134441</v>
      </c>
      <c r="EL4" s="13">
        <f>EXP(-1.0587+0.8836*LN(EK4)+0.284)</f>
        <v>0.40059656733164084</v>
      </c>
      <c r="EM4" s="20">
        <f t="shared" ref="EM4:EM67" si="19">(EK4+EL4)*0.475*44/12</f>
        <v>2.1840002048843661</v>
      </c>
      <c r="EN4" s="59">
        <f t="shared" ref="EN4:EN67" si="20">EM4+(EE4+EF4)*44/12</f>
        <v>295.51733353821766</v>
      </c>
      <c r="EO4" s="59">
        <f ca="1">AVERAGE(OFFSET($EN$3,0,0,'Données projet'!$E$15+1,1))-AVERAGE(OFFSET($H$3,0,0,'Données projet'!$E$15+1,1))</f>
        <v>178.09619481964575</v>
      </c>
      <c r="EP4" s="59">
        <f>$EP$3</f>
        <v>178.65167777495174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2.4666666666666668</v>
      </c>
      <c r="FE4" s="12">
        <f>IF('Données projet'!$A$218&gt;35,FE3+FD4-FM3,IF(A4&lt;'Données projet'!$A$218,$FB$205^A4,IF(A4='Données projet'!$A$218,'Données projet'!$B$218,FE3+FD4-FM3)))</f>
        <v>1.2721747796233518</v>
      </c>
      <c r="FF4" s="17">
        <f>FE4*VLOOKUP('Données projet'!$B$16,Paramètres!$A$1:$I$89,3,0)*VLOOKUP('Données projet'!$B$16,Paramètres!$A$1:$I$89,5,0)</f>
        <v>1.0121422546683387</v>
      </c>
      <c r="FG4" s="13">
        <f>EXP(-1.0587+0.8836*LN(FF4)+0.284)</f>
        <v>0.46578286063395047</v>
      </c>
      <c r="FH4" s="20">
        <f t="shared" ref="FH4:FH67" si="22">(FF4+FG4)*0.475*44/12</f>
        <v>2.574052909151487</v>
      </c>
      <c r="FI4" s="59">
        <f t="shared" ref="FI4:FI67" si="23">FH4+(EZ4+FA4)*44/12</f>
        <v>295.90738624248479</v>
      </c>
      <c r="FJ4" s="59">
        <f ca="1">AVERAGE(OFFSET($FI$3,0,0,'Données projet'!$E$16+1,1))-AVERAGE(OFFSET($H$3,0,0,'Données projet'!$E$16+1,1))</f>
        <v>219.43439115440339</v>
      </c>
      <c r="FK4" s="59">
        <f>$FK$3</f>
        <v>217.8880462742099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</v>
      </c>
      <c r="FZ4" s="12">
        <f>IF('Données projet'!$A$244&gt;35,FZ3+FY4-GH3,IF(A4&lt;'Données projet'!$A$244,$FW$205^A4,IF(A4='Données projet'!$A$244,'Données projet'!$B$244,FZ3+FY4-GH3)))</f>
        <v>1.3480061545972777</v>
      </c>
      <c r="GA4" s="17">
        <f>FZ4*VLOOKUP('Données projet'!$B$17,Paramètres!$A$1:$I$89,3,0)*VLOOKUP('Données projet'!$B$17,Paramètres!$A$1:$I$89,5,0)</f>
        <v>0.80610768044917203</v>
      </c>
      <c r="GB4" s="13">
        <f>EXP(-1.0587+0.8836*LN(GA4)+0.284)</f>
        <v>0.38092631183578585</v>
      </c>
      <c r="GC4" s="20">
        <f t="shared" ref="GC4:GC67" si="25">(GA4+GB4)*0.475*44/12</f>
        <v>2.0674175365629677</v>
      </c>
      <c r="GD4" s="59">
        <f t="shared" ref="GD4:GD67" si="26">GC4+(FU4+FV4)*44/12</f>
        <v>295.40075086989629</v>
      </c>
      <c r="GE4" s="59">
        <f ca="1">AVERAGE(OFFSET($GD$3,0,0,'Données projet'!$E$17+1,1))-AVERAGE(OFFSET($H$3,0,0,'Données projet'!$E$17+1,1))</f>
        <v>191.77102466144095</v>
      </c>
      <c r="GF4" s="59">
        <f>$GF$3</f>
        <v>205.57161411620217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17.26923076923077</v>
      </c>
      <c r="N5" s="13">
        <f>IF('Données projet'!$A$36&gt;35,N4+M5-V4,IF(A5&lt;'Données projet'!$A$36,$K$205^A5,IF(A5='Données projet'!$A$36,'Données projet'!$B$36,N4+M5-V4)))</f>
        <v>1.5996278226834348</v>
      </c>
      <c r="O5" s="13">
        <f>N5*VLOOKUP('Données projet'!$B$9,Paramètres!$A$1:$I$89,3,0)*VLOOKUP('Données projet'!$B$9,Paramètres!$A$1:$I$89,5,0)</f>
        <v>0.92330517925287858</v>
      </c>
      <c r="P5" s="13">
        <f t="shared" ref="P5:P68" si="33">EXP(-1.0587+0.8836*LN(O5)+0.284)</f>
        <v>0.42946833347431379</v>
      </c>
      <c r="Q5" s="20">
        <f t="shared" si="2"/>
        <v>2.3560805346665266</v>
      </c>
      <c r="R5" s="59">
        <f t="shared" si="0"/>
        <v>295.68941386799986</v>
      </c>
      <c r="S5" s="59">
        <f ca="1">AVERAGE(OFFSET($R$3,0,0,'Données projet'!$E$9+1,1))-AVERAGE(OFFSET($H$3,0,0,'Données projet'!$E$9+1,1))</f>
        <v>84.31577618130467</v>
      </c>
      <c r="T5" s="59">
        <f t="shared" ref="T5:T68" si="34">$T$3</f>
        <v>527.2140904310653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</v>
      </c>
      <c r="AI5" s="13">
        <f>IF('Données projet'!$A$62&gt;35,AI4+AH5-AQ4,IF(A5&lt;'Données projet'!$A$62,$AF$205^A5,IF(A5='Données projet'!$A$62,'Données projet'!$B$62,AI4+AH5-AQ4)))</f>
        <v>6</v>
      </c>
      <c r="AJ5" s="13">
        <f>AI5*VLOOKUP('Données projet'!$B$10,Paramètres!$A$1:$I$89,3,0)*VLOOKUP('Données projet'!$B$10,Paramètres!$A$1:$I$89,5,0)</f>
        <v>5.4287999999999998</v>
      </c>
      <c r="AK5" s="13">
        <f t="shared" ref="AK5:AK68" si="35">EXP(-1.0587+0.8836*LN(AJ5)+0.284)</f>
        <v>2.0546430333413586</v>
      </c>
      <c r="AL5" s="20">
        <f t="shared" si="4"/>
        <v>13.033663283069531</v>
      </c>
      <c r="AM5" s="59">
        <f t="shared" si="5"/>
        <v>306.36699661640284</v>
      </c>
      <c r="AN5" s="59">
        <f ca="1">AVERAGE(OFFSET($AM$3,0,0,'Données projet'!$E$10+1,1))-AVERAGE(OFFSET($H$3,0,0,'Données projet'!$E$10+1,1))</f>
        <v>297.90790572649428</v>
      </c>
      <c r="AO5" s="59">
        <f t="shared" ref="AO5:AO68" si="36">$AO$3</f>
        <v>142.96889776844506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</v>
      </c>
      <c r="BD5" s="12">
        <f>IF('Données projet'!$A$88&gt;35,BD4+BC5-BL4,IF(A5&lt;'Données projet'!$A$88,$BA$205^A5,IF(A5='Données projet'!$A$88,'Données projet'!$B$88,BD4+BC5-BL4)))</f>
        <v>6</v>
      </c>
      <c r="BE5" s="13">
        <f>BD5*VLOOKUP('Données projet'!$B$11,Paramètres!$A$1:$I$89,3,0)*VLOOKUP('Données projet'!$B$11,Paramètres!$A$1:$I$89,5,0)</f>
        <v>6.0840000000000005</v>
      </c>
      <c r="BF5" s="13">
        <f t="shared" ref="BF5:BF68" si="37">EXP(-1.0587+0.8836*LN(BE5)+0.284)</f>
        <v>2.2722789577396267</v>
      </c>
      <c r="BG5" s="20">
        <f t="shared" si="7"/>
        <v>14.553852518063183</v>
      </c>
      <c r="BH5" s="59">
        <f t="shared" si="8"/>
        <v>307.88718585139651</v>
      </c>
      <c r="BI5" s="59">
        <f ca="1">AVERAGE(OFFSET($BH$3,0,0,'Données projet'!$E$11+1,1))-AVERAGE(OFFSET($H$3,0,0,'Données projet'!$E$11+1,1))</f>
        <v>345.3294887586967</v>
      </c>
      <c r="BJ5" s="59">
        <f t="shared" ref="BJ5:BJ68" si="38">$BJ$3</f>
        <v>164.23448598618114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5.5909090909090908</v>
      </c>
      <c r="BY5" s="12">
        <f>IF('Données projet'!$A$114&gt;35,BY4+BX5-CG4,IF(A5&lt;'Données projet'!$A$114,$BV$205^A5,IF(A5='Données projet'!$A$114,'Données projet'!$B$114,BY4+BX5-CG4)))</f>
        <v>1.5487858556387992</v>
      </c>
      <c r="BZ5" s="13">
        <f>BY5*VLOOKUP('Données projet'!$B$12,Paramètres!$A$1:$I$89,3,0)*VLOOKUP('Données projet'!$B$12,Paramètres!$A$1:$I$89,5,0)</f>
        <v>0.92617394167200195</v>
      </c>
      <c r="CA5" s="13">
        <f t="shared" ref="CA5:CA68" si="39">EXP(-1.0587+0.8836*LN(BZ5)+0.284)</f>
        <v>0.43064718121421069</v>
      </c>
      <c r="CB5" s="20">
        <f t="shared" si="10"/>
        <v>2.3631301223601535</v>
      </c>
      <c r="CC5" s="59">
        <f t="shared" si="11"/>
        <v>295.69646345569345</v>
      </c>
      <c r="CD5" s="59">
        <f ca="1">AVERAGE(OFFSET($CC$3,0,0,'Données projet'!$E$12+1,1))-AVERAGE(OFFSET($H$3,0,0,'Données projet'!$E$12+1,1))</f>
        <v>289.07218105343333</v>
      </c>
      <c r="CE5" s="59">
        <f t="shared" ref="CE5:CE68" si="40">$CE$3</f>
        <v>217.57508587672368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6.85</v>
      </c>
      <c r="CT5" s="12">
        <f>IF('Données projet'!$A$140&gt;35,CT4+CS5-DB4,IF(A5&lt;'Données projet'!$A$140,$CQ$205^A5,IF(A5='Données projet'!$A$140,'Données projet'!$B$140,CT4+CS5-DB4)))</f>
        <v>1.6355809994669546</v>
      </c>
      <c r="CU5" s="17">
        <f>CT5*VLOOKUP('Données projet'!$B$13,Paramètres!$A$1:$I$89,3,0)*VLOOKUP('Données projet'!$B$13,Paramètres!$A$1:$I$89,5,0)</f>
        <v>1.4288435611343318</v>
      </c>
      <c r="CV5" s="13">
        <f t="shared" ref="CV5:CV68" si="41">EXP(-1.0587+0.8836*LN(CU5)+0.284)</f>
        <v>0.6316791321002988</v>
      </c>
      <c r="CW5" s="20">
        <f t="shared" si="13"/>
        <v>3.588743690716981</v>
      </c>
      <c r="CX5" s="59">
        <f t="shared" si="14"/>
        <v>296.92207702405028</v>
      </c>
      <c r="CY5" s="59">
        <f ca="1">AVERAGE(OFFSET($CX$3,0,0,'Données projet'!$E$13+1,1))-AVERAGE(OFFSET($H$3,0,0,'Données projet'!$E$13+1,1))</f>
        <v>237.8483058552178</v>
      </c>
      <c r="CZ5" s="59">
        <f t="shared" ref="CZ5:CZ68" si="42">$CZ$3</f>
        <v>313.36201272119723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</v>
      </c>
      <c r="DO5" s="12">
        <f>IF('Données projet'!$A$166&gt;35,DO4+DN5-DW4,IF(A5&lt;'Données projet'!$A$166,$DL$205^A5,IF(A5='Données projet'!$A$166,'Données projet'!$B$166,DO4+DN5-DW4)))</f>
        <v>6</v>
      </c>
      <c r="DP5" s="17">
        <f>DO5*VLOOKUP('Données projet'!$B$14,Paramètres!$A$1:$I$89,3,0)*VLOOKUP('Données projet'!$B$14,Paramètres!$A$1:$I$89,5,0)</f>
        <v>5.8031999999999995</v>
      </c>
      <c r="DQ5" s="13">
        <f t="shared" ref="DQ5:DQ68" si="43">EXP(-1.0587+0.8836*LN(DP5)+0.284)</f>
        <v>2.1793586253612545</v>
      </c>
      <c r="DR5" s="20">
        <f t="shared" si="16"/>
        <v>13.902956272504184</v>
      </c>
      <c r="DS5" s="59">
        <f t="shared" si="17"/>
        <v>307.2362896058375</v>
      </c>
      <c r="DT5" s="59">
        <f ca="1">AVERAGE(OFFSET($DS$3,0,0,'Données projet'!$E$14+1,1))-AVERAGE(OFFSET($H$3,0,0,'Données projet'!$E$14+1,1))</f>
        <v>325.01961068962373</v>
      </c>
      <c r="DU5" s="59">
        <f t="shared" ref="DU5:DU68" si="44">$DU$3</f>
        <v>155.12737608540039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2.4666666666666668</v>
      </c>
      <c r="EJ5" s="12">
        <f>IF('Données projet'!$A$192&gt;35,EJ4+EI5-ER4,IF(A5&lt;'Données projet'!$A$192,$EG$205^A5,IF(A5='Données projet'!$A$192,'Données projet'!$B$192,EJ4+EI5-ER4)))</f>
        <v>1.6184286699097237</v>
      </c>
      <c r="EK5" s="17">
        <f>EJ5*VLOOKUP('Données projet'!$B$15,Paramètres!$A$1:$I$89,3,0)*VLOOKUP('Données projet'!$B$15,Paramètres!$A$1:$I$89,5,0)</f>
        <v>1.0856419517754428</v>
      </c>
      <c r="EL5" s="13">
        <f t="shared" ref="EL5:EL68" si="45">EXP(-1.0587+0.8836*LN(EK5)+0.284)</f>
        <v>0.49554689557007053</v>
      </c>
      <c r="EM5" s="20">
        <f t="shared" si="19"/>
        <v>2.7539039091267692</v>
      </c>
      <c r="EN5" s="59">
        <f t="shared" si="20"/>
        <v>296.08723724246011</v>
      </c>
      <c r="EO5" s="59">
        <f ca="1">AVERAGE(OFFSET($EN$3,0,0,'Données projet'!$E$15+1,1))-AVERAGE(OFFSET($H$3,0,0,'Données projet'!$E$15+1,1))</f>
        <v>178.09619481964575</v>
      </c>
      <c r="EP5" s="59">
        <f t="shared" ref="EP5:EP68" si="46">$EP$3</f>
        <v>178.65167777495174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2.4666666666666668</v>
      </c>
      <c r="FE5" s="12">
        <f>IF('Données projet'!$A$218&gt;35,FE4+FD5-FM4,IF(A5&lt;'Données projet'!$A$218,$FB$205^A5,IF(A5='Données projet'!$A$218,'Données projet'!$B$218,FE4+FD5-FM4)))</f>
        <v>1.6184286699097237</v>
      </c>
      <c r="FF5" s="17">
        <f>FE5*VLOOKUP('Données projet'!$B$16,Paramètres!$A$1:$I$89,3,0)*VLOOKUP('Données projet'!$B$16,Paramètres!$A$1:$I$89,5,0)</f>
        <v>1.2876218497801761</v>
      </c>
      <c r="FG5" s="13">
        <f t="shared" ref="FG5:FG68" si="47">EXP(-1.0587+0.8836*LN(FF5)+0.284)</f>
        <v>0.57618379541883336</v>
      </c>
      <c r="FH5" s="20">
        <f t="shared" si="22"/>
        <v>3.2461281653882743</v>
      </c>
      <c r="FI5" s="59">
        <f t="shared" si="23"/>
        <v>296.57946149872157</v>
      </c>
      <c r="FJ5" s="59">
        <f ca="1">AVERAGE(OFFSET($FI$3,0,0,'Données projet'!$E$16+1,1))-AVERAGE(OFFSET($H$3,0,0,'Données projet'!$E$16+1,1))</f>
        <v>219.43439115440339</v>
      </c>
      <c r="FK5" s="59">
        <f t="shared" ref="FK5:FK68" si="48">$FK$3</f>
        <v>217.8880462742099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</v>
      </c>
      <c r="FZ5" s="12">
        <f>IF('Données projet'!$A$244&gt;35,FZ4+FY5-GH4,IF(A5&lt;'Données projet'!$A$244,$FW$205^A5,IF(A5='Données projet'!$A$244,'Données projet'!$B$244,FZ4+FY5-GH4)))</f>
        <v>1.8171205928321397</v>
      </c>
      <c r="GA5" s="17">
        <f>FZ5*VLOOKUP('Données projet'!$B$17,Paramètres!$A$1:$I$89,3,0)*VLOOKUP('Données projet'!$B$17,Paramètres!$A$1:$I$89,5,0)</f>
        <v>1.0866381145136197</v>
      </c>
      <c r="GB5" s="13">
        <f t="shared" ref="GB5:GB68" si="49">EXP(-1.0587+0.8836*LN(GA5)+0.284)</f>
        <v>0.49594865026181029</v>
      </c>
      <c r="GC5" s="20">
        <f t="shared" si="25"/>
        <v>2.7563386153172069</v>
      </c>
      <c r="GD5" s="59">
        <f t="shared" si="26"/>
        <v>296.0896719486505</v>
      </c>
      <c r="GE5" s="59">
        <f ca="1">AVERAGE(OFFSET($GD$3,0,0,'Données projet'!$E$17+1,1))-AVERAGE(OFFSET($H$3,0,0,'Données projet'!$E$17+1,1))</f>
        <v>191.77102466144095</v>
      </c>
      <c r="GF5" s="59">
        <f t="shared" ref="GF5:GF68" si="50">$GF$3</f>
        <v>205.57161411620217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17.26923076923077</v>
      </c>
      <c r="N6" s="13">
        <f>IF('Données projet'!$A$36&gt;35,N5+M6-V5,IF(A6&lt;'Données projet'!$A$36,$K$205^A6,IF(A6='Données projet'!$A$36,'Données projet'!$B$36,N5+M6-V5)))</f>
        <v>2.0231515867660068</v>
      </c>
      <c r="O6" s="13">
        <f>N6*VLOOKUP('Données projet'!$B$9,Paramètres!$A$1:$I$89,3,0)*VLOOKUP('Données projet'!$B$9,Paramètres!$A$1:$I$89,5,0)</f>
        <v>1.1677630958813392</v>
      </c>
      <c r="P6" s="13">
        <f t="shared" si="33"/>
        <v>0.52852644075889654</v>
      </c>
      <c r="Q6" s="20">
        <f t="shared" si="2"/>
        <v>2.9543709429817437</v>
      </c>
      <c r="R6" s="59">
        <f t="shared" si="0"/>
        <v>296.28770427631508</v>
      </c>
      <c r="S6" s="59">
        <f ca="1">AVERAGE(OFFSET($R$3,0,0,'Données projet'!$E$9+1,1))-AVERAGE(OFFSET($H$3,0,0,'Données projet'!$E$9+1,1))</f>
        <v>84.31577618130467</v>
      </c>
      <c r="T6" s="59">
        <f t="shared" si="34"/>
        <v>527.2140904310653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</v>
      </c>
      <c r="AI6" s="13">
        <f>IF('Données projet'!$A$62&gt;35,AI5+AH6-AQ5,IF(A6&lt;'Données projet'!$A$62,$AF$205^A6,IF(A6='Données projet'!$A$62,'Données projet'!$B$62,AI5+AH6-AQ5)))</f>
        <v>9</v>
      </c>
      <c r="AJ6" s="13">
        <f>AI6*VLOOKUP('Données projet'!$B$10,Paramètres!$A$1:$I$89,3,0)*VLOOKUP('Données projet'!$B$10,Paramètres!$A$1:$I$89,5,0)</f>
        <v>8.1432000000000002</v>
      </c>
      <c r="AK6" s="13">
        <f t="shared" si="35"/>
        <v>2.9398868551895574</v>
      </c>
      <c r="AL6" s="20">
        <f t="shared" si="4"/>
        <v>19.303042939455146</v>
      </c>
      <c r="AM6" s="59">
        <f t="shared" si="5"/>
        <v>312.63637627278848</v>
      </c>
      <c r="AN6" s="59">
        <f ca="1">AVERAGE(OFFSET($AM$3,0,0,'Données projet'!$E$10+1,1))-AVERAGE(OFFSET($H$3,0,0,'Données projet'!$E$10+1,1))</f>
        <v>297.90790572649428</v>
      </c>
      <c r="AO6" s="59">
        <f t="shared" si="36"/>
        <v>142.96889776844506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</v>
      </c>
      <c r="BD6" s="12">
        <f>IF('Données projet'!$A$88&gt;35,BD5+BC6-BL5,IF(A6&lt;'Données projet'!$A$88,$BA$205^A6,IF(A6='Données projet'!$A$88,'Données projet'!$B$88,BD5+BC6-BL5)))</f>
        <v>9</v>
      </c>
      <c r="BE6" s="13">
        <f>BD6*VLOOKUP('Données projet'!$B$11,Paramètres!$A$1:$I$89,3,0)*VLOOKUP('Données projet'!$B$11,Paramètres!$A$1:$I$89,5,0)</f>
        <v>9.1260000000000012</v>
      </c>
      <c r="BF6" s="13">
        <f t="shared" si="37"/>
        <v>3.2512913098674976</v>
      </c>
      <c r="BG6" s="20">
        <f t="shared" si="7"/>
        <v>21.557115698019228</v>
      </c>
      <c r="BH6" s="59">
        <f t="shared" si="8"/>
        <v>314.89044903135255</v>
      </c>
      <c r="BI6" s="59">
        <f ca="1">AVERAGE(OFFSET($BH$3,0,0,'Données projet'!$E$11+1,1))-AVERAGE(OFFSET($H$3,0,0,'Données projet'!$E$11+1,1))</f>
        <v>345.3294887586967</v>
      </c>
      <c r="BJ6" s="59">
        <f t="shared" si="38"/>
        <v>164.23448598618114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5.5909090909090908</v>
      </c>
      <c r="BY6" s="12">
        <f>IF('Données projet'!$A$114&gt;35,BY5+BX6-CG5,IF(A6&lt;'Données projet'!$A$114,$BV$205^A6,IF(A6='Données projet'!$A$114,'Données projet'!$B$114,BY5+BX6-CG5)))</f>
        <v>1.927467485460697</v>
      </c>
      <c r="BZ6" s="13">
        <f>BY6*VLOOKUP('Données projet'!$B$12,Paramètres!$A$1:$I$89,3,0)*VLOOKUP('Données projet'!$B$12,Paramètres!$A$1:$I$89,5,0)</f>
        <v>1.152625556305497</v>
      </c>
      <c r="CA6" s="13">
        <f t="shared" si="39"/>
        <v>0.52246812247269758</v>
      </c>
      <c r="CB6" s="20">
        <f t="shared" si="10"/>
        <v>2.9174548238720219</v>
      </c>
      <c r="CC6" s="59">
        <f t="shared" si="11"/>
        <v>296.25078815720536</v>
      </c>
      <c r="CD6" s="59">
        <f ca="1">AVERAGE(OFFSET($CC$3,0,0,'Données projet'!$E$12+1,1))-AVERAGE(OFFSET($H$3,0,0,'Données projet'!$E$12+1,1))</f>
        <v>289.07218105343333</v>
      </c>
      <c r="CE6" s="59">
        <f t="shared" si="40"/>
        <v>217.57508587672368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6.85</v>
      </c>
      <c r="CT6" s="12">
        <f>IF('Données projet'!$A$140&gt;35,CT5+CS6-DB5,IF(A6&lt;'Données projet'!$A$140,$CQ$205^A6,IF(A6='Données projet'!$A$140,'Données projet'!$B$140,CT5+CS6-DB5)))</f>
        <v>2.0917418477981307</v>
      </c>
      <c r="CU6" s="17">
        <f>CT6*VLOOKUP('Données projet'!$B$13,Paramètres!$A$1:$I$89,3,0)*VLOOKUP('Données projet'!$B$13,Paramètres!$A$1:$I$89,5,0)</f>
        <v>1.8273456782364474</v>
      </c>
      <c r="CV6" s="13">
        <f t="shared" si="41"/>
        <v>0.78504914439879214</v>
      </c>
      <c r="CW6" s="20">
        <f t="shared" si="13"/>
        <v>4.5499209827563751</v>
      </c>
      <c r="CX6" s="59">
        <f t="shared" si="14"/>
        <v>297.88325431608968</v>
      </c>
      <c r="CY6" s="59">
        <f ca="1">AVERAGE(OFFSET($CX$3,0,0,'Données projet'!$E$13+1,1))-AVERAGE(OFFSET($H$3,0,0,'Données projet'!$E$13+1,1))</f>
        <v>237.8483058552178</v>
      </c>
      <c r="CZ6" s="59">
        <f t="shared" si="42"/>
        <v>313.36201272119723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</v>
      </c>
      <c r="DO6" s="12">
        <f>IF('Données projet'!$A$166&gt;35,DO5+DN6-DW5,IF(A6&lt;'Données projet'!$A$166,$DL$205^A6,IF(A6='Données projet'!$A$166,'Données projet'!$B$166,DO5+DN6-DW5)))</f>
        <v>9</v>
      </c>
      <c r="DP6" s="17">
        <f>DO6*VLOOKUP('Données projet'!$B$14,Paramètres!$A$1:$I$89,3,0)*VLOOKUP('Données projet'!$B$14,Paramètres!$A$1:$I$89,5,0)</f>
        <v>8.7048000000000005</v>
      </c>
      <c r="DQ6" s="13">
        <f t="shared" si="43"/>
        <v>3.1183362128963368</v>
      </c>
      <c r="DR6" s="20">
        <f t="shared" si="16"/>
        <v>20.591962237461122</v>
      </c>
      <c r="DS6" s="59">
        <f t="shared" si="17"/>
        <v>313.92529557079445</v>
      </c>
      <c r="DT6" s="59">
        <f ca="1">AVERAGE(OFFSET($DS$3,0,0,'Données projet'!$E$14+1,1))-AVERAGE(OFFSET($H$3,0,0,'Données projet'!$E$14+1,1))</f>
        <v>325.01961068962373</v>
      </c>
      <c r="DU6" s="59">
        <f t="shared" si="44"/>
        <v>155.12737608540039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2.4666666666666668</v>
      </c>
      <c r="EJ6" s="12">
        <f>IF('Données projet'!$A$192&gt;35,EJ5+EI6-ER5,IF(A6&lt;'Données projet'!$A$192,$EG$205^A6,IF(A6='Données projet'!$A$192,'Données projet'!$B$192,EJ5+EI6-ER5)))</f>
        <v>2.0589241364785171</v>
      </c>
      <c r="EK6" s="17">
        <f>EJ6*VLOOKUP('Données projet'!$B$15,Paramètres!$A$1:$I$89,3,0)*VLOOKUP('Données projet'!$B$15,Paramètres!$A$1:$I$89,5,0)</f>
        <v>1.3811263107497893</v>
      </c>
      <c r="EL6" s="13">
        <f t="shared" si="45"/>
        <v>0.61300257100265598</v>
      </c>
      <c r="EM6" s="20">
        <f t="shared" si="19"/>
        <v>3.4731078023855084</v>
      </c>
      <c r="EN6" s="59">
        <f t="shared" si="20"/>
        <v>296.80644113571884</v>
      </c>
      <c r="EO6" s="59">
        <f ca="1">AVERAGE(OFFSET($EN$3,0,0,'Données projet'!$E$15+1,1))-AVERAGE(OFFSET($H$3,0,0,'Données projet'!$E$15+1,1))</f>
        <v>178.09619481964575</v>
      </c>
      <c r="EP6" s="59">
        <f t="shared" si="46"/>
        <v>178.65167777495174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2.4666666666666668</v>
      </c>
      <c r="FE6" s="12">
        <f>IF('Données projet'!$A$218&gt;35,FE5+FD6-FM5,IF(A6&lt;'Données projet'!$A$218,$FB$205^A6,IF(A6='Données projet'!$A$218,'Données projet'!$B$218,FE5+FD6-FM5)))</f>
        <v>2.0589241364785171</v>
      </c>
      <c r="FF6" s="17">
        <f>FE6*VLOOKUP('Données projet'!$B$16,Paramètres!$A$1:$I$89,3,0)*VLOOKUP('Données projet'!$B$16,Paramètres!$A$1:$I$89,5,0)</f>
        <v>1.6380800429823084</v>
      </c>
      <c r="FG6" s="13">
        <f t="shared" si="47"/>
        <v>0.71275221602487127</v>
      </c>
      <c r="FH6" s="20">
        <f t="shared" si="22"/>
        <v>4.0943661844375043</v>
      </c>
      <c r="FI6" s="59">
        <f t="shared" si="23"/>
        <v>297.4276995177708</v>
      </c>
      <c r="FJ6" s="59">
        <f ca="1">AVERAGE(OFFSET($FI$3,0,0,'Données projet'!$E$16+1,1))-AVERAGE(OFFSET($H$3,0,0,'Données projet'!$E$16+1,1))</f>
        <v>219.43439115440339</v>
      </c>
      <c r="FK6" s="59">
        <f t="shared" si="48"/>
        <v>217.8880462742099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</v>
      </c>
      <c r="FZ6" s="12">
        <f>IF('Données projet'!$A$244&gt;35,FZ5+FY6-GH5,IF(A6&lt;'Données projet'!$A$244,$FW$205^A6,IF(A6='Données projet'!$A$244,'Données projet'!$B$244,FZ5+FY6-GH5)))</f>
        <v>2.4494897427831783</v>
      </c>
      <c r="GA6" s="17">
        <f>FZ6*VLOOKUP('Données projet'!$B$17,Paramètres!$A$1:$I$89,3,0)*VLOOKUP('Données projet'!$B$17,Paramètres!$A$1:$I$89,5,0)</f>
        <v>1.4647948661843406</v>
      </c>
      <c r="GB6" s="13">
        <f t="shared" si="49"/>
        <v>0.64570247854798968</v>
      </c>
      <c r="GC6" s="20">
        <f t="shared" si="25"/>
        <v>3.6757828754088084</v>
      </c>
      <c r="GD6" s="59">
        <f t="shared" si="26"/>
        <v>297.00911620874211</v>
      </c>
      <c r="GE6" s="59">
        <f ca="1">AVERAGE(OFFSET($GD$3,0,0,'Données projet'!$E$17+1,1))-AVERAGE(OFFSET($H$3,0,0,'Données projet'!$E$17+1,1))</f>
        <v>191.77102466144095</v>
      </c>
      <c r="GF6" s="59">
        <f t="shared" si="50"/>
        <v>205.57161411620217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17.26923076923077</v>
      </c>
      <c r="N7" s="13">
        <f>IF('Données projet'!$A$36&gt;35,N6+M7-V6,IF(A7&lt;'Données projet'!$A$36,$K$205^A7,IF(A7='Données projet'!$A$36,'Données projet'!$B$36,N6+M7-V6)))</f>
        <v>2.5588091711029466</v>
      </c>
      <c r="O7" s="13">
        <f>N7*VLOOKUP('Données projet'!$B$9,Paramètres!$A$1:$I$89,3,0)*VLOOKUP('Données projet'!$B$9,Paramètres!$A$1:$I$89,5,0)</f>
        <v>1.4769446535606208</v>
      </c>
      <c r="P7" s="13">
        <f t="shared" si="33"/>
        <v>0.65043258561454453</v>
      </c>
      <c r="Q7" s="20">
        <f t="shared" si="2"/>
        <v>3.7051820248967453</v>
      </c>
      <c r="R7" s="59">
        <f t="shared" si="0"/>
        <v>297.03851535823009</v>
      </c>
      <c r="S7" s="59">
        <f ca="1">AVERAGE(OFFSET($R$3,0,0,'Données projet'!$E$9+1,1))-AVERAGE(OFFSET($H$3,0,0,'Données projet'!$E$9+1,1))</f>
        <v>84.31577618130467</v>
      </c>
      <c r="T7" s="59">
        <f t="shared" si="34"/>
        <v>527.2140904310653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</v>
      </c>
      <c r="AI7" s="13">
        <f>IF('Données projet'!$A$62&gt;35,AI6+AH7-AQ6,IF(A7&lt;'Données projet'!$A$62,$AF$205^A7,IF(A7='Données projet'!$A$62,'Données projet'!$B$62,AI6+AH7-AQ6)))</f>
        <v>12</v>
      </c>
      <c r="AJ7" s="13">
        <f>AI7*VLOOKUP('Données projet'!$B$10,Paramètres!$A$1:$I$89,3,0)*VLOOKUP('Données projet'!$B$10,Paramètres!$A$1:$I$89,5,0)</f>
        <v>10.8576</v>
      </c>
      <c r="AK7" s="13">
        <f t="shared" si="35"/>
        <v>3.7907617001683773</v>
      </c>
      <c r="AL7" s="20">
        <f t="shared" si="4"/>
        <v>25.512563294459923</v>
      </c>
      <c r="AM7" s="59">
        <f t="shared" si="5"/>
        <v>318.84589662779325</v>
      </c>
      <c r="AN7" s="59">
        <f ca="1">AVERAGE(OFFSET($AM$3,0,0,'Données projet'!$E$10+1,1))-AVERAGE(OFFSET($H$3,0,0,'Données projet'!$E$10+1,1))</f>
        <v>297.90790572649428</v>
      </c>
      <c r="AO7" s="59">
        <f t="shared" si="36"/>
        <v>142.96889776844506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</v>
      </c>
      <c r="BD7" s="12">
        <f>IF('Données projet'!$A$88&gt;35,BD6+BC7-BL6,IF(A7&lt;'Données projet'!$A$88,$BA$205^A7,IF(A7='Données projet'!$A$88,'Données projet'!$B$88,BD6+BC7-BL6)))</f>
        <v>12</v>
      </c>
      <c r="BE7" s="13">
        <f>BD7*VLOOKUP('Données projet'!$B$11,Paramètres!$A$1:$I$89,3,0)*VLOOKUP('Données projet'!$B$11,Paramètres!$A$1:$I$89,5,0)</f>
        <v>12.168000000000001</v>
      </c>
      <c r="BF7" s="13">
        <f t="shared" si="37"/>
        <v>4.192294187029626</v>
      </c>
      <c r="BG7" s="20">
        <f t="shared" si="7"/>
        <v>28.494179042409929</v>
      </c>
      <c r="BH7" s="59">
        <f t="shared" si="8"/>
        <v>321.82751237574325</v>
      </c>
      <c r="BI7" s="59">
        <f ca="1">AVERAGE(OFFSET($BH$3,0,0,'Données projet'!$E$11+1,1))-AVERAGE(OFFSET($H$3,0,0,'Données projet'!$E$11+1,1))</f>
        <v>345.3294887586967</v>
      </c>
      <c r="BJ7" s="59">
        <f t="shared" si="38"/>
        <v>164.23448598618114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5.5909090909090908</v>
      </c>
      <c r="BY7" s="12">
        <f>IF('Données projet'!$A$114&gt;35,BY6+BX7-CG6,IF(A7&lt;'Données projet'!$A$114,$BV$205^A7,IF(A7='Données projet'!$A$114,'Données projet'!$B$114,BY6+BX7-CG6)))</f>
        <v>2.3987376266268075</v>
      </c>
      <c r="BZ7" s="13">
        <f>BY7*VLOOKUP('Données projet'!$B$12,Paramètres!$A$1:$I$89,3,0)*VLOOKUP('Données projet'!$B$12,Paramètres!$A$1:$I$89,5,0)</f>
        <v>1.4344451007228309</v>
      </c>
      <c r="CA7" s="13">
        <f t="shared" si="39"/>
        <v>0.63386677286612625</v>
      </c>
      <c r="CB7" s="20">
        <f t="shared" si="10"/>
        <v>3.6023098465007668</v>
      </c>
      <c r="CC7" s="59">
        <f t="shared" si="11"/>
        <v>296.93564317983407</v>
      </c>
      <c r="CD7" s="59">
        <f ca="1">AVERAGE(OFFSET($CC$3,0,0,'Données projet'!$E$12+1,1))-AVERAGE(OFFSET($H$3,0,0,'Données projet'!$E$12+1,1))</f>
        <v>289.07218105343333</v>
      </c>
      <c r="CE7" s="59">
        <f t="shared" si="40"/>
        <v>217.57508587672368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6.85</v>
      </c>
      <c r="CT7" s="12">
        <f>IF('Données projet'!$A$140&gt;35,CT6+CS7-DB6,IF(A7&lt;'Données projet'!$A$140,$CQ$205^A7,IF(A7='Données projet'!$A$140,'Données projet'!$B$140,CT6+CS7-DB6)))</f>
        <v>2.6751252058173218</v>
      </c>
      <c r="CU7" s="17">
        <f>CT7*VLOOKUP('Données projet'!$B$13,Paramètres!$A$1:$I$89,3,0)*VLOOKUP('Données projet'!$B$13,Paramètres!$A$1:$I$89,5,0)</f>
        <v>2.3369893798020125</v>
      </c>
      <c r="CV7" s="13">
        <f t="shared" si="41"/>
        <v>0.97565698754699115</v>
      </c>
      <c r="CW7" s="20">
        <f t="shared" si="13"/>
        <v>5.769525756466181</v>
      </c>
      <c r="CX7" s="59">
        <f t="shared" si="14"/>
        <v>299.10285908979949</v>
      </c>
      <c r="CY7" s="59">
        <f ca="1">AVERAGE(OFFSET($CX$3,0,0,'Données projet'!$E$13+1,1))-AVERAGE(OFFSET($H$3,0,0,'Données projet'!$E$13+1,1))</f>
        <v>237.8483058552178</v>
      </c>
      <c r="CZ7" s="59">
        <f t="shared" si="42"/>
        <v>313.36201272119723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</v>
      </c>
      <c r="DO7" s="12">
        <f>IF('Données projet'!$A$166&gt;35,DO6+DN7-DW6,IF(A7&lt;'Données projet'!$A$166,$DL$205^A7,IF(A7='Données projet'!$A$166,'Données projet'!$B$166,DO6+DN7-DW6)))</f>
        <v>12</v>
      </c>
      <c r="DP7" s="17">
        <f>DO7*VLOOKUP('Données projet'!$B$14,Paramètres!$A$1:$I$89,3,0)*VLOOKUP('Données projet'!$B$14,Paramètres!$A$1:$I$89,5,0)</f>
        <v>11.606399999999999</v>
      </c>
      <c r="DQ7" s="13">
        <f t="shared" si="43"/>
        <v>4.0208586474098684</v>
      </c>
      <c r="DR7" s="20">
        <f t="shared" si="16"/>
        <v>27.217475477572183</v>
      </c>
      <c r="DS7" s="59">
        <f t="shared" si="17"/>
        <v>320.55080881090549</v>
      </c>
      <c r="DT7" s="59">
        <f ca="1">AVERAGE(OFFSET($DS$3,0,0,'Données projet'!$E$14+1,1))-AVERAGE(OFFSET($H$3,0,0,'Données projet'!$E$14+1,1))</f>
        <v>325.01961068962373</v>
      </c>
      <c r="DU7" s="59">
        <f t="shared" si="44"/>
        <v>155.12737608540039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2.4666666666666668</v>
      </c>
      <c r="EJ7" s="12">
        <f>IF('Données projet'!$A$192&gt;35,EJ6+EI7-ER6,IF(A7&lt;'Données projet'!$A$192,$EG$205^A7,IF(A7='Données projet'!$A$192,'Données projet'!$B$192,EJ6+EI7-ER6)))</f>
        <v>2.6193113595857573</v>
      </c>
      <c r="EK7" s="17">
        <f>EJ7*VLOOKUP('Données projet'!$B$15,Paramètres!$A$1:$I$89,3,0)*VLOOKUP('Données projet'!$B$15,Paramètres!$A$1:$I$89,5,0)</f>
        <v>1.757034060010126</v>
      </c>
      <c r="EL7" s="13">
        <f t="shared" si="45"/>
        <v>0.75829786325991022</v>
      </c>
      <c r="EM7" s="20">
        <f t="shared" si="19"/>
        <v>4.3808697663619798</v>
      </c>
      <c r="EN7" s="59">
        <f t="shared" si="20"/>
        <v>297.71420309969528</v>
      </c>
      <c r="EO7" s="59">
        <f ca="1">AVERAGE(OFFSET($EN$3,0,0,'Données projet'!$E$15+1,1))-AVERAGE(OFFSET($H$3,0,0,'Données projet'!$E$15+1,1))</f>
        <v>178.09619481964575</v>
      </c>
      <c r="EP7" s="59">
        <f t="shared" si="46"/>
        <v>178.65167777495174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2.4666666666666668</v>
      </c>
      <c r="FE7" s="12">
        <f>IF('Données projet'!$A$218&gt;35,FE6+FD7-FM6,IF(A7&lt;'Données projet'!$A$218,$FB$205^A7,IF(A7='Données projet'!$A$218,'Données projet'!$B$218,FE6+FD7-FM6)))</f>
        <v>2.6193113595857573</v>
      </c>
      <c r="FF7" s="17">
        <f>FE7*VLOOKUP('Données projet'!$B$16,Paramètres!$A$1:$I$89,3,0)*VLOOKUP('Données projet'!$B$16,Paramètres!$A$1:$I$89,5,0)</f>
        <v>2.0839241176864287</v>
      </c>
      <c r="FG7" s="13">
        <f t="shared" si="47"/>
        <v>0.88169040068036508</v>
      </c>
      <c r="FH7" s="20">
        <f t="shared" si="22"/>
        <v>5.1651119528221656</v>
      </c>
      <c r="FI7" s="59">
        <f t="shared" si="23"/>
        <v>298.49844528615546</v>
      </c>
      <c r="FJ7" s="59">
        <f ca="1">AVERAGE(OFFSET($FI$3,0,0,'Données projet'!$E$16+1,1))-AVERAGE(OFFSET($H$3,0,0,'Données projet'!$E$16+1,1))</f>
        <v>219.43439115440339</v>
      </c>
      <c r="FK7" s="59">
        <f t="shared" si="48"/>
        <v>217.8880462742099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</v>
      </c>
      <c r="FZ7" s="12">
        <f>IF('Données projet'!$A$244&gt;35,FZ6+FY7-GH6,IF(A7&lt;'Données projet'!$A$244,$FW$205^A7,IF(A7='Données projet'!$A$244,'Données projet'!$B$244,FZ6+FY7-GH6)))</f>
        <v>3.3019272488946267</v>
      </c>
      <c r="GA7" s="17">
        <f>FZ7*VLOOKUP('Données projet'!$B$17,Paramètres!$A$1:$I$89,3,0)*VLOOKUP('Données projet'!$B$17,Paramètres!$A$1:$I$89,5,0)</f>
        <v>1.974552494838987</v>
      </c>
      <c r="GB7" s="13">
        <f t="shared" si="49"/>
        <v>0.84067511945625772</v>
      </c>
      <c r="GC7" s="20">
        <f t="shared" si="25"/>
        <v>4.9031880948975504</v>
      </c>
      <c r="GD7" s="59">
        <f t="shared" si="26"/>
        <v>298.23652142823084</v>
      </c>
      <c r="GE7" s="59">
        <f ca="1">AVERAGE(OFFSET($GD$3,0,0,'Données projet'!$E$17+1,1))-AVERAGE(OFFSET($H$3,0,0,'Données projet'!$E$17+1,1))</f>
        <v>191.77102466144095</v>
      </c>
      <c r="GF7" s="59">
        <f t="shared" si="50"/>
        <v>205.57161411620217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17.26923076923077</v>
      </c>
      <c r="N8" s="13">
        <f>IF('Données projet'!$A$36&gt;35,N7+M8-V7,IF(A8&lt;'Données projet'!$A$36,$K$205^A8,IF(A8='Données projet'!$A$36,'Données projet'!$B$36,N7+M8-V7)))</f>
        <v>3.2362895676970438</v>
      </c>
      <c r="O8" s="13">
        <f>N8*VLOOKUP('Données projet'!$B$9,Paramètres!$A$1:$I$89,3,0)*VLOOKUP('Données projet'!$B$9,Paramètres!$A$1:$I$89,5,0)</f>
        <v>1.8679863384747337</v>
      </c>
      <c r="P8" s="13">
        <f t="shared" si="33"/>
        <v>0.80045673367212788</v>
      </c>
      <c r="Q8" s="20">
        <f t="shared" si="2"/>
        <v>4.6475383506557835</v>
      </c>
      <c r="R8" s="59">
        <f t="shared" si="0"/>
        <v>297.98087168398911</v>
      </c>
      <c r="S8" s="59">
        <f ca="1">AVERAGE(OFFSET($R$3,0,0,'Données projet'!$E$9+1,1))-AVERAGE(OFFSET($H$3,0,0,'Données projet'!$E$9+1,1))</f>
        <v>84.31577618130467</v>
      </c>
      <c r="T8" s="59">
        <f t="shared" si="34"/>
        <v>527.2140904310653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</v>
      </c>
      <c r="AI8" s="13">
        <f>IF('Données projet'!$A$62&gt;35,AI7+AH8-AQ7,IF(A8&lt;'Données projet'!$A$62,$AF$205^A8,IF(A8='Données projet'!$A$62,'Données projet'!$B$62,AI7+AH8-AQ7)))</f>
        <v>15</v>
      </c>
      <c r="AJ8" s="13">
        <f>AI8*VLOOKUP('Données projet'!$B$10,Paramètres!$A$1:$I$89,3,0)*VLOOKUP('Données projet'!$B$10,Paramètres!$A$1:$I$89,5,0)</f>
        <v>13.571999999999999</v>
      </c>
      <c r="AK8" s="13">
        <f t="shared" si="35"/>
        <v>4.6169606338501863</v>
      </c>
      <c r="AL8" s="20">
        <f t="shared" si="4"/>
        <v>31.679106437289075</v>
      </c>
      <c r="AM8" s="59">
        <f t="shared" si="5"/>
        <v>325.01243977062239</v>
      </c>
      <c r="AN8" s="59">
        <f ca="1">AVERAGE(OFFSET($AM$3,0,0,'Données projet'!$E$10+1,1))-AVERAGE(OFFSET($H$3,0,0,'Données projet'!$E$10+1,1))</f>
        <v>297.90790572649428</v>
      </c>
      <c r="AO8" s="59">
        <f t="shared" si="36"/>
        <v>142.96889776844506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</v>
      </c>
      <c r="BD8" s="12">
        <f>IF('Données projet'!$A$88&gt;35,BD7+BC8-BL7,IF(A8&lt;'Données projet'!$A$88,$BA$205^A8,IF(A8='Données projet'!$A$88,'Données projet'!$B$88,BD7+BC8-BL7)))</f>
        <v>15</v>
      </c>
      <c r="BE8" s="13">
        <f>BD8*VLOOKUP('Données projet'!$B$11,Paramètres!$A$1:$I$89,3,0)*VLOOKUP('Données projet'!$B$11,Paramètres!$A$1:$I$89,5,0)</f>
        <v>15.21</v>
      </c>
      <c r="BF8" s="13">
        <f t="shared" si="37"/>
        <v>5.1060073826785333</v>
      </c>
      <c r="BG8" s="20">
        <f t="shared" si="7"/>
        <v>35.383712858165119</v>
      </c>
      <c r="BH8" s="59">
        <f t="shared" si="8"/>
        <v>328.71704619149841</v>
      </c>
      <c r="BI8" s="59">
        <f ca="1">AVERAGE(OFFSET($BH$3,0,0,'Données projet'!$E$11+1,1))-AVERAGE(OFFSET($H$3,0,0,'Données projet'!$E$11+1,1))</f>
        <v>345.3294887586967</v>
      </c>
      <c r="BJ8" s="59">
        <f t="shared" si="38"/>
        <v>164.23448598618114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5.5909090909090908</v>
      </c>
      <c r="BY8" s="12">
        <f>IF('Données projet'!$A$114&gt;35,BY7+BX8-CG7,IF(A8&lt;'Données projet'!$A$114,$BV$205^A8,IF(A8='Données projet'!$A$114,'Données projet'!$B$114,BY7+BX8-CG7)))</f>
        <v>2.9852343786852105</v>
      </c>
      <c r="BZ8" s="13">
        <f>BY8*VLOOKUP('Données projet'!$B$12,Paramètres!$A$1:$I$89,3,0)*VLOOKUP('Données projet'!$B$12,Paramètres!$A$1:$I$89,5,0)</f>
        <v>1.785170158453756</v>
      </c>
      <c r="CA8" s="13">
        <f t="shared" si="39"/>
        <v>0.7690174164926461</v>
      </c>
      <c r="CB8" s="20">
        <f t="shared" si="10"/>
        <v>4.4485433596983173</v>
      </c>
      <c r="CC8" s="59">
        <f t="shared" si="11"/>
        <v>297.78187669303162</v>
      </c>
      <c r="CD8" s="59">
        <f ca="1">AVERAGE(OFFSET($CC$3,0,0,'Données projet'!$E$12+1,1))-AVERAGE(OFFSET($H$3,0,0,'Données projet'!$E$12+1,1))</f>
        <v>289.07218105343333</v>
      </c>
      <c r="CE8" s="59">
        <f t="shared" si="40"/>
        <v>217.57508587672368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6.85</v>
      </c>
      <c r="CT8" s="12">
        <f>IF('Données projet'!$A$140&gt;35,CT7+CS8-DB7,IF(A8&lt;'Données projet'!$A$140,$CQ$205^A8,IF(A8='Données projet'!$A$140,'Données projet'!$B$140,CT7+CS8-DB7)))</f>
        <v>3.4212132220485207</v>
      </c>
      <c r="CU8" s="17">
        <f>CT8*VLOOKUP('Données projet'!$B$13,Paramètres!$A$1:$I$89,3,0)*VLOOKUP('Données projet'!$B$13,Paramètres!$A$1:$I$89,5,0)</f>
        <v>2.988771870781588</v>
      </c>
      <c r="CV8" s="13">
        <f t="shared" si="41"/>
        <v>1.2125439077807807</v>
      </c>
      <c r="CW8" s="20">
        <f t="shared" si="13"/>
        <v>7.3172916476627918</v>
      </c>
      <c r="CX8" s="59">
        <f t="shared" si="14"/>
        <v>300.6506249809961</v>
      </c>
      <c r="CY8" s="59">
        <f ca="1">AVERAGE(OFFSET($CX$3,0,0,'Données projet'!$E$13+1,1))-AVERAGE(OFFSET($H$3,0,0,'Données projet'!$E$13+1,1))</f>
        <v>237.8483058552178</v>
      </c>
      <c r="CZ8" s="59">
        <f t="shared" si="42"/>
        <v>313.36201272119723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</v>
      </c>
      <c r="DO8" s="12">
        <f>IF('Données projet'!$A$166&gt;35,DO7+DN8-DW7,IF(A8&lt;'Données projet'!$A$166,$DL$205^A8,IF(A8='Données projet'!$A$166,'Données projet'!$B$166,DO7+DN8-DW7)))</f>
        <v>15</v>
      </c>
      <c r="DP8" s="17">
        <f>DO8*VLOOKUP('Données projet'!$B$14,Paramètres!$A$1:$I$89,3,0)*VLOOKUP('Données projet'!$B$14,Paramètres!$A$1:$I$89,5,0)</f>
        <v>14.508000000000001</v>
      </c>
      <c r="DQ8" s="13">
        <f t="shared" si="43"/>
        <v>4.8972073577041</v>
      </c>
      <c r="DR8" s="20">
        <f t="shared" si="16"/>
        <v>33.797402814667969</v>
      </c>
      <c r="DS8" s="59">
        <f t="shared" si="17"/>
        <v>327.13073614800129</v>
      </c>
      <c r="DT8" s="59">
        <f ca="1">AVERAGE(OFFSET($DS$3,0,0,'Données projet'!$E$14+1,1))-AVERAGE(OFFSET($H$3,0,0,'Données projet'!$E$14+1,1))</f>
        <v>325.01961068962373</v>
      </c>
      <c r="DU8" s="59">
        <f t="shared" si="44"/>
        <v>155.12737608540039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2.4666666666666668</v>
      </c>
      <c r="EJ8" s="12">
        <f>IF('Données projet'!$A$192&gt;35,EJ7+EI8-ER7,IF(A8&lt;'Données projet'!$A$192,$EG$205^A8,IF(A8='Données projet'!$A$192,'Données projet'!$B$192,EJ7+EI8-ER7)))</f>
        <v>3.332221851645953</v>
      </c>
      <c r="EK8" s="17">
        <f>EJ8*VLOOKUP('Données projet'!$B$15,Paramètres!$A$1:$I$89,3,0)*VLOOKUP('Données projet'!$B$15,Paramètres!$A$1:$I$89,5,0)</f>
        <v>2.2352544180841054</v>
      </c>
      <c r="EL8" s="13">
        <f t="shared" si="45"/>
        <v>0.9380313829418736</v>
      </c>
      <c r="EM8" s="20">
        <f t="shared" si="19"/>
        <v>5.5268061034535796</v>
      </c>
      <c r="EN8" s="59">
        <f t="shared" si="20"/>
        <v>298.86013943678688</v>
      </c>
      <c r="EO8" s="59">
        <f ca="1">AVERAGE(OFFSET($EN$3,0,0,'Données projet'!$E$15+1,1))-AVERAGE(OFFSET($H$3,0,0,'Données projet'!$E$15+1,1))</f>
        <v>178.09619481964575</v>
      </c>
      <c r="EP8" s="59">
        <f t="shared" si="46"/>
        <v>178.65167777495174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2.4666666666666668</v>
      </c>
      <c r="FE8" s="12">
        <f>IF('Données projet'!$A$218&gt;35,FE7+FD8-FM7,IF(A8&lt;'Données projet'!$A$218,$FB$205^A8,IF(A8='Données projet'!$A$218,'Données projet'!$B$218,FE7+FD8-FM7)))</f>
        <v>3.332221851645953</v>
      </c>
      <c r="FF8" s="17">
        <f>FE8*VLOOKUP('Données projet'!$B$16,Paramètres!$A$1:$I$89,3,0)*VLOOKUP('Données projet'!$B$16,Paramètres!$A$1:$I$89,5,0)</f>
        <v>2.6511157051695204</v>
      </c>
      <c r="FG8" s="13">
        <f t="shared" si="47"/>
        <v>1.0906707059957799</v>
      </c>
      <c r="FH8" s="20">
        <f t="shared" si="22"/>
        <v>6.5169446661128978</v>
      </c>
      <c r="FI8" s="59">
        <f t="shared" si="23"/>
        <v>299.85027799944623</v>
      </c>
      <c r="FJ8" s="59">
        <f ca="1">AVERAGE(OFFSET($FI$3,0,0,'Données projet'!$E$16+1,1))-AVERAGE(OFFSET($H$3,0,0,'Données projet'!$E$16+1,1))</f>
        <v>219.43439115440339</v>
      </c>
      <c r="FK8" s="59">
        <f t="shared" si="48"/>
        <v>217.8880462742099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</v>
      </c>
      <c r="FZ8" s="12">
        <f>IF('Données projet'!$A$244&gt;35,FZ7+FY8-GH7,IF(A8&lt;'Données projet'!$A$244,$FW$205^A8,IF(A8='Données projet'!$A$244,'Données projet'!$B$244,FZ7+FY8-GH7)))</f>
        <v>4.4510182535424141</v>
      </c>
      <c r="GA8" s="17">
        <f>FZ8*VLOOKUP('Données projet'!$B$17,Paramètres!$A$1:$I$89,3,0)*VLOOKUP('Données projet'!$B$17,Paramètres!$A$1:$I$89,5,0)</f>
        <v>2.6617089156183638</v>
      </c>
      <c r="GB8" s="13">
        <f t="shared" si="49"/>
        <v>1.0945205879680817</v>
      </c>
      <c r="GC8" s="20">
        <f t="shared" si="25"/>
        <v>6.5420997187463925</v>
      </c>
      <c r="GD8" s="59">
        <f t="shared" si="26"/>
        <v>299.8754330520797</v>
      </c>
      <c r="GE8" s="59">
        <f ca="1">AVERAGE(OFFSET($GD$3,0,0,'Données projet'!$E$17+1,1))-AVERAGE(OFFSET($H$3,0,0,'Données projet'!$E$17+1,1))</f>
        <v>191.77102466144095</v>
      </c>
      <c r="GF8" s="59">
        <f t="shared" si="50"/>
        <v>205.57161411620217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17.26923076923077</v>
      </c>
      <c r="N9" s="13">
        <f>IF('Données projet'!$A$36&gt;35,N8+M9-V8,IF(A9&lt;'Données projet'!$A$36,$K$205^A9,IF(A9='Données projet'!$A$36,'Données projet'!$B$36,N8+M9-V8)))</f>
        <v>4.0931423430338114</v>
      </c>
      <c r="O9" s="13">
        <f>N9*VLOOKUP('Données projet'!$B$9,Paramètres!$A$1:$I$89,3,0)*VLOOKUP('Données projet'!$B$9,Paramètres!$A$1:$I$89,5,0)</f>
        <v>2.362561760399116</v>
      </c>
      <c r="P9" s="13">
        <f t="shared" si="33"/>
        <v>0.9850843833041879</v>
      </c>
      <c r="Q9" s="20">
        <f t="shared" si="2"/>
        <v>5.8304837002832537</v>
      </c>
      <c r="R9" s="59">
        <f t="shared" si="0"/>
        <v>299.16381703361657</v>
      </c>
      <c r="S9" s="59">
        <f ca="1">AVERAGE(OFFSET($R$3,0,0,'Données projet'!$E$9+1,1))-AVERAGE(OFFSET($H$3,0,0,'Données projet'!$E$9+1,1))</f>
        <v>84.31577618130467</v>
      </c>
      <c r="T9" s="59">
        <f t="shared" si="34"/>
        <v>527.2140904310653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</v>
      </c>
      <c r="AI9" s="13">
        <f>IF('Données projet'!$A$62&gt;35,AI8+AH9-AQ8,IF(A9&lt;'Données projet'!$A$62,$AF$205^A9,IF(A9='Données projet'!$A$62,'Données projet'!$B$62,AI8+AH9-AQ8)))</f>
        <v>18</v>
      </c>
      <c r="AJ9" s="13">
        <f>AI9*VLOOKUP('Données projet'!$B$10,Paramètres!$A$1:$I$89,3,0)*VLOOKUP('Données projet'!$B$10,Paramètres!$A$1:$I$89,5,0)</f>
        <v>16.2864</v>
      </c>
      <c r="AK9" s="13">
        <f t="shared" si="35"/>
        <v>5.4240129855342607</v>
      </c>
      <c r="AL9" s="20">
        <f t="shared" si="4"/>
        <v>37.812302616472174</v>
      </c>
      <c r="AM9" s="59">
        <f t="shared" si="5"/>
        <v>331.14563594980547</v>
      </c>
      <c r="AN9" s="59">
        <f ca="1">AVERAGE(OFFSET($AM$3,0,0,'Données projet'!$E$10+1,1))-AVERAGE(OFFSET($H$3,0,0,'Données projet'!$E$10+1,1))</f>
        <v>297.90790572649428</v>
      </c>
      <c r="AO9" s="59">
        <f t="shared" si="36"/>
        <v>142.96889776844506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</v>
      </c>
      <c r="BD9" s="12">
        <f>IF('Données projet'!$A$88&gt;35,BD8+BC9-BL8,IF(A9&lt;'Données projet'!$A$88,$BA$205^A9,IF(A9='Données projet'!$A$88,'Données projet'!$B$88,BD8+BC9-BL8)))</f>
        <v>18</v>
      </c>
      <c r="BE9" s="13">
        <f>BD9*VLOOKUP('Données projet'!$B$11,Paramètres!$A$1:$I$89,3,0)*VLOOKUP('Données projet'!$B$11,Paramètres!$A$1:$I$89,5,0)</f>
        <v>18.252000000000002</v>
      </c>
      <c r="BF9" s="13">
        <f t="shared" si="37"/>
        <v>5.9985459145634135</v>
      </c>
      <c r="BG9" s="20">
        <f t="shared" si="7"/>
        <v>42.236367467864618</v>
      </c>
      <c r="BH9" s="59">
        <f t="shared" si="8"/>
        <v>335.56970080119794</v>
      </c>
      <c r="BI9" s="59">
        <f ca="1">AVERAGE(OFFSET($BH$3,0,0,'Données projet'!$E$11+1,1))-AVERAGE(OFFSET($H$3,0,0,'Données projet'!$E$11+1,1))</f>
        <v>345.3294887586967</v>
      </c>
      <c r="BJ9" s="59">
        <f t="shared" si="38"/>
        <v>164.23448598618114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5.5909090909090908</v>
      </c>
      <c r="BY9" s="12">
        <f>IF('Données projet'!$A$114&gt;35,BY8+BX9-CG8,IF(A9&lt;'Données projet'!$A$114,$BV$205^A9,IF(A9='Données projet'!$A$114,'Données projet'!$B$114,BY8+BX9-CG8)))</f>
        <v>3.7151309075081826</v>
      </c>
      <c r="BZ9" s="13">
        <f>BY9*VLOOKUP('Données projet'!$B$12,Paramètres!$A$1:$I$89,3,0)*VLOOKUP('Données projet'!$B$12,Paramètres!$A$1:$I$89,5,0)</f>
        <v>2.2216482826898933</v>
      </c>
      <c r="CA9" s="13">
        <f t="shared" si="39"/>
        <v>0.93298436230530435</v>
      </c>
      <c r="CB9" s="20">
        <f t="shared" si="10"/>
        <v>5.4943185233666361</v>
      </c>
      <c r="CC9" s="59">
        <f t="shared" si="11"/>
        <v>298.82765185669996</v>
      </c>
      <c r="CD9" s="59">
        <f ca="1">AVERAGE(OFFSET($CC$3,0,0,'Données projet'!$E$12+1,1))-AVERAGE(OFFSET($H$3,0,0,'Données projet'!$E$12+1,1))</f>
        <v>289.07218105343333</v>
      </c>
      <c r="CE9" s="59">
        <f t="shared" si="40"/>
        <v>217.57508587672368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6.85</v>
      </c>
      <c r="CT9" s="12">
        <f>IF('Données projet'!$A$140&gt;35,CT8+CS9-DB8,IF(A9&lt;'Données projet'!$A$140,$CQ$205^A9,IF(A9='Données projet'!$A$140,'Données projet'!$B$140,CT8+CS9-DB8)))</f>
        <v>4.3753839578299374</v>
      </c>
      <c r="CU9" s="17">
        <f>CT9*VLOOKUP('Données projet'!$B$13,Paramètres!$A$1:$I$89,3,0)*VLOOKUP('Données projet'!$B$13,Paramètres!$A$1:$I$89,5,0)</f>
        <v>3.8223354255602335</v>
      </c>
      <c r="CV9" s="13">
        <f t="shared" si="41"/>
        <v>1.5069463418622553</v>
      </c>
      <c r="CW9" s="20">
        <f t="shared" si="13"/>
        <v>9.2818324115941682</v>
      </c>
      <c r="CX9" s="59">
        <f t="shared" si="14"/>
        <v>302.61516574492748</v>
      </c>
      <c r="CY9" s="59">
        <f ca="1">AVERAGE(OFFSET($CX$3,0,0,'Données projet'!$E$13+1,1))-AVERAGE(OFFSET($H$3,0,0,'Données projet'!$E$13+1,1))</f>
        <v>237.8483058552178</v>
      </c>
      <c r="CZ9" s="59">
        <f t="shared" si="42"/>
        <v>313.36201272119723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</v>
      </c>
      <c r="DO9" s="12">
        <f>IF('Données projet'!$A$166&gt;35,DO8+DN9-DW8,IF(A9&lt;'Données projet'!$A$166,$DL$205^A9,IF(A9='Données projet'!$A$166,'Données projet'!$B$166,DO8+DN9-DW8)))</f>
        <v>18</v>
      </c>
      <c r="DP9" s="17">
        <f>DO9*VLOOKUP('Données projet'!$B$14,Paramètres!$A$1:$I$89,3,0)*VLOOKUP('Données projet'!$B$14,Paramètres!$A$1:$I$89,5,0)</f>
        <v>17.409600000000001</v>
      </c>
      <c r="DQ9" s="13">
        <f t="shared" si="43"/>
        <v>5.7532473000294733</v>
      </c>
      <c r="DR9" s="20">
        <f t="shared" si="16"/>
        <v>40.341959047551335</v>
      </c>
      <c r="DS9" s="59">
        <f t="shared" si="17"/>
        <v>333.67529238088463</v>
      </c>
      <c r="DT9" s="59">
        <f ca="1">AVERAGE(OFFSET($DS$3,0,0,'Données projet'!$E$14+1,1))-AVERAGE(OFFSET($H$3,0,0,'Données projet'!$E$14+1,1))</f>
        <v>325.01961068962373</v>
      </c>
      <c r="DU9" s="59">
        <f t="shared" si="44"/>
        <v>155.12737608540039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2.4666666666666668</v>
      </c>
      <c r="EJ9" s="12">
        <f>IF('Données projet'!$A$192&gt;35,EJ8+EI9-ER8,IF(A9&lt;'Données projet'!$A$192,$EG$205^A9,IF(A9='Données projet'!$A$192,'Données projet'!$B$192,EJ8+EI9-ER8)))</f>
        <v>4.2391685997738069</v>
      </c>
      <c r="EK9" s="17">
        <f>EJ9*VLOOKUP('Données projet'!$B$15,Paramètres!$A$1:$I$89,3,0)*VLOOKUP('Données projet'!$B$15,Paramètres!$A$1:$I$89,5,0)</f>
        <v>2.8436342967282697</v>
      </c>
      <c r="EL9" s="13">
        <f t="shared" si="45"/>
        <v>1.1603657586494516</v>
      </c>
      <c r="EM9" s="20">
        <f t="shared" si="19"/>
        <v>6.9736334297828648</v>
      </c>
      <c r="EN9" s="59">
        <f t="shared" si="20"/>
        <v>300.30696676311618</v>
      </c>
      <c r="EO9" s="59">
        <f ca="1">AVERAGE(OFFSET($EN$3,0,0,'Données projet'!$E$15+1,1))-AVERAGE(OFFSET($H$3,0,0,'Données projet'!$E$15+1,1))</f>
        <v>178.09619481964575</v>
      </c>
      <c r="EP9" s="59">
        <f t="shared" si="46"/>
        <v>178.65167777495174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2.4666666666666668</v>
      </c>
      <c r="FE9" s="12">
        <f>IF('Données projet'!$A$218&gt;35,FE8+FD9-FM8,IF(A9&lt;'Données projet'!$A$218,$FB$205^A9,IF(A9='Données projet'!$A$218,'Données projet'!$B$218,FE8+FD9-FM8)))</f>
        <v>4.2391685997738069</v>
      </c>
      <c r="FF9" s="17">
        <f>FE9*VLOOKUP('Données projet'!$B$16,Paramètres!$A$1:$I$89,3,0)*VLOOKUP('Données projet'!$B$16,Paramètres!$A$1:$I$89,5,0)</f>
        <v>3.3726825379800407</v>
      </c>
      <c r="FG9" s="13">
        <f t="shared" si="47"/>
        <v>1.3491840083541735</v>
      </c>
      <c r="FH9" s="20">
        <f t="shared" si="22"/>
        <v>8.2239175681987557</v>
      </c>
      <c r="FI9" s="59">
        <f t="shared" si="23"/>
        <v>301.55725090153209</v>
      </c>
      <c r="FJ9" s="59">
        <f ca="1">AVERAGE(OFFSET($FI$3,0,0,'Données projet'!$E$16+1,1))-AVERAGE(OFFSET($H$3,0,0,'Données projet'!$E$16+1,1))</f>
        <v>219.43439115440339</v>
      </c>
      <c r="FK9" s="59">
        <f t="shared" si="48"/>
        <v>217.8880462742099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</v>
      </c>
      <c r="FZ9" s="12">
        <f>IF('Données projet'!$A$244&gt;35,FZ8+FY9-GH8,IF(A9&lt;'Données projet'!$A$244,$FW$205^A9,IF(A9='Données projet'!$A$244,'Données projet'!$B$244,FZ8+FY9-GH8)))</f>
        <v>6</v>
      </c>
      <c r="GA9" s="17">
        <f>FZ9*VLOOKUP('Données projet'!$B$17,Paramètres!$A$1:$I$89,3,0)*VLOOKUP('Données projet'!$B$17,Paramètres!$A$1:$I$89,5,0)</f>
        <v>3.5880000000000005</v>
      </c>
      <c r="GB9" s="13">
        <f t="shared" si="49"/>
        <v>1.4250157876217819</v>
      </c>
      <c r="GC9" s="20">
        <f t="shared" si="25"/>
        <v>8.7310024967746021</v>
      </c>
      <c r="GD9" s="59">
        <f t="shared" si="26"/>
        <v>302.06433583010789</v>
      </c>
      <c r="GE9" s="59">
        <f ca="1">AVERAGE(OFFSET($GD$3,0,0,'Données projet'!$E$17+1,1))-AVERAGE(OFFSET($H$3,0,0,'Données projet'!$E$17+1,1))</f>
        <v>191.77102466144095</v>
      </c>
      <c r="GF9" s="59">
        <f t="shared" si="50"/>
        <v>205.57161411620217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17.26923076923077</v>
      </c>
      <c r="N10" s="13">
        <f>IF('Données projet'!$A$36&gt;35,N9+M10-V9,IF(A10&lt;'Données projet'!$A$36,$K$205^A10,IF(A10='Données projet'!$A$36,'Données projet'!$B$36,N9+M10-V9)))</f>
        <v>5.1768588347483373</v>
      </c>
      <c r="O10" s="13">
        <f>N10*VLOOKUP('Données projet'!$B$9,Paramètres!$A$1:$I$89,3,0)*VLOOKUP('Données projet'!$B$9,Paramètres!$A$1:$I$89,5,0)</f>
        <v>2.9880829194167404</v>
      </c>
      <c r="P10" s="13">
        <f t="shared" si="33"/>
        <v>1.2122969317505554</v>
      </c>
      <c r="Q10" s="20">
        <f t="shared" si="2"/>
        <v>7.3156615741163726</v>
      </c>
      <c r="R10" s="59">
        <f t="shared" si="0"/>
        <v>300.64899490744966</v>
      </c>
      <c r="S10" s="59">
        <f ca="1">AVERAGE(OFFSET($R$3,0,0,'Données projet'!$E$9+1,1))-AVERAGE(OFFSET($H$3,0,0,'Données projet'!$E$9+1,1))</f>
        <v>84.31577618130467</v>
      </c>
      <c r="T10" s="59">
        <f t="shared" si="34"/>
        <v>527.2140904310653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</v>
      </c>
      <c r="AI10" s="13">
        <f>IF('Données projet'!$A$62&gt;35,AI9+AH10-AQ9,IF(A10&lt;'Données projet'!$A$62,$AF$205^A10,IF(A10='Données projet'!$A$62,'Données projet'!$B$62,AI9+AH10-AQ9)))</f>
        <v>21</v>
      </c>
      <c r="AJ10" s="13">
        <f>AI10*VLOOKUP('Données projet'!$B$10,Paramètres!$A$1:$I$89,3,0)*VLOOKUP('Données projet'!$B$10,Paramètres!$A$1:$I$89,5,0)</f>
        <v>19.000800000000002</v>
      </c>
      <c r="AK10" s="13">
        <f t="shared" si="35"/>
        <v>6.2154833000252001</v>
      </c>
      <c r="AL10" s="20">
        <f t="shared" si="4"/>
        <v>43.918360080877228</v>
      </c>
      <c r="AM10" s="59">
        <f t="shared" si="5"/>
        <v>337.25169341421054</v>
      </c>
      <c r="AN10" s="59">
        <f ca="1">AVERAGE(OFFSET($AM$3,0,0,'Données projet'!$E$10+1,1))-AVERAGE(OFFSET($H$3,0,0,'Données projet'!$E$10+1,1))</f>
        <v>297.90790572649428</v>
      </c>
      <c r="AO10" s="59">
        <f t="shared" si="36"/>
        <v>142.96889776844506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</v>
      </c>
      <c r="BD10" s="12">
        <f>IF('Données projet'!$A$88&gt;35,BD9+BC10-BL9,IF(A10&lt;'Données projet'!$A$88,$BA$205^A10,IF(A10='Données projet'!$A$88,'Données projet'!$B$88,BD9+BC10-BL9)))</f>
        <v>21</v>
      </c>
      <c r="BE10" s="13">
        <f>BD10*VLOOKUP('Données projet'!$B$11,Paramètres!$A$1:$I$89,3,0)*VLOOKUP('Données projet'!$B$11,Paramètres!$A$1:$I$89,5,0)</f>
        <v>21.294</v>
      </c>
      <c r="BF10" s="13">
        <f t="shared" si="37"/>
        <v>6.8738518981865706</v>
      </c>
      <c r="BG10" s="20">
        <f t="shared" si="7"/>
        <v>49.059008722674939</v>
      </c>
      <c r="BH10" s="59">
        <f t="shared" si="8"/>
        <v>342.39234205600826</v>
      </c>
      <c r="BI10" s="59">
        <f ca="1">AVERAGE(OFFSET($BH$3,0,0,'Données projet'!$E$11+1,1))-AVERAGE(OFFSET($H$3,0,0,'Données projet'!$E$11+1,1))</f>
        <v>345.3294887586967</v>
      </c>
      <c r="BJ10" s="59">
        <f t="shared" si="38"/>
        <v>164.23448598618114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5.5909090909090908</v>
      </c>
      <c r="BY10" s="12">
        <f>IF('Données projet'!$A$114&gt;35,BY9+BX10-CG9,IF(A10&lt;'Données projet'!$A$114,$BV$205^A10,IF(A10='Données projet'!$A$114,'Données projet'!$B$114,BY9+BX10-CG9)))</f>
        <v>4.6234887814743333</v>
      </c>
      <c r="BZ10" s="13">
        <f>BY10*VLOOKUP('Données projet'!$B$12,Paramètres!$A$1:$I$89,3,0)*VLOOKUP('Données projet'!$B$12,Paramètres!$A$1:$I$89,5,0)</f>
        <v>2.7648462913216516</v>
      </c>
      <c r="CA10" s="13">
        <f t="shared" si="39"/>
        <v>1.1319117118000401</v>
      </c>
      <c r="CB10" s="20">
        <f t="shared" si="10"/>
        <v>6.7868535221036126</v>
      </c>
      <c r="CC10" s="59">
        <f t="shared" si="11"/>
        <v>300.12018685543694</v>
      </c>
      <c r="CD10" s="59">
        <f ca="1">AVERAGE(OFFSET($CC$3,0,0,'Données projet'!$E$12+1,1))-AVERAGE(OFFSET($H$3,0,0,'Données projet'!$E$12+1,1))</f>
        <v>289.07218105343333</v>
      </c>
      <c r="CE10" s="59">
        <f t="shared" si="40"/>
        <v>217.57508587672368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6.85</v>
      </c>
      <c r="CT10" s="12">
        <f>IF('Données projet'!$A$140&gt;35,CT9+CS10-DB9,IF(A10&lt;'Données projet'!$A$140,$CQ$205^A10,IF(A10='Données projet'!$A$140,'Données projet'!$B$140,CT9+CS10-DB9)))</f>
        <v>5.5956713411076793</v>
      </c>
      <c r="CU10" s="17">
        <f>CT10*VLOOKUP('Données projet'!$B$13,Paramètres!$A$1:$I$89,3,0)*VLOOKUP('Données projet'!$B$13,Paramètres!$A$1:$I$89,5,0)</f>
        <v>4.8883784835916693</v>
      </c>
      <c r="CV10" s="13">
        <f t="shared" si="41"/>
        <v>1.8728289034978141</v>
      </c>
      <c r="CW10" s="20">
        <f t="shared" si="13"/>
        <v>11.775769532514182</v>
      </c>
      <c r="CX10" s="59">
        <f t="shared" si="14"/>
        <v>305.10910286584749</v>
      </c>
      <c r="CY10" s="59">
        <f ca="1">AVERAGE(OFFSET($CX$3,0,0,'Données projet'!$E$13+1,1))-AVERAGE(OFFSET($H$3,0,0,'Données projet'!$E$13+1,1))</f>
        <v>237.8483058552178</v>
      </c>
      <c r="CZ10" s="59">
        <f t="shared" si="42"/>
        <v>313.36201272119723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</v>
      </c>
      <c r="DO10" s="12">
        <f>IF('Données projet'!$A$166&gt;35,DO9+DN10-DW9,IF(A10&lt;'Données projet'!$A$166,$DL$205^A10,IF(A10='Données projet'!$A$166,'Données projet'!$B$166,DO9+DN10-DW9)))</f>
        <v>21</v>
      </c>
      <c r="DP10" s="17">
        <f>DO10*VLOOKUP('Données projet'!$B$14,Paramètres!$A$1:$I$89,3,0)*VLOOKUP('Données projet'!$B$14,Paramètres!$A$1:$I$89,5,0)</f>
        <v>20.311199999999999</v>
      </c>
      <c r="DQ10" s="13">
        <f t="shared" si="43"/>
        <v>6.5927593849088089</v>
      </c>
      <c r="DR10" s="20">
        <f t="shared" si="16"/>
        <v>46.85772926204951</v>
      </c>
      <c r="DS10" s="59">
        <f t="shared" si="17"/>
        <v>340.19106259538285</v>
      </c>
      <c r="DT10" s="59">
        <f ca="1">AVERAGE(OFFSET($DS$3,0,0,'Données projet'!$E$14+1,1))-AVERAGE(OFFSET($H$3,0,0,'Données projet'!$E$14+1,1))</f>
        <v>325.01961068962373</v>
      </c>
      <c r="DU10" s="59">
        <f t="shared" si="44"/>
        <v>155.12737608540039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2.4666666666666668</v>
      </c>
      <c r="EJ10" s="12">
        <f>IF('Données projet'!$A$192&gt;35,EJ9+EI10-ER9,IF(A10&lt;'Données projet'!$A$192,$EG$205^A10,IF(A10='Données projet'!$A$192,'Données projet'!$B$192,EJ9+EI10-ER9)))</f>
        <v>5.3929633792034757</v>
      </c>
      <c r="EK10" s="17">
        <f>EJ10*VLOOKUP('Données projet'!$B$15,Paramètres!$A$1:$I$89,3,0)*VLOOKUP('Données projet'!$B$15,Paramètres!$A$1:$I$89,5,0)</f>
        <v>3.6175998347696914</v>
      </c>
      <c r="EL10" s="13">
        <f t="shared" si="45"/>
        <v>1.4353983441613192</v>
      </c>
      <c r="EM10" s="20">
        <f t="shared" si="19"/>
        <v>8.8006384949715102</v>
      </c>
      <c r="EN10" s="59">
        <f t="shared" si="20"/>
        <v>302.13397182830482</v>
      </c>
      <c r="EO10" s="59">
        <f ca="1">AVERAGE(OFFSET($EN$3,0,0,'Données projet'!$E$15+1,1))-AVERAGE(OFFSET($H$3,0,0,'Données projet'!$E$15+1,1))</f>
        <v>178.09619481964575</v>
      </c>
      <c r="EP10" s="59">
        <f t="shared" si="46"/>
        <v>178.65167777495174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2.4666666666666668</v>
      </c>
      <c r="FE10" s="12">
        <f>IF('Données projet'!$A$218&gt;35,FE9+FD10-FM9,IF(A10&lt;'Données projet'!$A$218,$FB$205^A10,IF(A10='Données projet'!$A$218,'Données projet'!$B$218,FE9+FD10-FM9)))</f>
        <v>5.3929633792034757</v>
      </c>
      <c r="FF10" s="17">
        <f>FE10*VLOOKUP('Données projet'!$B$16,Paramètres!$A$1:$I$89,3,0)*VLOOKUP('Données projet'!$B$16,Paramètres!$A$1:$I$89,5,0)</f>
        <v>4.2906416644942853</v>
      </c>
      <c r="FG10" s="13">
        <f t="shared" si="47"/>
        <v>1.6689707336887791</v>
      </c>
      <c r="FH10" s="20">
        <f t="shared" si="22"/>
        <v>10.379658260168837</v>
      </c>
      <c r="FI10" s="59">
        <f t="shared" si="23"/>
        <v>303.71299159350212</v>
      </c>
      <c r="FJ10" s="59">
        <f ca="1">AVERAGE(OFFSET($FI$3,0,0,'Données projet'!$E$16+1,1))-AVERAGE(OFFSET($H$3,0,0,'Données projet'!$E$16+1,1))</f>
        <v>219.43439115440339</v>
      </c>
      <c r="FK10" s="59">
        <f t="shared" si="48"/>
        <v>217.8880462742099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</v>
      </c>
      <c r="FZ10" s="12">
        <f>IF('Données projet'!$A$244&gt;35,FZ9+FY10-GH9,IF(A10&lt;'Données projet'!$A$244,$FW$205^A10,IF(A10='Données projet'!$A$244,'Données projet'!$B$244,FZ9+FY10-GH9)))</f>
        <v>8.0880369275836674</v>
      </c>
      <c r="GA10" s="17">
        <f>FZ10*VLOOKUP('Données projet'!$B$17,Paramètres!$A$1:$I$89,3,0)*VLOOKUP('Données projet'!$B$17,Paramètres!$A$1:$I$89,5,0)</f>
        <v>4.836646082695033</v>
      </c>
      <c r="GB10" s="13">
        <f t="shared" si="49"/>
        <v>1.8553054344470195</v>
      </c>
      <c r="GC10" s="20">
        <f t="shared" si="25"/>
        <v>11.65514889235574</v>
      </c>
      <c r="GD10" s="59">
        <f t="shared" si="26"/>
        <v>304.98848222568904</v>
      </c>
      <c r="GE10" s="59">
        <f ca="1">AVERAGE(OFFSET($GD$3,0,0,'Données projet'!$E$17+1,1))-AVERAGE(OFFSET($H$3,0,0,'Données projet'!$E$17+1,1))</f>
        <v>191.77102466144095</v>
      </c>
      <c r="GF10" s="59">
        <f t="shared" si="50"/>
        <v>205.57161411620217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17.26923076923077</v>
      </c>
      <c r="N11" s="13">
        <f>IF('Données projet'!$A$36&gt;35,N10+M11-V10,IF(A11&lt;'Données projet'!$A$36,$K$205^A11,IF(A11='Données projet'!$A$36,'Données projet'!$B$36,N10+M11-V10)))</f>
        <v>6.5475043741205488</v>
      </c>
      <c r="O11" s="13">
        <f>N11*VLOOKUP('Données projet'!$B$9,Paramètres!$A$1:$I$89,3,0)*VLOOKUP('Données projet'!$B$9,Paramètres!$A$1:$I$89,5,0)</f>
        <v>3.7792195247423805</v>
      </c>
      <c r="P11" s="13">
        <f t="shared" si="33"/>
        <v>1.4919167084978422</v>
      </c>
      <c r="Q11" s="20">
        <f t="shared" si="2"/>
        <v>9.180562272893388</v>
      </c>
      <c r="R11" s="59">
        <f t="shared" si="0"/>
        <v>302.5138956062267</v>
      </c>
      <c r="S11" s="59">
        <f ca="1">AVERAGE(OFFSET($R$3,0,0,'Données projet'!$E$9+1,1))-AVERAGE(OFFSET($H$3,0,0,'Données projet'!$E$9+1,1))</f>
        <v>84.31577618130467</v>
      </c>
      <c r="T11" s="59">
        <f t="shared" si="34"/>
        <v>527.2140904310653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</v>
      </c>
      <c r="AI11" s="13">
        <f>IF('Données projet'!$A$62&gt;35,AI10+AH11-AQ10,IF(A11&lt;'Données projet'!$A$62,$AF$205^A11,IF(A11='Données projet'!$A$62,'Données projet'!$B$62,AI10+AH11-AQ10)))</f>
        <v>24</v>
      </c>
      <c r="AJ11" s="13">
        <f>AI11*VLOOKUP('Données projet'!$B$10,Paramètres!$A$1:$I$89,3,0)*VLOOKUP('Données projet'!$B$10,Paramètres!$A$1:$I$89,5,0)</f>
        <v>21.715199999999999</v>
      </c>
      <c r="AK11" s="13">
        <f t="shared" si="35"/>
        <v>6.9938544235075568</v>
      </c>
      <c r="AL11" s="20">
        <f t="shared" si="4"/>
        <v>50.00160312094232</v>
      </c>
      <c r="AM11" s="59">
        <f t="shared" si="5"/>
        <v>343.33493645427563</v>
      </c>
      <c r="AN11" s="59">
        <f ca="1">AVERAGE(OFFSET($AM$3,0,0,'Données projet'!$E$10+1,1))-AVERAGE(OFFSET($H$3,0,0,'Données projet'!$E$10+1,1))</f>
        <v>297.90790572649428</v>
      </c>
      <c r="AO11" s="59">
        <f t="shared" si="36"/>
        <v>142.96889776844506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</v>
      </c>
      <c r="BD11" s="12">
        <f>IF('Données projet'!$A$88&gt;35,BD10+BC11-BL10,IF(A11&lt;'Données projet'!$A$88,$BA$205^A11,IF(A11='Données projet'!$A$88,'Données projet'!$B$88,BD10+BC11-BL10)))</f>
        <v>24</v>
      </c>
      <c r="BE11" s="13">
        <f>BD11*VLOOKUP('Données projet'!$B$11,Paramètres!$A$1:$I$89,3,0)*VLOOKUP('Données projet'!$B$11,Paramètres!$A$1:$I$89,5,0)</f>
        <v>24.336000000000002</v>
      </c>
      <c r="BF11" s="13">
        <f t="shared" si="37"/>
        <v>7.7346711726299766</v>
      </c>
      <c r="BG11" s="20">
        <f t="shared" si="7"/>
        <v>55.85641895899721</v>
      </c>
      <c r="BH11" s="59">
        <f t="shared" si="8"/>
        <v>349.18975229233052</v>
      </c>
      <c r="BI11" s="59">
        <f ca="1">AVERAGE(OFFSET($BH$3,0,0,'Données projet'!$E$11+1,1))-AVERAGE(OFFSET($H$3,0,0,'Données projet'!$E$11+1,1))</f>
        <v>345.3294887586967</v>
      </c>
      <c r="BJ11" s="59">
        <f t="shared" si="38"/>
        <v>164.23448598618114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5.5909090909090908</v>
      </c>
      <c r="BY11" s="12">
        <f>IF('Données projet'!$A$114&gt;35,BY10+BX11-CG10,IF(A11&lt;'Données projet'!$A$114,$BV$205^A11,IF(A11='Données projet'!$A$114,'Données projet'!$B$114,BY10+BX11-CG10)))</f>
        <v>5.7539422013952093</v>
      </c>
      <c r="BZ11" s="13">
        <f>BY11*VLOOKUP('Données projet'!$B$12,Paramètres!$A$1:$I$89,3,0)*VLOOKUP('Données projet'!$B$12,Paramètres!$A$1:$I$89,5,0)</f>
        <v>3.4408574364343356</v>
      </c>
      <c r="CA11" s="13">
        <f t="shared" si="39"/>
        <v>1.3732535882427113</v>
      </c>
      <c r="CB11" s="20">
        <f t="shared" si="10"/>
        <v>8.3845767013125236</v>
      </c>
      <c r="CC11" s="59">
        <f t="shared" si="11"/>
        <v>301.71791003464585</v>
      </c>
      <c r="CD11" s="59">
        <f ca="1">AVERAGE(OFFSET($CC$3,0,0,'Données projet'!$E$12+1,1))-AVERAGE(OFFSET($H$3,0,0,'Données projet'!$E$12+1,1))</f>
        <v>289.07218105343333</v>
      </c>
      <c r="CE11" s="59">
        <f t="shared" si="40"/>
        <v>217.57508587672368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6.85</v>
      </c>
      <c r="CT11" s="12">
        <f>IF('Données projet'!$A$140&gt;35,CT10+CS11-DB10,IF(A11&lt;'Données projet'!$A$140,$CQ$205^A11,IF(A11='Données projet'!$A$140,'Données projet'!$B$140,CT10+CS11-DB10)))</f>
        <v>7.1562948667991684</v>
      </c>
      <c r="CU11" s="17">
        <f>CT11*VLOOKUP('Données projet'!$B$13,Paramètres!$A$1:$I$89,3,0)*VLOOKUP('Données projet'!$B$13,Paramètres!$A$1:$I$89,5,0)</f>
        <v>6.2517391956357535</v>
      </c>
      <c r="CV11" s="13">
        <f t="shared" si="41"/>
        <v>2.3275467774402219</v>
      </c>
      <c r="CW11" s="20">
        <f t="shared" si="13"/>
        <v>14.942256403107324</v>
      </c>
      <c r="CX11" s="59">
        <f t="shared" si="14"/>
        <v>308.27558973644062</v>
      </c>
      <c r="CY11" s="59">
        <f ca="1">AVERAGE(OFFSET($CX$3,0,0,'Données projet'!$E$13+1,1))-AVERAGE(OFFSET($H$3,0,0,'Données projet'!$E$13+1,1))</f>
        <v>237.8483058552178</v>
      </c>
      <c r="CZ11" s="59">
        <f t="shared" si="42"/>
        <v>313.36201272119723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</v>
      </c>
      <c r="DO11" s="12">
        <f>IF('Données projet'!$A$166&gt;35,DO10+DN11-DW10,IF(A11&lt;'Données projet'!$A$166,$DL$205^A11,IF(A11='Données projet'!$A$166,'Données projet'!$B$166,DO10+DN11-DW10)))</f>
        <v>24</v>
      </c>
      <c r="DP11" s="17">
        <f>DO11*VLOOKUP('Données projet'!$B$14,Paramètres!$A$1:$I$89,3,0)*VLOOKUP('Données projet'!$B$14,Paramètres!$A$1:$I$89,5,0)</f>
        <v>23.212799999999998</v>
      </c>
      <c r="DQ11" s="13">
        <f t="shared" si="43"/>
        <v>7.4183771657915161</v>
      </c>
      <c r="DR11" s="20">
        <f t="shared" si="16"/>
        <v>53.349300230420219</v>
      </c>
      <c r="DS11" s="59">
        <f t="shared" si="17"/>
        <v>346.68263356375354</v>
      </c>
      <c r="DT11" s="59">
        <f ca="1">AVERAGE(OFFSET($DS$3,0,0,'Données projet'!$E$14+1,1))-AVERAGE(OFFSET($H$3,0,0,'Données projet'!$E$14+1,1))</f>
        <v>325.01961068962373</v>
      </c>
      <c r="DU11" s="59">
        <f t="shared" si="44"/>
        <v>155.12737608540039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2.4666666666666668</v>
      </c>
      <c r="EJ11" s="12">
        <f>IF('Données projet'!$A$192&gt;35,EJ10+EI11-ER10,IF(A11&lt;'Données projet'!$A$192,$EG$205^A11,IF(A11='Données projet'!$A$192,'Données projet'!$B$192,EJ10+EI11-ER10)))</f>
        <v>6.8607919984549888</v>
      </c>
      <c r="EK11" s="17">
        <f>EJ11*VLOOKUP('Données projet'!$B$15,Paramètres!$A$1:$I$89,3,0)*VLOOKUP('Données projet'!$B$15,Paramètres!$A$1:$I$89,5,0)</f>
        <v>4.6022192725636062</v>
      </c>
      <c r="EL11" s="13">
        <f t="shared" si="45"/>
        <v>1.7756197914863643</v>
      </c>
      <c r="EM11" s="20">
        <f t="shared" si="19"/>
        <v>11.108069703220364</v>
      </c>
      <c r="EN11" s="59">
        <f t="shared" si="20"/>
        <v>304.44140303655365</v>
      </c>
      <c r="EO11" s="59">
        <f ca="1">AVERAGE(OFFSET($EN$3,0,0,'Données projet'!$E$15+1,1))-AVERAGE(OFFSET($H$3,0,0,'Données projet'!$E$15+1,1))</f>
        <v>178.09619481964575</v>
      </c>
      <c r="EP11" s="59">
        <f t="shared" si="46"/>
        <v>178.65167777495174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2.4666666666666668</v>
      </c>
      <c r="FE11" s="12">
        <f>IF('Données projet'!$A$218&gt;35,FE10+FD11-FM10,IF(A11&lt;'Données projet'!$A$218,$FB$205^A11,IF(A11='Données projet'!$A$218,'Données projet'!$B$218,FE10+FD11-FM10)))</f>
        <v>6.8607919984549888</v>
      </c>
      <c r="FF11" s="17">
        <f>FE11*VLOOKUP('Données projet'!$B$16,Paramètres!$A$1:$I$89,3,0)*VLOOKUP('Données projet'!$B$16,Paramètres!$A$1:$I$89,5,0)</f>
        <v>5.4584461139707896</v>
      </c>
      <c r="FG11" s="13">
        <f t="shared" si="47"/>
        <v>2.0645540509389519</v>
      </c>
      <c r="FH11" s="20">
        <f t="shared" si="22"/>
        <v>13.102558620551131</v>
      </c>
      <c r="FI11" s="59">
        <f t="shared" si="23"/>
        <v>306.43589195388444</v>
      </c>
      <c r="FJ11" s="59">
        <f ca="1">AVERAGE(OFFSET($FI$3,0,0,'Données projet'!$E$16+1,1))-AVERAGE(OFFSET($H$3,0,0,'Données projet'!$E$16+1,1))</f>
        <v>219.43439115440339</v>
      </c>
      <c r="FK11" s="59">
        <f t="shared" si="48"/>
        <v>217.8880462742099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</v>
      </c>
      <c r="FZ11" s="12">
        <f>IF('Données projet'!$A$244&gt;35,FZ10+FY11-GH10,IF(A11&lt;'Données projet'!$A$244,$FW$205^A11,IF(A11='Données projet'!$A$244,'Données projet'!$B$244,FZ10+FY11-GH10)))</f>
        <v>10.902723556992838</v>
      </c>
      <c r="GA11" s="17">
        <f>FZ11*VLOOKUP('Données projet'!$B$17,Paramètres!$A$1:$I$89,3,0)*VLOOKUP('Données projet'!$B$17,Paramètres!$A$1:$I$89,5,0)</f>
        <v>6.5198286870817181</v>
      </c>
      <c r="GB11" s="13">
        <f t="shared" si="49"/>
        <v>2.4155228910363733</v>
      </c>
      <c r="GC11" s="20">
        <f t="shared" si="25"/>
        <v>15.562403998555673</v>
      </c>
      <c r="GD11" s="59">
        <f t="shared" si="26"/>
        <v>308.89573733188899</v>
      </c>
      <c r="GE11" s="59">
        <f ca="1">AVERAGE(OFFSET($GD$3,0,0,'Données projet'!$E$17+1,1))-AVERAGE(OFFSET($H$3,0,0,'Données projet'!$E$17+1,1))</f>
        <v>191.77102466144095</v>
      </c>
      <c r="GF11" s="59">
        <f t="shared" si="50"/>
        <v>205.57161411620217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17.26923076923077</v>
      </c>
      <c r="N12" s="13">
        <f>IF('Données projet'!$A$36&gt;35,N11+M12-V11,IF(A12&lt;'Données projet'!$A$36,$K$205^A12,IF(A12='Données projet'!$A$36,'Données projet'!$B$36,N11+M12-V11)))</f>
        <v>8.2810474261679854</v>
      </c>
      <c r="O12" s="13">
        <f>N12*VLOOKUP('Données projet'!$B$9,Paramètres!$A$1:$I$89,3,0)*VLOOKUP('Données projet'!$B$9,Paramètres!$A$1:$I$89,5,0)</f>
        <v>4.7798205743841615</v>
      </c>
      <c r="P12" s="13">
        <f t="shared" si="33"/>
        <v>1.8360315916010448</v>
      </c>
      <c r="Q12" s="20">
        <f t="shared" si="2"/>
        <v>11.5226091890909</v>
      </c>
      <c r="R12" s="59">
        <f t="shared" si="0"/>
        <v>304.85594252242424</v>
      </c>
      <c r="S12" s="59">
        <f ca="1">AVERAGE(OFFSET($R$3,0,0,'Données projet'!$E$9+1,1))-AVERAGE(OFFSET($H$3,0,0,'Données projet'!$E$9+1,1))</f>
        <v>84.31577618130467</v>
      </c>
      <c r="T12" s="59">
        <f t="shared" si="34"/>
        <v>527.2140904310653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</v>
      </c>
      <c r="AI12" s="13">
        <f>IF('Données projet'!$A$62&gt;35,AI11+AH12-AQ11,IF(A12&lt;'Données projet'!$A$62,$AF$205^A12,IF(A12='Données projet'!$A$62,'Données projet'!$B$62,AI11+AH12-AQ11)))</f>
        <v>27</v>
      </c>
      <c r="AJ12" s="13">
        <f>AI12*VLOOKUP('Données projet'!$B$10,Paramètres!$A$1:$I$89,3,0)*VLOOKUP('Données projet'!$B$10,Paramètres!$A$1:$I$89,5,0)</f>
        <v>24.429599999999997</v>
      </c>
      <c r="AK12" s="13">
        <f t="shared" si="35"/>
        <v>7.7609512795113149</v>
      </c>
      <c r="AL12" s="20">
        <f t="shared" si="4"/>
        <v>56.06521014514886</v>
      </c>
      <c r="AM12" s="59">
        <f t="shared" si="5"/>
        <v>349.39854347848217</v>
      </c>
      <c r="AN12" s="59">
        <f ca="1">AVERAGE(OFFSET($AM$3,0,0,'Données projet'!$E$10+1,1))-AVERAGE(OFFSET($H$3,0,0,'Données projet'!$E$10+1,1))</f>
        <v>297.90790572649428</v>
      </c>
      <c r="AO12" s="59">
        <f t="shared" si="36"/>
        <v>142.96889776844506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</v>
      </c>
      <c r="BD12" s="12">
        <f>IF('Données projet'!$A$88&gt;35,BD11+BC12-BL11,IF(A12&lt;'Données projet'!$A$88,$BA$205^A12,IF(A12='Données projet'!$A$88,'Données projet'!$B$88,BD11+BC12-BL11)))</f>
        <v>27</v>
      </c>
      <c r="BE12" s="13">
        <f>BD12*VLOOKUP('Données projet'!$B$11,Paramètres!$A$1:$I$89,3,0)*VLOOKUP('Données projet'!$B$11,Paramètres!$A$1:$I$89,5,0)</f>
        <v>27.378000000000004</v>
      </c>
      <c r="BF12" s="13">
        <f t="shared" si="37"/>
        <v>8.5830219645487738</v>
      </c>
      <c r="BG12" s="20">
        <f t="shared" si="7"/>
        <v>62.632113254922452</v>
      </c>
      <c r="BH12" s="59">
        <f t="shared" si="8"/>
        <v>355.96544658825576</v>
      </c>
      <c r="BI12" s="59">
        <f ca="1">AVERAGE(OFFSET($BH$3,0,0,'Données projet'!$E$11+1,1))-AVERAGE(OFFSET($H$3,0,0,'Données projet'!$E$11+1,1))</f>
        <v>345.3294887586967</v>
      </c>
      <c r="BJ12" s="59">
        <f t="shared" si="38"/>
        <v>164.23448598618114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5.5909090909090908</v>
      </c>
      <c r="BY12" s="12">
        <f>IF('Données projet'!$A$114&gt;35,BY11+BX12-CG11,IF(A12&lt;'Données projet'!$A$114,$BV$205^A12,IF(A12='Données projet'!$A$114,'Données projet'!$B$114,BY11+BX12-CG11)))</f>
        <v>7.1607940284521145</v>
      </c>
      <c r="BZ12" s="13">
        <f>BY12*VLOOKUP('Données projet'!$B$12,Paramètres!$A$1:$I$89,3,0)*VLOOKUP('Données projet'!$B$12,Paramètres!$A$1:$I$89,5,0)</f>
        <v>4.2821548290143649</v>
      </c>
      <c r="CA12" s="13">
        <f t="shared" si="39"/>
        <v>1.6660534544894132</v>
      </c>
      <c r="CB12" s="20">
        <f t="shared" si="10"/>
        <v>10.359796093769079</v>
      </c>
      <c r="CC12" s="59">
        <f t="shared" si="11"/>
        <v>303.69312942710241</v>
      </c>
      <c r="CD12" s="59">
        <f ca="1">AVERAGE(OFFSET($CC$3,0,0,'Données projet'!$E$12+1,1))-AVERAGE(OFFSET($H$3,0,0,'Données projet'!$E$12+1,1))</f>
        <v>289.07218105343333</v>
      </c>
      <c r="CE12" s="59">
        <f t="shared" si="40"/>
        <v>217.57508587672368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6.85</v>
      </c>
      <c r="CT12" s="12">
        <f>IF('Données projet'!$A$140&gt;35,CT11+CS12-DB11,IF(A12&lt;'Données projet'!$A$140,$CQ$205^A12,IF(A12='Données projet'!$A$140,'Données projet'!$B$140,CT11+CS12-DB11)))</f>
        <v>9.1521737247774908</v>
      </c>
      <c r="CU12" s="17">
        <f>CT12*VLOOKUP('Données projet'!$B$13,Paramètres!$A$1:$I$89,3,0)*VLOOKUP('Données projet'!$B$13,Paramètres!$A$1:$I$89,5,0)</f>
        <v>7.9953389659656171</v>
      </c>
      <c r="CV12" s="13">
        <f t="shared" si="41"/>
        <v>2.892668941115947</v>
      </c>
      <c r="CW12" s="20">
        <f t="shared" si="13"/>
        <v>18.963280438167057</v>
      </c>
      <c r="CX12" s="59">
        <f t="shared" si="14"/>
        <v>312.29661377150035</v>
      </c>
      <c r="CY12" s="59">
        <f ca="1">AVERAGE(OFFSET($CX$3,0,0,'Données projet'!$E$13+1,1))-AVERAGE(OFFSET($H$3,0,0,'Données projet'!$E$13+1,1))</f>
        <v>237.8483058552178</v>
      </c>
      <c r="CZ12" s="59">
        <f t="shared" si="42"/>
        <v>313.36201272119723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</v>
      </c>
      <c r="DO12" s="12">
        <f>IF('Données projet'!$A$166&gt;35,DO11+DN12-DW11,IF(A12&lt;'Données projet'!$A$166,$DL$205^A12,IF(A12='Données projet'!$A$166,'Données projet'!$B$166,DO11+DN12-DW11)))</f>
        <v>27</v>
      </c>
      <c r="DP12" s="17">
        <f>DO12*VLOOKUP('Données projet'!$B$14,Paramètres!$A$1:$I$89,3,0)*VLOOKUP('Données projet'!$B$14,Paramètres!$A$1:$I$89,5,0)</f>
        <v>26.1144</v>
      </c>
      <c r="DQ12" s="13">
        <f t="shared" si="43"/>
        <v>8.232036337964395</v>
      </c>
      <c r="DR12" s="20">
        <f t="shared" si="16"/>
        <v>59.820043288621314</v>
      </c>
      <c r="DS12" s="59">
        <f t="shared" si="17"/>
        <v>353.15337662195464</v>
      </c>
      <c r="DT12" s="59">
        <f ca="1">AVERAGE(OFFSET($DS$3,0,0,'Données projet'!$E$14+1,1))-AVERAGE(OFFSET($H$3,0,0,'Données projet'!$E$14+1,1))</f>
        <v>325.01961068962373</v>
      </c>
      <c r="DU12" s="59">
        <f t="shared" si="44"/>
        <v>155.12737608540039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2.4666666666666668</v>
      </c>
      <c r="EJ12" s="12">
        <f>IF('Données projet'!$A$192&gt;35,EJ11+EI12-ER11,IF(A12&lt;'Données projet'!$A$192,$EG$205^A12,IF(A12='Données projet'!$A$192,'Données projet'!$B$192,EJ11+EI12-ER11)))</f>
        <v>8.7281265486761299</v>
      </c>
      <c r="EK12" s="17">
        <f>EJ12*VLOOKUP('Données projet'!$B$15,Paramètres!$A$1:$I$89,3,0)*VLOOKUP('Données projet'!$B$15,Paramètres!$A$1:$I$89,5,0)</f>
        <v>5.8548272888519488</v>
      </c>
      <c r="EL12" s="13">
        <f t="shared" si="45"/>
        <v>2.1964813159654488</v>
      </c>
      <c r="EM12" s="20">
        <f t="shared" si="19"/>
        <v>14.022695820056965</v>
      </c>
      <c r="EN12" s="59">
        <f t="shared" si="20"/>
        <v>307.3560291533903</v>
      </c>
      <c r="EO12" s="59">
        <f ca="1">AVERAGE(OFFSET($EN$3,0,0,'Données projet'!$E$15+1,1))-AVERAGE(OFFSET($H$3,0,0,'Données projet'!$E$15+1,1))</f>
        <v>178.09619481964575</v>
      </c>
      <c r="EP12" s="59">
        <f t="shared" si="46"/>
        <v>178.65167777495174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2.4666666666666668</v>
      </c>
      <c r="FE12" s="12">
        <f>IF('Données projet'!$A$218&gt;35,FE11+FD12-FM11,IF(A12&lt;'Données projet'!$A$218,$FB$205^A12,IF(A12='Données projet'!$A$218,'Données projet'!$B$218,FE11+FD12-FM11)))</f>
        <v>8.7281265486761299</v>
      </c>
      <c r="FF12" s="17">
        <f>FE12*VLOOKUP('Données projet'!$B$16,Paramètres!$A$1:$I$89,3,0)*VLOOKUP('Données projet'!$B$16,Paramètres!$A$1:$I$89,5,0)</f>
        <v>6.9440974821267289</v>
      </c>
      <c r="FG12" s="13">
        <f t="shared" si="47"/>
        <v>2.5538994442566798</v>
      </c>
      <c r="FH12" s="20">
        <f t="shared" si="22"/>
        <v>16.542344646784436</v>
      </c>
      <c r="FI12" s="59">
        <f t="shared" si="23"/>
        <v>309.87567798011776</v>
      </c>
      <c r="FJ12" s="59">
        <f ca="1">AVERAGE(OFFSET($FI$3,0,0,'Données projet'!$E$16+1,1))-AVERAGE(OFFSET($H$3,0,0,'Données projet'!$E$16+1,1))</f>
        <v>219.43439115440339</v>
      </c>
      <c r="FK12" s="59">
        <f t="shared" si="48"/>
        <v>217.8880462742099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</v>
      </c>
      <c r="FZ12" s="12">
        <f>IF('Données projet'!$A$244&gt;35,FZ11+FY12-GH11,IF(A12&lt;'Données projet'!$A$244,$FW$205^A12,IF(A12='Données projet'!$A$244,'Données projet'!$B$244,FZ11+FY12-GH11)))</f>
        <v>14.696938456699069</v>
      </c>
      <c r="GA12" s="17">
        <f>FZ12*VLOOKUP('Données projet'!$B$17,Paramètres!$A$1:$I$89,3,0)*VLOOKUP('Données projet'!$B$17,Paramètres!$A$1:$I$89,5,0)</f>
        <v>8.7887691971060438</v>
      </c>
      <c r="GB12" s="13">
        <f t="shared" si="49"/>
        <v>3.1449004184369191</v>
      </c>
      <c r="GC12" s="20">
        <f t="shared" si="25"/>
        <v>20.784474580403991</v>
      </c>
      <c r="GD12" s="59">
        <f t="shared" si="26"/>
        <v>314.11780791373729</v>
      </c>
      <c r="GE12" s="59">
        <f ca="1">AVERAGE(OFFSET($GD$3,0,0,'Données projet'!$E$17+1,1))-AVERAGE(OFFSET($H$3,0,0,'Données projet'!$E$17+1,1))</f>
        <v>191.77102466144095</v>
      </c>
      <c r="GF12" s="59">
        <f t="shared" si="50"/>
        <v>205.57161411620217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17.26923076923077</v>
      </c>
      <c r="N13" s="13">
        <f>IF('Données projet'!$A$36&gt;35,N12+M13-V12,IF(A13&lt;'Données projet'!$A$36,$K$205^A13,IF(A13='Données projet'!$A$36,'Données projet'!$B$36,N12+M13-V12)))</f>
        <v>10.47357016598472</v>
      </c>
      <c r="O13" s="13">
        <f>N13*VLOOKUP('Données projet'!$B$9,Paramètres!$A$1:$I$89,3,0)*VLOOKUP('Données projet'!$B$9,Paramètres!$A$1:$I$89,5,0)</f>
        <v>6.0453446998063809</v>
      </c>
      <c r="P13" s="13">
        <f t="shared" si="33"/>
        <v>2.2595175629819297</v>
      </c>
      <c r="Q13" s="20">
        <f t="shared" si="2"/>
        <v>14.464301774356306</v>
      </c>
      <c r="R13" s="59">
        <f t="shared" si="0"/>
        <v>307.79763510768964</v>
      </c>
      <c r="S13" s="59">
        <f ca="1">AVERAGE(OFFSET($R$3,0,0,'Données projet'!$E$9+1,1))-AVERAGE(OFFSET($H$3,0,0,'Données projet'!$E$9+1,1))</f>
        <v>84.31577618130467</v>
      </c>
      <c r="T13" s="59">
        <f t="shared" si="34"/>
        <v>527.2140904310653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</v>
      </c>
      <c r="AI13" s="13">
        <f>IF('Données projet'!$A$62&gt;35,AI12+AH13-AQ12,IF(A13&lt;'Données projet'!$A$62,$AF$205^A13,IF(A13='Données projet'!$A$62,'Données projet'!$B$62,AI12+AH13-AQ12)))</f>
        <v>30</v>
      </c>
      <c r="AJ13" s="13">
        <f>AI13*VLOOKUP('Données projet'!$B$10,Paramètres!$A$1:$I$89,3,0)*VLOOKUP('Données projet'!$B$10,Paramètres!$A$1:$I$89,5,0)</f>
        <v>27.143999999999998</v>
      </c>
      <c r="AK13" s="13">
        <f t="shared" si="35"/>
        <v>8.5181694620316346</v>
      </c>
      <c r="AL13" s="20">
        <f t="shared" si="4"/>
        <v>62.111611813038422</v>
      </c>
      <c r="AM13" s="59">
        <f t="shared" si="5"/>
        <v>355.44494514637177</v>
      </c>
      <c r="AN13" s="59">
        <f ca="1">AVERAGE(OFFSET($AM$3,0,0,'Données projet'!$E$10+1,1))-AVERAGE(OFFSET($H$3,0,0,'Données projet'!$E$10+1,1))</f>
        <v>297.90790572649428</v>
      </c>
      <c r="AO13" s="59">
        <f t="shared" si="36"/>
        <v>142.96889776844506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</v>
      </c>
      <c r="BD13" s="12">
        <f>IF('Données projet'!$A$88&gt;35,BD12+BC13-BL12,IF(A13&lt;'Données projet'!$A$88,$BA$205^A13,IF(A13='Données projet'!$A$88,'Données projet'!$B$88,BD12+BC13-BL12)))</f>
        <v>30</v>
      </c>
      <c r="BE13" s="13">
        <f>BD13*VLOOKUP('Données projet'!$B$11,Paramètres!$A$1:$I$89,3,0)*VLOOKUP('Données projet'!$B$11,Paramètres!$A$1:$I$89,5,0)</f>
        <v>30.42</v>
      </c>
      <c r="BF13" s="13">
        <f t="shared" si="37"/>
        <v>9.4204476947792024</v>
      </c>
      <c r="BG13" s="20">
        <f t="shared" si="7"/>
        <v>69.388779735073783</v>
      </c>
      <c r="BH13" s="59">
        <f t="shared" si="8"/>
        <v>362.72211306840711</v>
      </c>
      <c r="BI13" s="59">
        <f ca="1">AVERAGE(OFFSET($BH$3,0,0,'Données projet'!$E$11+1,1))-AVERAGE(OFFSET($H$3,0,0,'Données projet'!$E$11+1,1))</f>
        <v>345.3294887586967</v>
      </c>
      <c r="BJ13" s="59">
        <f t="shared" si="38"/>
        <v>164.23448598618114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5.5909090909090908</v>
      </c>
      <c r="BY13" s="12">
        <f>IF('Données projet'!$A$114&gt;35,BY12+BX13-CG12,IF(A13&lt;'Données projet'!$A$114,$BV$205^A13,IF(A13='Données projet'!$A$114,'Données projet'!$B$114,BY12+BX13-CG12)))</f>
        <v>8.9116242956840761</v>
      </c>
      <c r="BZ13" s="13">
        <f>BY13*VLOOKUP('Données projet'!$B$12,Paramètres!$A$1:$I$89,3,0)*VLOOKUP('Données projet'!$B$12,Paramètres!$A$1:$I$89,5,0)</f>
        <v>5.3291513288190782</v>
      </c>
      <c r="CA13" s="13">
        <f t="shared" si="39"/>
        <v>2.0212829858817885</v>
      </c>
      <c r="CB13" s="20">
        <f t="shared" si="10"/>
        <v>12.802006431437341</v>
      </c>
      <c r="CC13" s="59">
        <f t="shared" si="11"/>
        <v>306.13533976477066</v>
      </c>
      <c r="CD13" s="59">
        <f ca="1">AVERAGE(OFFSET($CC$3,0,0,'Données projet'!$E$12+1,1))-AVERAGE(OFFSET($H$3,0,0,'Données projet'!$E$12+1,1))</f>
        <v>289.07218105343333</v>
      </c>
      <c r="CE13" s="59">
        <f t="shared" si="40"/>
        <v>217.57508587672368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6.85</v>
      </c>
      <c r="CT13" s="12">
        <f>IF('Données projet'!$A$140&gt;35,CT12+CS13-DB12,IF(A13&lt;'Données projet'!$A$140,$CQ$205^A13,IF(A13='Données projet'!$A$140,'Données projet'!$B$140,CT12+CS13-DB12)))</f>
        <v>11.70469991071962</v>
      </c>
      <c r="CU13" s="17">
        <f>CT13*VLOOKUP('Données projet'!$B$13,Paramètres!$A$1:$I$89,3,0)*VLOOKUP('Données projet'!$B$13,Paramètres!$A$1:$I$89,5,0)</f>
        <v>10.225225842004662</v>
      </c>
      <c r="CV13" s="13">
        <f t="shared" si="41"/>
        <v>3.5950012622729153</v>
      </c>
      <c r="CW13" s="20">
        <f t="shared" si="13"/>
        <v>24.070228873283444</v>
      </c>
      <c r="CX13" s="59">
        <f t="shared" si="14"/>
        <v>317.40356220661675</v>
      </c>
      <c r="CY13" s="59">
        <f ca="1">AVERAGE(OFFSET($CX$3,0,0,'Données projet'!$E$13+1,1))-AVERAGE(OFFSET($H$3,0,0,'Données projet'!$E$13+1,1))</f>
        <v>237.8483058552178</v>
      </c>
      <c r="CZ13" s="59">
        <f t="shared" si="42"/>
        <v>313.36201272119723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</v>
      </c>
      <c r="DO13" s="12">
        <f>IF('Données projet'!$A$166&gt;35,DO12+DN13-DW12,IF(A13&lt;'Données projet'!$A$166,$DL$205^A13,IF(A13='Données projet'!$A$166,'Données projet'!$B$166,DO12+DN13-DW12)))</f>
        <v>30</v>
      </c>
      <c r="DP13" s="17">
        <f>DO13*VLOOKUP('Données projet'!$B$14,Paramètres!$A$1:$I$89,3,0)*VLOOKUP('Données projet'!$B$14,Paramètres!$A$1:$I$89,5,0)</f>
        <v>29.016000000000002</v>
      </c>
      <c r="DQ13" s="13">
        <f t="shared" si="43"/>
        <v>9.0352172071357728</v>
      </c>
      <c r="DR13" s="20">
        <f t="shared" si="16"/>
        <v>66.272536635761469</v>
      </c>
      <c r="DS13" s="59">
        <f t="shared" si="17"/>
        <v>359.60586996909478</v>
      </c>
      <c r="DT13" s="59">
        <f ca="1">AVERAGE(OFFSET($DS$3,0,0,'Données projet'!$E$14+1,1))-AVERAGE(OFFSET($H$3,0,0,'Données projet'!$E$14+1,1))</f>
        <v>325.01961068962373</v>
      </c>
      <c r="DU13" s="59">
        <f t="shared" si="44"/>
        <v>155.12737608540039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2.4666666666666668</v>
      </c>
      <c r="EJ13" s="12">
        <f>IF('Données projet'!$A$192&gt;35,EJ12+EI13-ER12,IF(A13&lt;'Données projet'!$A$192,$EG$205^A13,IF(A13='Données projet'!$A$192,'Données projet'!$B$192,EJ12+EI13-ER12)))</f>
        <v>11.103702468586782</v>
      </c>
      <c r="EK13" s="17">
        <f>EJ13*VLOOKUP('Données projet'!$B$15,Paramètres!$A$1:$I$89,3,0)*VLOOKUP('Données projet'!$B$15,Paramètres!$A$1:$I$89,5,0)</f>
        <v>7.448363615928014</v>
      </c>
      <c r="EL13" s="13">
        <f t="shared" si="45"/>
        <v>2.7170964158642961</v>
      </c>
      <c r="EM13" s="20">
        <f t="shared" si="19"/>
        <v>17.704842888704938</v>
      </c>
      <c r="EN13" s="59">
        <f t="shared" si="20"/>
        <v>311.03817622203826</v>
      </c>
      <c r="EO13" s="59">
        <f ca="1">AVERAGE(OFFSET($EN$3,0,0,'Données projet'!$E$15+1,1))-AVERAGE(OFFSET($H$3,0,0,'Données projet'!$E$15+1,1))</f>
        <v>178.09619481964575</v>
      </c>
      <c r="EP13" s="59">
        <f t="shared" si="46"/>
        <v>178.65167777495174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2.4666666666666668</v>
      </c>
      <c r="FE13" s="12">
        <f>IF('Données projet'!$A$218&gt;35,FE12+FD13-FM12,IF(A13&lt;'Données projet'!$A$218,$FB$205^A13,IF(A13='Données projet'!$A$218,'Données projet'!$B$218,FE12+FD13-FM12)))</f>
        <v>11.103702468586782</v>
      </c>
      <c r="FF13" s="17">
        <f>FE13*VLOOKUP('Données projet'!$B$16,Paramètres!$A$1:$I$89,3,0)*VLOOKUP('Données projet'!$B$16,Paramètres!$A$1:$I$89,5,0)</f>
        <v>8.8341056840076444</v>
      </c>
      <c r="FG13" s="13">
        <f t="shared" si="47"/>
        <v>3.1592306185484516</v>
      </c>
      <c r="FH13" s="20">
        <f t="shared" si="22"/>
        <v>20.888394060285197</v>
      </c>
      <c r="FI13" s="59">
        <f t="shared" si="23"/>
        <v>314.22172739361849</v>
      </c>
      <c r="FJ13" s="59">
        <f ca="1">AVERAGE(OFFSET($FI$3,0,0,'Données projet'!$E$16+1,1))-AVERAGE(OFFSET($H$3,0,0,'Données projet'!$E$16+1,1))</f>
        <v>219.43439115440339</v>
      </c>
      <c r="FK13" s="59">
        <f t="shared" si="48"/>
        <v>217.8880462742099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</v>
      </c>
      <c r="FZ13" s="12">
        <f>IF('Données projet'!$A$244&gt;35,FZ12+FY13-GH12,IF(A13&lt;'Données projet'!$A$244,$FW$205^A13,IF(A13='Données projet'!$A$244,'Données projet'!$B$244,FZ12+FY13-GH12)))</f>
        <v>19.81156349336776</v>
      </c>
      <c r="GA13" s="17">
        <f>FZ13*VLOOKUP('Données projet'!$B$17,Paramètres!$A$1:$I$89,3,0)*VLOOKUP('Données projet'!$B$17,Paramètres!$A$1:$I$89,5,0)</f>
        <v>11.847314969033921</v>
      </c>
      <c r="GB13" s="13">
        <f t="shared" si="49"/>
        <v>4.094516627677768</v>
      </c>
      <c r="GC13" s="20">
        <f t="shared" si="25"/>
        <v>27.76535669760619</v>
      </c>
      <c r="GD13" s="59">
        <f t="shared" si="26"/>
        <v>321.09869003093951</v>
      </c>
      <c r="GE13" s="59">
        <f ca="1">AVERAGE(OFFSET($GD$3,0,0,'Données projet'!$E$17+1,1))-AVERAGE(OFFSET($H$3,0,0,'Données projet'!$E$17+1,1))</f>
        <v>191.77102466144095</v>
      </c>
      <c r="GF13" s="59">
        <f t="shared" si="50"/>
        <v>205.57161411620217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17.26923076923077</v>
      </c>
      <c r="N14" s="13">
        <f>IF('Données projet'!$A$36&gt;35,N13+M14-V13,IF(A14&lt;'Données projet'!$A$36,$K$205^A14,IF(A14='Données projet'!$A$36,'Données projet'!$B$36,N13+M14-V13)))</f>
        <v>13.246593863859358</v>
      </c>
      <c r="O14" s="13">
        <f>N14*VLOOKUP('Données projet'!$B$9,Paramètres!$A$1:$I$89,3,0)*VLOOKUP('Données projet'!$B$9,Paramètres!$A$1:$I$89,5,0)</f>
        <v>7.6459339782196221</v>
      </c>
      <c r="P14" s="13">
        <f t="shared" si="33"/>
        <v>2.7806817926110972</v>
      </c>
      <c r="Q14" s="20">
        <f t="shared" si="2"/>
        <v>18.159689134196835</v>
      </c>
      <c r="R14" s="59">
        <f t="shared" si="0"/>
        <v>311.49302246753012</v>
      </c>
      <c r="S14" s="59">
        <f ca="1">AVERAGE(OFFSET($R$3,0,0,'Données projet'!$E$9+1,1))-AVERAGE(OFFSET($H$3,0,0,'Données projet'!$E$9+1,1))</f>
        <v>84.31577618130467</v>
      </c>
      <c r="T14" s="59">
        <f t="shared" si="34"/>
        <v>527.2140904310653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</v>
      </c>
      <c r="AI14" s="13">
        <f>IF('Données projet'!$A$62&gt;35,AI13+AH14-AQ13,IF(A14&lt;'Données projet'!$A$62,$AF$205^A14,IF(A14='Données projet'!$A$62,'Données projet'!$B$62,AI13+AH14-AQ13)))</f>
        <v>33</v>
      </c>
      <c r="AJ14" s="13">
        <f>AI14*VLOOKUP('Données projet'!$B$10,Paramètres!$A$1:$I$89,3,0)*VLOOKUP('Données projet'!$B$10,Paramètres!$A$1:$I$89,5,0)</f>
        <v>29.858399999999996</v>
      </c>
      <c r="AK14" s="13">
        <f t="shared" si="35"/>
        <v>9.2666092944057148</v>
      </c>
      <c r="AL14" s="20">
        <f t="shared" si="4"/>
        <v>68.14272452108996</v>
      </c>
      <c r="AM14" s="59">
        <f t="shared" si="5"/>
        <v>361.47605785442329</v>
      </c>
      <c r="AN14" s="59">
        <f ca="1">AVERAGE(OFFSET($AM$3,0,0,'Données projet'!$E$10+1,1))-AVERAGE(OFFSET($H$3,0,0,'Données projet'!$E$10+1,1))</f>
        <v>297.90790572649428</v>
      </c>
      <c r="AO14" s="59">
        <f t="shared" si="36"/>
        <v>142.96889776844506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</v>
      </c>
      <c r="BD14" s="12">
        <f>IF('Données projet'!$A$88&gt;35,BD13+BC14-BL13,IF(A14&lt;'Données projet'!$A$88,$BA$205^A14,IF(A14='Données projet'!$A$88,'Données projet'!$B$88,BD13+BC14-BL13)))</f>
        <v>33</v>
      </c>
      <c r="BE14" s="13">
        <f>BD14*VLOOKUP('Données projet'!$B$11,Paramètres!$A$1:$I$89,3,0)*VLOOKUP('Données projet'!$B$11,Paramètres!$A$1:$I$89,5,0)</f>
        <v>33.462000000000003</v>
      </c>
      <c r="BF14" s="13">
        <f t="shared" si="37"/>
        <v>10.248165237262533</v>
      </c>
      <c r="BG14" s="20">
        <f t="shared" si="7"/>
        <v>76.128537788232251</v>
      </c>
      <c r="BH14" s="59">
        <f t="shared" si="8"/>
        <v>369.46187112156554</v>
      </c>
      <c r="BI14" s="59">
        <f ca="1">AVERAGE(OFFSET($BH$3,0,0,'Données projet'!$E$11+1,1))-AVERAGE(OFFSET($H$3,0,0,'Données projet'!$E$11+1,1))</f>
        <v>345.3294887586967</v>
      </c>
      <c r="BJ14" s="59">
        <f t="shared" si="38"/>
        <v>164.23448598618114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5.5909090909090908</v>
      </c>
      <c r="BY14" s="12">
        <f>IF('Données projet'!$A$114&gt;35,BY13+BX14-CG13,IF(A14&lt;'Données projet'!$A$114,$BV$205^A14,IF(A14='Données projet'!$A$114,'Données projet'!$B$114,BY13+BX14-CG13)))</f>
        <v>11.090536506409412</v>
      </c>
      <c r="BZ14" s="13">
        <f>BY14*VLOOKUP('Données projet'!$B$12,Paramètres!$A$1:$I$89,3,0)*VLOOKUP('Données projet'!$B$12,Paramètres!$A$1:$I$89,5,0)</f>
        <v>6.6321408308328289</v>
      </c>
      <c r="CA14" s="13">
        <f t="shared" si="39"/>
        <v>2.4522531963221348</v>
      </c>
      <c r="CB14" s="20">
        <f t="shared" si="10"/>
        <v>15.821986263961561</v>
      </c>
      <c r="CC14" s="59">
        <f t="shared" si="11"/>
        <v>309.15531959729486</v>
      </c>
      <c r="CD14" s="59">
        <f ca="1">AVERAGE(OFFSET($CC$3,0,0,'Données projet'!$E$12+1,1))-AVERAGE(OFFSET($H$3,0,0,'Données projet'!$E$12+1,1))</f>
        <v>289.07218105343333</v>
      </c>
      <c r="CE14" s="59">
        <f t="shared" si="40"/>
        <v>217.57508587672368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6.85</v>
      </c>
      <c r="CT14" s="12">
        <f>IF('Données projet'!$A$140&gt;35,CT13+CS14-DB13,IF(A14&lt;'Données projet'!$A$140,$CQ$205^A14,IF(A14='Données projet'!$A$140,'Données projet'!$B$140,CT13+CS14-DB13)))</f>
        <v>14.969121448066769</v>
      </c>
      <c r="CU14" s="17">
        <f>CT14*VLOOKUP('Données projet'!$B$13,Paramètres!$A$1:$I$89,3,0)*VLOOKUP('Données projet'!$B$13,Paramètres!$A$1:$I$89,5,0)</f>
        <v>13.077024497031129</v>
      </c>
      <c r="CV14" s="13">
        <f t="shared" si="41"/>
        <v>4.4678580020145571</v>
      </c>
      <c r="CW14" s="20">
        <f t="shared" si="13"/>
        <v>30.557337019171232</v>
      </c>
      <c r="CX14" s="59">
        <f t="shared" si="14"/>
        <v>323.89067035250457</v>
      </c>
      <c r="CY14" s="59">
        <f ca="1">AVERAGE(OFFSET($CX$3,0,0,'Données projet'!$E$13+1,1))-AVERAGE(OFFSET($H$3,0,0,'Données projet'!$E$13+1,1))</f>
        <v>237.8483058552178</v>
      </c>
      <c r="CZ14" s="59">
        <f t="shared" si="42"/>
        <v>313.36201272119723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</v>
      </c>
      <c r="DO14" s="12">
        <f>IF('Données projet'!$A$166&gt;35,DO13+DN14-DW13,IF(A14&lt;'Données projet'!$A$166,$DL$205^A14,IF(A14='Données projet'!$A$166,'Données projet'!$B$166,DO13+DN14-DW13)))</f>
        <v>33</v>
      </c>
      <c r="DP14" s="17">
        <f>DO14*VLOOKUP('Données projet'!$B$14,Paramètres!$A$1:$I$89,3,0)*VLOOKUP('Données projet'!$B$14,Paramètres!$A$1:$I$89,5,0)</f>
        <v>31.917600000000004</v>
      </c>
      <c r="DQ14" s="13">
        <f t="shared" si="43"/>
        <v>9.829086885605312</v>
      </c>
      <c r="DR14" s="20">
        <f t="shared" si="16"/>
        <v>72.708812992429259</v>
      </c>
      <c r="DS14" s="59">
        <f t="shared" si="17"/>
        <v>366.04214632576259</v>
      </c>
      <c r="DT14" s="59">
        <f ca="1">AVERAGE(OFFSET($DS$3,0,0,'Données projet'!$E$14+1,1))-AVERAGE(OFFSET($H$3,0,0,'Données projet'!$E$14+1,1))</f>
        <v>325.01961068962373</v>
      </c>
      <c r="DU14" s="59">
        <f t="shared" si="44"/>
        <v>155.12737608540039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2.4666666666666668</v>
      </c>
      <c r="EJ14" s="12">
        <f>IF('Données projet'!$A$192&gt;35,EJ13+EI14-ER13,IF(A14&lt;'Données projet'!$A$192,$EG$205^A14,IF(A14='Données projet'!$A$192,'Données projet'!$B$192,EJ13+EI14-ER13)))</f>
        <v>14.125850240977657</v>
      </c>
      <c r="EK14" s="17">
        <f>EJ14*VLOOKUP('Données projet'!$B$15,Paramètres!$A$1:$I$89,3,0)*VLOOKUP('Données projet'!$B$15,Paramètres!$A$1:$I$89,5,0)</f>
        <v>9.4756203416478133</v>
      </c>
      <c r="EL14" s="13">
        <f t="shared" si="45"/>
        <v>3.361108915173098</v>
      </c>
      <c r="EM14" s="20">
        <f t="shared" si="19"/>
        <v>22.357303455629751</v>
      </c>
      <c r="EN14" s="59">
        <f t="shared" si="20"/>
        <v>315.69063678896305</v>
      </c>
      <c r="EO14" s="59">
        <f ca="1">AVERAGE(OFFSET($EN$3,0,0,'Données projet'!$E$15+1,1))-AVERAGE(OFFSET($H$3,0,0,'Données projet'!$E$15+1,1))</f>
        <v>178.09619481964575</v>
      </c>
      <c r="EP14" s="59">
        <f t="shared" si="46"/>
        <v>178.65167777495174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2.4666666666666668</v>
      </c>
      <c r="FE14" s="12">
        <f>IF('Données projet'!$A$218&gt;35,FE13+FD14-FM13,IF(A14&lt;'Données projet'!$A$218,$FB$205^A14,IF(A14='Données projet'!$A$218,'Données projet'!$B$218,FE13+FD14-FM13)))</f>
        <v>14.125850240977657</v>
      </c>
      <c r="FF14" s="17">
        <f>FE14*VLOOKUP('Données projet'!$B$16,Paramètres!$A$1:$I$89,3,0)*VLOOKUP('Données projet'!$B$16,Paramètres!$A$1:$I$89,5,0)</f>
        <v>11.238526451721825</v>
      </c>
      <c r="FG14" s="13">
        <f t="shared" si="47"/>
        <v>3.9080387928425129</v>
      </c>
      <c r="FH14" s="20">
        <f t="shared" si="22"/>
        <v>26.380267800949554</v>
      </c>
      <c r="FI14" s="59">
        <f t="shared" si="23"/>
        <v>319.71360113428284</v>
      </c>
      <c r="FJ14" s="59">
        <f ca="1">AVERAGE(OFFSET($FI$3,0,0,'Données projet'!$E$16+1,1))-AVERAGE(OFFSET($H$3,0,0,'Données projet'!$E$16+1,1))</f>
        <v>219.43439115440339</v>
      </c>
      <c r="FK14" s="59">
        <f t="shared" si="48"/>
        <v>217.8880462742099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</v>
      </c>
      <c r="FZ14" s="12">
        <f>IF('Données projet'!$A$244&gt;35,FZ13+FY14-GH13,IF(A14&lt;'Données projet'!$A$244,$FW$205^A14,IF(A14='Données projet'!$A$244,'Données projet'!$B$244,FZ13+FY14-GH13)))</f>
        <v>26.706109521254486</v>
      </c>
      <c r="GA14" s="17">
        <f>FZ14*VLOOKUP('Données projet'!$B$17,Paramètres!$A$1:$I$89,3,0)*VLOOKUP('Données projet'!$B$17,Paramètres!$A$1:$I$89,5,0)</f>
        <v>15.970253493710185</v>
      </c>
      <c r="GB14" s="13">
        <f t="shared" si="49"/>
        <v>5.3308735361046251</v>
      </c>
      <c r="GC14" s="20">
        <f t="shared" si="25"/>
        <v>37.09946291026079</v>
      </c>
      <c r="GD14" s="59">
        <f t="shared" si="26"/>
        <v>330.43279624359411</v>
      </c>
      <c r="GE14" s="59">
        <f ca="1">AVERAGE(OFFSET($GD$3,0,0,'Données projet'!$E$17+1,1))-AVERAGE(OFFSET($H$3,0,0,'Données projet'!$E$17+1,1))</f>
        <v>191.77102466144095</v>
      </c>
      <c r="GF14" s="59">
        <f t="shared" si="50"/>
        <v>205.57161411620217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17.26923076923077</v>
      </c>
      <c r="N15" s="13">
        <f>IF('Données projet'!$A$36&gt;35,N14+M15-V14,IF(A15&lt;'Données projet'!$A$36,$K$205^A15,IF(A15='Données projet'!$A$36,'Données projet'!$B$36,N14+M15-V14)))</f>
        <v>16.753814240336318</v>
      </c>
      <c r="O15" s="13">
        <f>N15*VLOOKUP('Données projet'!$B$9,Paramètres!$A$1:$I$89,3,0)*VLOOKUP('Données projet'!$B$9,Paramètres!$A$1:$I$89,5,0)</f>
        <v>9.670301579522123</v>
      </c>
      <c r="P15" s="13">
        <f t="shared" si="33"/>
        <v>3.4220540519076721</v>
      </c>
      <c r="Q15" s="20">
        <f t="shared" si="2"/>
        <v>22.802519391406893</v>
      </c>
      <c r="R15" s="59">
        <f t="shared" si="0"/>
        <v>316.13585272474023</v>
      </c>
      <c r="S15" s="59">
        <f ca="1">AVERAGE(OFFSET($R$3,0,0,'Données projet'!$E$9+1,1))-AVERAGE(OFFSET($H$3,0,0,'Données projet'!$E$9+1,1))</f>
        <v>84.31577618130467</v>
      </c>
      <c r="T15" s="59">
        <f t="shared" si="34"/>
        <v>527.2140904310653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</v>
      </c>
      <c r="AI15" s="13">
        <f>IF('Données projet'!$A$62&gt;35,AI14+AH15-AQ14,IF(A15&lt;'Données projet'!$A$62,$AF$205^A15,IF(A15='Données projet'!$A$62,'Données projet'!$B$62,AI14+AH15-AQ14)))</f>
        <v>36</v>
      </c>
      <c r="AJ15" s="13">
        <f>AI15*VLOOKUP('Données projet'!$B$10,Paramètres!$A$1:$I$89,3,0)*VLOOKUP('Données projet'!$B$10,Paramètres!$A$1:$I$89,5,0)</f>
        <v>32.572800000000001</v>
      </c>
      <c r="AK15" s="13">
        <f t="shared" si="35"/>
        <v>10.007159566468195</v>
      </c>
      <c r="AL15" s="20">
        <f t="shared" si="4"/>
        <v>74.160096244932106</v>
      </c>
      <c r="AM15" s="59">
        <f t="shared" si="5"/>
        <v>367.49342957826542</v>
      </c>
      <c r="AN15" s="59">
        <f ca="1">AVERAGE(OFFSET($AM$3,0,0,'Données projet'!$E$10+1,1))-AVERAGE(OFFSET($H$3,0,0,'Données projet'!$E$10+1,1))</f>
        <v>297.90790572649428</v>
      </c>
      <c r="AO15" s="59">
        <f t="shared" si="36"/>
        <v>142.96889776844506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</v>
      </c>
      <c r="BD15" s="12">
        <f>IF('Données projet'!$A$88&gt;35,BD14+BC15-BL14,IF(A15&lt;'Données projet'!$A$88,$BA$205^A15,IF(A15='Données projet'!$A$88,'Données projet'!$B$88,BD14+BC15-BL14)))</f>
        <v>36</v>
      </c>
      <c r="BE15" s="13">
        <f>BD15*VLOOKUP('Données projet'!$B$11,Paramètres!$A$1:$I$89,3,0)*VLOOKUP('Données projet'!$B$11,Paramètres!$A$1:$I$89,5,0)</f>
        <v>36.504000000000005</v>
      </c>
      <c r="BF15" s="13">
        <f t="shared" si="37"/>
        <v>11.067157525971377</v>
      </c>
      <c r="BG15" s="20">
        <f t="shared" si="7"/>
        <v>82.853099357733484</v>
      </c>
      <c r="BH15" s="59">
        <f t="shared" si="8"/>
        <v>376.18643269106678</v>
      </c>
      <c r="BI15" s="59">
        <f ca="1">AVERAGE(OFFSET($BH$3,0,0,'Données projet'!$E$11+1,1))-AVERAGE(OFFSET($H$3,0,0,'Données projet'!$E$11+1,1))</f>
        <v>345.3294887586967</v>
      </c>
      <c r="BJ15" s="59">
        <f t="shared" si="38"/>
        <v>164.23448598618114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5.5909090909090908</v>
      </c>
      <c r="BY15" s="12">
        <f>IF('Données projet'!$A$114&gt;35,BY14+BX15-CG14,IF(A15&lt;'Données projet'!$A$114,$BV$205^A15,IF(A15='Données projet'!$A$114,'Données projet'!$B$114,BY14+BX15-CG14)))</f>
        <v>13.802197659922571</v>
      </c>
      <c r="BZ15" s="13">
        <f>BY15*VLOOKUP('Données projet'!$B$12,Paramètres!$A$1:$I$89,3,0)*VLOOKUP('Données projet'!$B$12,Paramètres!$A$1:$I$89,5,0)</f>
        <v>8.2537142006336985</v>
      </c>
      <c r="CA15" s="13">
        <f t="shared" si="39"/>
        <v>2.9751132230743558</v>
      </c>
      <c r="CB15" s="20">
        <f t="shared" si="10"/>
        <v>19.556874429624859</v>
      </c>
      <c r="CC15" s="59">
        <f t="shared" si="11"/>
        <v>312.8902077629582</v>
      </c>
      <c r="CD15" s="59">
        <f ca="1">AVERAGE(OFFSET($CC$3,0,0,'Données projet'!$E$12+1,1))-AVERAGE(OFFSET($H$3,0,0,'Données projet'!$E$12+1,1))</f>
        <v>289.07218105343333</v>
      </c>
      <c r="CE15" s="59">
        <f t="shared" si="40"/>
        <v>217.57508587672368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6.85</v>
      </c>
      <c r="CT15" s="12">
        <f>IF('Données projet'!$A$140&gt;35,CT14+CS15-DB14,IF(A15&lt;'Données projet'!$A$140,$CQ$205^A15,IF(A15='Données projet'!$A$140,'Données projet'!$B$140,CT14+CS15-DB14)))</f>
        <v>19.14398477843557</v>
      </c>
      <c r="CU15" s="17">
        <f>CT15*VLOOKUP('Données projet'!$B$13,Paramètres!$A$1:$I$89,3,0)*VLOOKUP('Données projet'!$B$13,Paramètres!$A$1:$I$89,5,0)</f>
        <v>16.724185102441314</v>
      </c>
      <c r="CV15" s="13">
        <f t="shared" si="41"/>
        <v>5.5526420353868842</v>
      </c>
      <c r="CW15" s="20">
        <f t="shared" si="13"/>
        <v>38.798807265050783</v>
      </c>
      <c r="CX15" s="59">
        <f t="shared" si="14"/>
        <v>332.13214059838413</v>
      </c>
      <c r="CY15" s="59">
        <f ca="1">AVERAGE(OFFSET($CX$3,0,0,'Données projet'!$E$13+1,1))-AVERAGE(OFFSET($H$3,0,0,'Données projet'!$E$13+1,1))</f>
        <v>237.8483058552178</v>
      </c>
      <c r="CZ15" s="59">
        <f t="shared" si="42"/>
        <v>313.36201272119723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</v>
      </c>
      <c r="DO15" s="12">
        <f>IF('Données projet'!$A$166&gt;35,DO14+DN15-DW14,IF(A15&lt;'Données projet'!$A$166,$DL$205^A15,IF(A15='Données projet'!$A$166,'Données projet'!$B$166,DO14+DN15-DW14)))</f>
        <v>36</v>
      </c>
      <c r="DP15" s="17">
        <f>DO15*VLOOKUP('Données projet'!$B$14,Paramètres!$A$1:$I$89,3,0)*VLOOKUP('Données projet'!$B$14,Paramètres!$A$1:$I$89,5,0)</f>
        <v>34.819200000000002</v>
      </c>
      <c r="DQ15" s="13">
        <f t="shared" si="43"/>
        <v>10.61458811221417</v>
      </c>
      <c r="DR15" s="20">
        <f t="shared" si="16"/>
        <v>79.130514295439681</v>
      </c>
      <c r="DS15" s="59">
        <f t="shared" si="17"/>
        <v>372.46384762877301</v>
      </c>
      <c r="DT15" s="59">
        <f ca="1">AVERAGE(OFFSET($DS$3,0,0,'Données projet'!$E$14+1,1))-AVERAGE(OFFSET($H$3,0,0,'Données projet'!$E$14+1,1))</f>
        <v>325.01961068962373</v>
      </c>
      <c r="DU15" s="59">
        <f t="shared" si="44"/>
        <v>155.12737608540039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2.4666666666666668</v>
      </c>
      <c r="EJ15" s="12">
        <f>IF('Données projet'!$A$192&gt;35,EJ14+EI15-ER14,IF(A15&lt;'Données projet'!$A$192,$EG$205^A15,IF(A15='Données projet'!$A$192,'Données projet'!$B$192,EJ14+EI15-ER14)))</f>
        <v>17.970550417308221</v>
      </c>
      <c r="EK15" s="17">
        <f>EJ15*VLOOKUP('Données projet'!$B$15,Paramètres!$A$1:$I$89,3,0)*VLOOKUP('Données projet'!$B$15,Paramètres!$A$1:$I$89,5,0)</f>
        <v>12.054645219930356</v>
      </c>
      <c r="EL15" s="13">
        <f t="shared" si="45"/>
        <v>4.1577667519253385</v>
      </c>
      <c r="EM15" s="20">
        <f t="shared" si="19"/>
        <v>28.236617517648664</v>
      </c>
      <c r="EN15" s="59">
        <f t="shared" si="20"/>
        <v>321.56995085098197</v>
      </c>
      <c r="EO15" s="59">
        <f ca="1">AVERAGE(OFFSET($EN$3,0,0,'Données projet'!$E$15+1,1))-AVERAGE(OFFSET($H$3,0,0,'Données projet'!$E$15+1,1))</f>
        <v>178.09619481964575</v>
      </c>
      <c r="EP15" s="59">
        <f t="shared" si="46"/>
        <v>178.65167777495174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2.4666666666666668</v>
      </c>
      <c r="FE15" s="12">
        <f>IF('Données projet'!$A$218&gt;35,FE14+FD15-FM14,IF(A15&lt;'Données projet'!$A$218,$FB$205^A15,IF(A15='Données projet'!$A$218,'Données projet'!$B$218,FE14+FD15-FM14)))</f>
        <v>17.970550417308221</v>
      </c>
      <c r="FF15" s="17">
        <f>FE15*VLOOKUP('Données projet'!$B$16,Paramètres!$A$1:$I$89,3,0)*VLOOKUP('Données projet'!$B$16,Paramètres!$A$1:$I$89,5,0)</f>
        <v>14.297369912010421</v>
      </c>
      <c r="FG15" s="13">
        <f t="shared" si="47"/>
        <v>4.8343312187127445</v>
      </c>
      <c r="FH15" s="20">
        <f t="shared" si="22"/>
        <v>33.321046136009507</v>
      </c>
      <c r="FI15" s="59">
        <f t="shared" si="23"/>
        <v>326.65437946934281</v>
      </c>
      <c r="FJ15" s="59">
        <f ca="1">AVERAGE(OFFSET($FI$3,0,0,'Données projet'!$E$16+1,1))-AVERAGE(OFFSET($H$3,0,0,'Données projet'!$E$16+1,1))</f>
        <v>219.43439115440339</v>
      </c>
      <c r="FK15" s="59">
        <f t="shared" si="48"/>
        <v>217.8880462742099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>
        <f>VLOOKUP(A15,'Données projet'!$A$243:$I$263,2,0)</f>
        <v>36</v>
      </c>
      <c r="FX15" s="12">
        <f>VLOOKUP(A15,'Données projet'!$A$243:$I$263,9,0)</f>
        <v>3</v>
      </c>
      <c r="FY15" s="12">
        <f t="array" ref="FY15">INDEX(FX:FX,MIN(IF(ISNUMBER(FX15:FX211),ROW(FX15:FX211),"")))</f>
        <v>3</v>
      </c>
      <c r="FZ15" s="12">
        <f>IF('Données projet'!$A$244&gt;35,FZ14+FY15-GH14,IF(A15&lt;'Données projet'!$A$244,$FW$205^A15,IF(A15='Données projet'!$A$244,'Données projet'!$B$244,FZ14+FY15-GH14)))</f>
        <v>36</v>
      </c>
      <c r="GA15" s="17">
        <f>FZ15*VLOOKUP('Données projet'!$B$17,Paramètres!$A$1:$I$89,3,0)*VLOOKUP('Données projet'!$B$17,Paramètres!$A$1:$I$89,5,0)</f>
        <v>21.528000000000002</v>
      </c>
      <c r="GB15" s="13">
        <f t="shared" si="49"/>
        <v>6.9405537312613621</v>
      </c>
      <c r="GC15" s="20">
        <f t="shared" si="25"/>
        <v>49.582731081946882</v>
      </c>
      <c r="GD15" s="59">
        <f t="shared" si="26"/>
        <v>342.91606441528018</v>
      </c>
      <c r="GE15" s="59">
        <f ca="1">AVERAGE(OFFSET($GD$3,0,0,'Données projet'!$E$17+1,1))-AVERAGE(OFFSET($H$3,0,0,'Données projet'!$E$17+1,1))</f>
        <v>191.77102466144095</v>
      </c>
      <c r="GF15" s="59">
        <f t="shared" si="50"/>
        <v>205.57161411620217</v>
      </c>
      <c r="GG15" s="15">
        <f>IF(ISNA(VLOOKUP(A15,'Données projet'!$A$243:$I$263,3,0)),0,VLOOKUP(A15,'Données projet'!$A$243:$I$263,3,0))</f>
        <v>1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0.27</v>
      </c>
      <c r="GK15" s="16">
        <f>IF(ISNA(VLOOKUP(A15,'Données projet'!$A$243:$I$263,7,0)),0%,VLOOKUP(A15,'Données projet'!$A$243:$I$263,7,0))</f>
        <v>0.4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17.26923076923077</v>
      </c>
      <c r="N16" s="13">
        <f>IF('Données projet'!$A$36&gt;35,N15+M16-V15,IF(A16&lt;'Données projet'!$A$36,$K$205^A16,IF(A16='Données projet'!$A$36,'Données projet'!$B$36,N15+M16-V15)))</f>
        <v>21.189620100417095</v>
      </c>
      <c r="O16" s="13">
        <f>N16*VLOOKUP('Données projet'!$B$9,Paramètres!$A$1:$I$89,3,0)*VLOOKUP('Données projet'!$B$9,Paramètres!$A$1:$I$89,5,0)</f>
        <v>12.230648721960748</v>
      </c>
      <c r="P16" s="13">
        <f t="shared" si="33"/>
        <v>4.2113606689176208</v>
      </c>
      <c r="Q16" s="20">
        <f t="shared" si="2"/>
        <v>28.636499689113155</v>
      </c>
      <c r="R16" s="59">
        <f t="shared" si="0"/>
        <v>321.96983302244649</v>
      </c>
      <c r="S16" s="59">
        <f ca="1">AVERAGE(OFFSET($R$3,0,0,'Données projet'!$E$9+1,1))-AVERAGE(OFFSET($H$3,0,0,'Données projet'!$E$9+1,1))</f>
        <v>84.31577618130467</v>
      </c>
      <c r="T16" s="59">
        <f t="shared" si="34"/>
        <v>527.2140904310653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</v>
      </c>
      <c r="AI16" s="13">
        <f>IF('Données projet'!$A$62&gt;35,AI15+AH16-AQ15,IF(A16&lt;'Données projet'!$A$62,$AF$205^A16,IF(A16='Données projet'!$A$62,'Données projet'!$B$62,AI15+AH16-AQ15)))</f>
        <v>39</v>
      </c>
      <c r="AJ16" s="13">
        <f>AI16*VLOOKUP('Données projet'!$B$10,Paramètres!$A$1:$I$89,3,0)*VLOOKUP('Données projet'!$B$10,Paramètres!$A$1:$I$89,5,0)</f>
        <v>35.287199999999999</v>
      </c>
      <c r="AK16" s="13">
        <f t="shared" si="35"/>
        <v>10.740552489323523</v>
      </c>
      <c r="AL16" s="20">
        <f t="shared" si="4"/>
        <v>80.165002252238452</v>
      </c>
      <c r="AM16" s="59">
        <f t="shared" si="5"/>
        <v>373.49833558557179</v>
      </c>
      <c r="AN16" s="59">
        <f ca="1">AVERAGE(OFFSET($AM$3,0,0,'Données projet'!$E$10+1,1))-AVERAGE(OFFSET($H$3,0,0,'Données projet'!$E$10+1,1))</f>
        <v>297.90790572649428</v>
      </c>
      <c r="AO16" s="59">
        <f t="shared" si="36"/>
        <v>142.96889776844506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</v>
      </c>
      <c r="BD16" s="12">
        <f>IF('Données projet'!$A$88&gt;35,BD15+BC16-BL15,IF(A16&lt;'Données projet'!$A$88,$BA$205^A16,IF(A16='Données projet'!$A$88,'Données projet'!$B$88,BD15+BC16-BL15)))</f>
        <v>39</v>
      </c>
      <c r="BE16" s="13">
        <f>BD16*VLOOKUP('Données projet'!$B$11,Paramètres!$A$1:$I$89,3,0)*VLOOKUP('Données projet'!$B$11,Paramètres!$A$1:$I$89,5,0)</f>
        <v>39.546000000000006</v>
      </c>
      <c r="BF16" s="13">
        <f t="shared" si="37"/>
        <v>11.878234330709192</v>
      </c>
      <c r="BG16" s="20">
        <f t="shared" si="7"/>
        <v>89.563874792651845</v>
      </c>
      <c r="BH16" s="59">
        <f t="shared" si="8"/>
        <v>382.89720812598517</v>
      </c>
      <c r="BI16" s="59">
        <f ca="1">AVERAGE(OFFSET($BH$3,0,0,'Données projet'!$E$11+1,1))-AVERAGE(OFFSET($H$3,0,0,'Données projet'!$E$11+1,1))</f>
        <v>345.3294887586967</v>
      </c>
      <c r="BJ16" s="59">
        <f t="shared" si="38"/>
        <v>164.23448598618114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5.5909090909090908</v>
      </c>
      <c r="BY16" s="12">
        <f>IF('Données projet'!$A$114&gt;35,BY15+BX16-CG15,IF(A16&lt;'Données projet'!$A$114,$BV$205^A16,IF(A16='Données projet'!$A$114,'Données projet'!$B$114,BY15+BX16-CG15)))</f>
        <v>17.17686607257264</v>
      </c>
      <c r="BZ16" s="13">
        <f>BY16*VLOOKUP('Données projet'!$B$12,Paramètres!$A$1:$I$89,3,0)*VLOOKUP('Données projet'!$B$12,Paramètres!$A$1:$I$89,5,0)</f>
        <v>10.27176591139844</v>
      </c>
      <c r="CA16" s="13">
        <f t="shared" si="39"/>
        <v>3.609455460548272</v>
      </c>
      <c r="CB16" s="20">
        <f t="shared" si="10"/>
        <v>24.176460556140523</v>
      </c>
      <c r="CC16" s="59">
        <f t="shared" si="11"/>
        <v>317.50979388947383</v>
      </c>
      <c r="CD16" s="59">
        <f ca="1">AVERAGE(OFFSET($CC$3,0,0,'Données projet'!$E$12+1,1))-AVERAGE(OFFSET($H$3,0,0,'Données projet'!$E$12+1,1))</f>
        <v>289.07218105343333</v>
      </c>
      <c r="CE16" s="59">
        <f t="shared" si="40"/>
        <v>217.57508587672368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6.85</v>
      </c>
      <c r="CT16" s="12">
        <f>IF('Données projet'!$A$140&gt;35,CT15+CS16-DB15,IF(A16&lt;'Données projet'!$A$140,$CQ$205^A16,IF(A16='Données projet'!$A$140,'Données projet'!$B$140,CT15+CS16-DB15)))</f>
        <v>24.483210619171274</v>
      </c>
      <c r="CU16" s="17">
        <f>CT16*VLOOKUP('Données projet'!$B$13,Paramètres!$A$1:$I$89,3,0)*VLOOKUP('Données projet'!$B$13,Paramètres!$A$1:$I$89,5,0)</f>
        <v>21.388532796908027</v>
      </c>
      <c r="CV16" s="13">
        <f t="shared" si="41"/>
        <v>6.900808745318975</v>
      </c>
      <c r="CW16" s="20">
        <f t="shared" si="13"/>
        <v>49.270603186045356</v>
      </c>
      <c r="CX16" s="59">
        <f t="shared" si="14"/>
        <v>342.60393651937869</v>
      </c>
      <c r="CY16" s="59">
        <f ca="1">AVERAGE(OFFSET($CX$3,0,0,'Données projet'!$E$13+1,1))-AVERAGE(OFFSET($H$3,0,0,'Données projet'!$E$13+1,1))</f>
        <v>237.8483058552178</v>
      </c>
      <c r="CZ16" s="59">
        <f t="shared" si="42"/>
        <v>313.36201272119723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</v>
      </c>
      <c r="DO16" s="12">
        <f>IF('Données projet'!$A$166&gt;35,DO15+DN16-DW15,IF(A16&lt;'Données projet'!$A$166,$DL$205^A16,IF(A16='Données projet'!$A$166,'Données projet'!$B$166,DO15+DN16-DW15)))</f>
        <v>39</v>
      </c>
      <c r="DP16" s="17">
        <f>DO16*VLOOKUP('Données projet'!$B$14,Paramètres!$A$1:$I$89,3,0)*VLOOKUP('Données projet'!$B$14,Paramètres!$A$1:$I$89,5,0)</f>
        <v>37.720800000000004</v>
      </c>
      <c r="DQ16" s="13">
        <f t="shared" si="43"/>
        <v>11.392497542838909</v>
      </c>
      <c r="DR16" s="20">
        <f t="shared" si="16"/>
        <v>85.538993220444425</v>
      </c>
      <c r="DS16" s="59">
        <f t="shared" si="17"/>
        <v>378.87232655377773</v>
      </c>
      <c r="DT16" s="59">
        <f ca="1">AVERAGE(OFFSET($DS$3,0,0,'Données projet'!$E$14+1,1))-AVERAGE(OFFSET($H$3,0,0,'Données projet'!$E$14+1,1))</f>
        <v>325.01961068962373</v>
      </c>
      <c r="DU16" s="59">
        <f t="shared" si="44"/>
        <v>155.12737608540039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2.4666666666666668</v>
      </c>
      <c r="EJ16" s="12">
        <f>IF('Données projet'!$A$192&gt;35,EJ15+EI16-ER15,IF(A16&lt;'Données projet'!$A$192,$EG$205^A16,IF(A16='Données projet'!$A$192,'Données projet'!$B$192,EJ15+EI16-ER15)))</f>
        <v>22.86168101684942</v>
      </c>
      <c r="EK16" s="17">
        <f>EJ16*VLOOKUP('Données projet'!$B$15,Paramètres!$A$1:$I$89,3,0)*VLOOKUP('Données projet'!$B$15,Paramètres!$A$1:$I$89,5,0)</f>
        <v>15.335615626102593</v>
      </c>
      <c r="EL16" s="13">
        <f t="shared" si="45"/>
        <v>5.143250278316402</v>
      </c>
      <c r="EM16" s="20">
        <f t="shared" si="19"/>
        <v>35.667358116863085</v>
      </c>
      <c r="EN16" s="59">
        <f t="shared" si="20"/>
        <v>329.00069145019643</v>
      </c>
      <c r="EO16" s="59">
        <f ca="1">AVERAGE(OFFSET($EN$3,0,0,'Données projet'!$E$15+1,1))-AVERAGE(OFFSET($H$3,0,0,'Données projet'!$E$15+1,1))</f>
        <v>178.09619481964575</v>
      </c>
      <c r="EP16" s="59">
        <f t="shared" si="46"/>
        <v>178.65167777495174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2.4666666666666668</v>
      </c>
      <c r="FE16" s="12">
        <f>IF('Données projet'!$A$218&gt;35,FE15+FD16-FM15,IF(A16&lt;'Données projet'!$A$218,$FB$205^A16,IF(A16='Données projet'!$A$218,'Données projet'!$B$218,FE15+FD16-FM15)))</f>
        <v>22.86168101684942</v>
      </c>
      <c r="FF16" s="17">
        <f>FE16*VLOOKUP('Données projet'!$B$16,Paramètres!$A$1:$I$89,3,0)*VLOOKUP('Données projet'!$B$16,Paramètres!$A$1:$I$89,5,0)</f>
        <v>18.188753417005401</v>
      </c>
      <c r="FG16" s="13">
        <f t="shared" si="47"/>
        <v>5.9801756254374139</v>
      </c>
      <c r="FH16" s="20">
        <f t="shared" si="22"/>
        <v>42.094218082254564</v>
      </c>
      <c r="FI16" s="59">
        <f t="shared" si="23"/>
        <v>335.42755141558786</v>
      </c>
      <c r="FJ16" s="59">
        <f ca="1">AVERAGE(OFFSET($FI$3,0,0,'Données projet'!$E$16+1,1))-AVERAGE(OFFSET($H$3,0,0,'Données projet'!$E$16+1,1))</f>
        <v>219.43439115440339</v>
      </c>
      <c r="FK16" s="59">
        <f t="shared" si="48"/>
        <v>217.8880462742099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11.25</v>
      </c>
      <c r="FZ16" s="12">
        <f>IF('Données projet'!$A$244&gt;35,FZ15+FY16-GH15,IF(A16&lt;'Données projet'!$A$244,$FW$205^A16,IF(A16='Données projet'!$A$244,'Données projet'!$B$244,FZ15+FY16-GH15)))</f>
        <v>47.25</v>
      </c>
      <c r="GA16" s="17">
        <f>FZ16*VLOOKUP('Données projet'!$B$17,Paramètres!$A$1:$I$89,3,0)*VLOOKUP('Données projet'!$B$17,Paramètres!$A$1:$I$89,5,0)</f>
        <v>28.255500000000001</v>
      </c>
      <c r="GB16" s="13">
        <f t="shared" si="49"/>
        <v>8.8256494369710552</v>
      </c>
      <c r="GC16" s="20">
        <f t="shared" si="25"/>
        <v>64.583001936057926</v>
      </c>
      <c r="GD16" s="59">
        <f t="shared" si="26"/>
        <v>357.91633526939125</v>
      </c>
      <c r="GE16" s="59">
        <f ca="1">AVERAGE(OFFSET($GD$3,0,0,'Données projet'!$E$17+1,1))-AVERAGE(OFFSET($H$3,0,0,'Données projet'!$E$17+1,1))</f>
        <v>191.77102466144095</v>
      </c>
      <c r="GF16" s="59">
        <f t="shared" si="50"/>
        <v>205.57161411620217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17.26923076923077</v>
      </c>
      <c r="N17" s="13">
        <f>IF('Données projet'!$A$36&gt;35,N16+M17-V16,IF(A17&lt;'Données projet'!$A$36,$K$205^A17,IF(A17='Données projet'!$A$36,'Données projet'!$B$36,N16+M17-V16)))</f>
        <v>26.79986739491191</v>
      </c>
      <c r="O17" s="13">
        <f>N17*VLOOKUP('Données projet'!$B$9,Paramètres!$A$1:$I$89,3,0)*VLOOKUP('Données projet'!$B$9,Paramètres!$A$1:$I$89,5,0)</f>
        <v>15.468883460343154</v>
      </c>
      <c r="P17" s="13">
        <f t="shared" si="33"/>
        <v>5.1827231290573383</v>
      </c>
      <c r="Q17" s="20">
        <f t="shared" si="2"/>
        <v>35.968214809872528</v>
      </c>
      <c r="R17" s="59">
        <f t="shared" si="0"/>
        <v>329.30154814320582</v>
      </c>
      <c r="S17" s="59">
        <f ca="1">AVERAGE(OFFSET($R$3,0,0,'Données projet'!$E$9+1,1))-AVERAGE(OFFSET($H$3,0,0,'Données projet'!$E$9+1,1))</f>
        <v>84.31577618130467</v>
      </c>
      <c r="T17" s="59">
        <f t="shared" si="34"/>
        <v>527.2140904310653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</v>
      </c>
      <c r="AI17" s="13">
        <f>IF('Données projet'!$A$62&gt;35,AI16+AH17-AQ16,IF(A17&lt;'Données projet'!$A$62,$AF$205^A17,IF(A17='Données projet'!$A$62,'Données projet'!$B$62,AI16+AH17-AQ16)))</f>
        <v>42</v>
      </c>
      <c r="AJ17" s="13">
        <f>AI17*VLOOKUP('Données projet'!$B$10,Paramètres!$A$1:$I$89,3,0)*VLOOKUP('Données projet'!$B$10,Paramètres!$A$1:$I$89,5,0)</f>
        <v>38.001600000000003</v>
      </c>
      <c r="AK17" s="13">
        <f t="shared" si="35"/>
        <v>11.467401227090512</v>
      </c>
      <c r="AL17" s="20">
        <f t="shared" si="4"/>
        <v>86.158510470515978</v>
      </c>
      <c r="AM17" s="59">
        <f t="shared" si="5"/>
        <v>379.49184380384929</v>
      </c>
      <c r="AN17" s="59">
        <f ca="1">AVERAGE(OFFSET($AM$3,0,0,'Données projet'!$E$10+1,1))-AVERAGE(OFFSET($H$3,0,0,'Données projet'!$E$10+1,1))</f>
        <v>297.90790572649428</v>
      </c>
      <c r="AO17" s="59">
        <f t="shared" si="36"/>
        <v>142.96889776844506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</v>
      </c>
      <c r="BD17" s="12">
        <f>IF('Données projet'!$A$88&gt;35,BD16+BC17-BL16,IF(A17&lt;'Données projet'!$A$88,$BA$205^A17,IF(A17='Données projet'!$A$88,'Données projet'!$B$88,BD16+BC17-BL16)))</f>
        <v>42</v>
      </c>
      <c r="BE17" s="13">
        <f>BD17*VLOOKUP('Données projet'!$B$11,Paramètres!$A$1:$I$89,3,0)*VLOOKUP('Données projet'!$B$11,Paramètres!$A$1:$I$89,5,0)</f>
        <v>42.588000000000001</v>
      </c>
      <c r="BF17" s="13">
        <f t="shared" si="37"/>
        <v>12.682073764365764</v>
      </c>
      <c r="BG17" s="20">
        <f t="shared" si="7"/>
        <v>96.262045139603686</v>
      </c>
      <c r="BH17" s="59">
        <f t="shared" si="8"/>
        <v>389.595378472937</v>
      </c>
      <c r="BI17" s="59">
        <f ca="1">AVERAGE(OFFSET($BH$3,0,0,'Données projet'!$E$11+1,1))-AVERAGE(OFFSET($H$3,0,0,'Données projet'!$E$11+1,1))</f>
        <v>345.3294887586967</v>
      </c>
      <c r="BJ17" s="59">
        <f t="shared" si="38"/>
        <v>164.23448598618114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5.5909090909090908</v>
      </c>
      <c r="BY17" s="12">
        <f>IF('Données projet'!$A$114&gt;35,BY16+BX17-CG16,IF(A17&lt;'Données projet'!$A$114,$BV$205^A17,IF(A17='Données projet'!$A$114,'Données projet'!$B$114,BY16+BX17-CG16)))</f>
        <v>21.376648512419013</v>
      </c>
      <c r="BZ17" s="13">
        <f>BY17*VLOOKUP('Données projet'!$B$12,Paramètres!$A$1:$I$89,3,0)*VLOOKUP('Données projet'!$B$12,Paramètres!$A$1:$I$89,5,0)</f>
        <v>12.783235810426572</v>
      </c>
      <c r="CA17" s="13">
        <f t="shared" si="39"/>
        <v>4.3790497183898731</v>
      </c>
      <c r="CB17" s="20">
        <f t="shared" si="10"/>
        <v>29.890980629355308</v>
      </c>
      <c r="CC17" s="59">
        <f t="shared" si="11"/>
        <v>323.2243139626886</v>
      </c>
      <c r="CD17" s="59">
        <f ca="1">AVERAGE(OFFSET($CC$3,0,0,'Données projet'!$E$12+1,1))-AVERAGE(OFFSET($H$3,0,0,'Données projet'!$E$12+1,1))</f>
        <v>289.07218105343333</v>
      </c>
      <c r="CE17" s="59">
        <f t="shared" si="40"/>
        <v>217.57508587672368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6.85</v>
      </c>
      <c r="CT17" s="12">
        <f>IF('Données projet'!$A$140&gt;35,CT16+CS17-DB16,IF(A17&lt;'Données projet'!$A$140,$CQ$205^A17,IF(A17='Données projet'!$A$140,'Données projet'!$B$140,CT16+CS17-DB16)))</f>
        <v>31.311537757693809</v>
      </c>
      <c r="CU17" s="17">
        <f>CT17*VLOOKUP('Données projet'!$B$13,Paramètres!$A$1:$I$89,3,0)*VLOOKUP('Données projet'!$B$13,Paramètres!$A$1:$I$89,5,0)</f>
        <v>27.353759385121315</v>
      </c>
      <c r="CV17" s="13">
        <f t="shared" si="41"/>
        <v>8.5763067447860024</v>
      </c>
      <c r="CW17" s="20">
        <f t="shared" si="13"/>
        <v>62.578198509588582</v>
      </c>
      <c r="CX17" s="59">
        <f t="shared" si="14"/>
        <v>355.91153184292187</v>
      </c>
      <c r="CY17" s="59">
        <f ca="1">AVERAGE(OFFSET($CX$3,0,0,'Données projet'!$E$13+1,1))-AVERAGE(OFFSET($H$3,0,0,'Données projet'!$E$13+1,1))</f>
        <v>237.8483058552178</v>
      </c>
      <c r="CZ17" s="59">
        <f t="shared" si="42"/>
        <v>313.36201272119723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</v>
      </c>
      <c r="DO17" s="12">
        <f>IF('Données projet'!$A$166&gt;35,DO16+DN17-DW16,IF(A17&lt;'Données projet'!$A$166,$DL$205^A17,IF(A17='Données projet'!$A$166,'Données projet'!$B$166,DO16+DN17-DW16)))</f>
        <v>42</v>
      </c>
      <c r="DP17" s="17">
        <f>DO17*VLOOKUP('Données projet'!$B$14,Paramètres!$A$1:$I$89,3,0)*VLOOKUP('Données projet'!$B$14,Paramètres!$A$1:$I$89,5,0)</f>
        <v>40.622399999999999</v>
      </c>
      <c r="DQ17" s="13">
        <f t="shared" si="43"/>
        <v>12.163465560290264</v>
      </c>
      <c r="DR17" s="20">
        <f t="shared" si="16"/>
        <v>91.935382517505545</v>
      </c>
      <c r="DS17" s="59">
        <f t="shared" si="17"/>
        <v>385.26871585083887</v>
      </c>
      <c r="DT17" s="59">
        <f ca="1">AVERAGE(OFFSET($DS$3,0,0,'Données projet'!$E$14+1,1))-AVERAGE(OFFSET($H$3,0,0,'Données projet'!$E$14+1,1))</f>
        <v>325.01961068962373</v>
      </c>
      <c r="DU17" s="59">
        <f t="shared" si="44"/>
        <v>155.12737608540039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2.4666666666666668</v>
      </c>
      <c r="EJ17" s="12">
        <f>IF('Données projet'!$A$192&gt;35,EJ16+EI17-ER16,IF(A17&lt;'Données projet'!$A$192,$EG$205^A17,IF(A17='Données projet'!$A$192,'Données projet'!$B$192,EJ16+EI17-ER16)))</f>
        <v>29.084054009429774</v>
      </c>
      <c r="EK17" s="17">
        <f>EJ17*VLOOKUP('Données projet'!$B$15,Paramètres!$A$1:$I$89,3,0)*VLOOKUP('Données projet'!$B$15,Paramètres!$A$1:$I$89,5,0)</f>
        <v>19.509583429525492</v>
      </c>
      <c r="EL17" s="13">
        <f t="shared" si="45"/>
        <v>6.3623153975994775</v>
      </c>
      <c r="EM17" s="20">
        <f t="shared" si="19"/>
        <v>45.060223790575982</v>
      </c>
      <c r="EN17" s="59">
        <f t="shared" si="20"/>
        <v>338.39355712390932</v>
      </c>
      <c r="EO17" s="59">
        <f ca="1">AVERAGE(OFFSET($EN$3,0,0,'Données projet'!$E$15+1,1))-AVERAGE(OFFSET($H$3,0,0,'Données projet'!$E$15+1,1))</f>
        <v>178.09619481964575</v>
      </c>
      <c r="EP17" s="59">
        <f t="shared" si="46"/>
        <v>178.65167777495174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2.4666666666666668</v>
      </c>
      <c r="FE17" s="12">
        <f>IF('Données projet'!$A$218&gt;35,FE16+FD17-FM16,IF(A17&lt;'Données projet'!$A$218,$FB$205^A17,IF(A17='Données projet'!$A$218,'Données projet'!$B$218,FE16+FD17-FM16)))</f>
        <v>29.084054009429774</v>
      </c>
      <c r="FF17" s="17">
        <f>FE17*VLOOKUP('Données projet'!$B$16,Paramètres!$A$1:$I$89,3,0)*VLOOKUP('Données projet'!$B$16,Paramètres!$A$1:$I$89,5,0)</f>
        <v>23.13927336990233</v>
      </c>
      <c r="FG17" s="13">
        <f t="shared" si="47"/>
        <v>7.3976107331343286</v>
      </c>
      <c r="FH17" s="20">
        <f t="shared" si="22"/>
        <v>53.185073146122171</v>
      </c>
      <c r="FI17" s="59">
        <f t="shared" si="23"/>
        <v>346.51840647945551</v>
      </c>
      <c r="FJ17" s="59">
        <f ca="1">AVERAGE(OFFSET($FI$3,0,0,'Données projet'!$E$16+1,1))-AVERAGE(OFFSET($H$3,0,0,'Données projet'!$E$16+1,1))</f>
        <v>219.43439115440339</v>
      </c>
      <c r="FK17" s="59">
        <f t="shared" si="48"/>
        <v>217.8880462742099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11.25</v>
      </c>
      <c r="FZ17" s="12">
        <f>IF('Données projet'!$A$244&gt;35,FZ16+FY17-GH16,IF(A17&lt;'Données projet'!$A$244,$FW$205^A17,IF(A17='Données projet'!$A$244,'Données projet'!$B$244,FZ16+FY17-GH16)))</f>
        <v>58.5</v>
      </c>
      <c r="GA17" s="17">
        <f>FZ17*VLOOKUP('Données projet'!$B$17,Paramètres!$A$1:$I$89,3,0)*VLOOKUP('Données projet'!$B$17,Paramètres!$A$1:$I$89,5,0)</f>
        <v>34.983000000000004</v>
      </c>
      <c r="GB17" s="13">
        <f t="shared" si="49"/>
        <v>10.658697928430266</v>
      </c>
      <c r="GC17" s="20">
        <f t="shared" si="25"/>
        <v>79.492623892016056</v>
      </c>
      <c r="GD17" s="59">
        <f t="shared" si="26"/>
        <v>372.82595722534938</v>
      </c>
      <c r="GE17" s="59">
        <f ca="1">AVERAGE(OFFSET($GD$3,0,0,'Données projet'!$E$17+1,1))-AVERAGE(OFFSET($H$3,0,0,'Données projet'!$E$17+1,1))</f>
        <v>191.77102466144095</v>
      </c>
      <c r="GF17" s="59">
        <f t="shared" si="50"/>
        <v>205.57161411620217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17.26923076923077</v>
      </c>
      <c r="N18" s="13">
        <f>IF('Données projet'!$A$36&gt;35,N17+M18-V17,IF(A18&lt;'Données projet'!$A$36,$K$205^A18,IF(A18='Données projet'!$A$36,'Données projet'!$B$36,N17+M18-V17)))</f>
        <v>33.895505864719347</v>
      </c>
      <c r="O18" s="13">
        <f>N18*VLOOKUP('Données projet'!$B$9,Paramètres!$A$1:$I$89,3,0)*VLOOKUP('Données projet'!$B$9,Paramètres!$A$1:$I$89,5,0)</f>
        <v>19.564485985116008</v>
      </c>
      <c r="P18" s="13">
        <f t="shared" si="33"/>
        <v>6.3781331365687661</v>
      </c>
      <c r="Q18" s="20">
        <f t="shared" si="2"/>
        <v>45.183394970267649</v>
      </c>
      <c r="R18" s="59">
        <f t="shared" si="0"/>
        <v>338.51672830360098</v>
      </c>
      <c r="S18" s="59">
        <f ca="1">AVERAGE(OFFSET($R$3,0,0,'Données projet'!$E$9+1,1))-AVERAGE(OFFSET($H$3,0,0,'Données projet'!$E$9+1,1))</f>
        <v>84.31577618130467</v>
      </c>
      <c r="T18" s="59">
        <f t="shared" si="34"/>
        <v>527.2140904310653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</v>
      </c>
      <c r="AI18" s="13">
        <f>IF('Données projet'!$A$62&gt;35,AI17+AH18-AQ17,IF(A18&lt;'Données projet'!$A$62,$AF$205^A18,IF(A18='Données projet'!$A$62,'Données projet'!$B$62,AI17+AH18-AQ17)))</f>
        <v>45</v>
      </c>
      <c r="AJ18" s="13">
        <f>AI18*VLOOKUP('Données projet'!$B$10,Paramètres!$A$1:$I$89,3,0)*VLOOKUP('Données projet'!$B$10,Paramètres!$A$1:$I$89,5,0)</f>
        <v>40.716000000000001</v>
      </c>
      <c r="AK18" s="13">
        <f t="shared" si="35"/>
        <v>12.188226385475176</v>
      </c>
      <c r="AL18" s="20">
        <f t="shared" si="4"/>
        <v>92.141527621369264</v>
      </c>
      <c r="AM18" s="59">
        <f t="shared" si="5"/>
        <v>385.47486095470259</v>
      </c>
      <c r="AN18" s="59">
        <f ca="1">AVERAGE(OFFSET($AM$3,0,0,'Données projet'!$E$10+1,1))-AVERAGE(OFFSET($H$3,0,0,'Données projet'!$E$10+1,1))</f>
        <v>297.90790572649428</v>
      </c>
      <c r="AO18" s="59">
        <f t="shared" si="36"/>
        <v>142.96889776844506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</v>
      </c>
      <c r="BD18" s="12">
        <f>IF('Données projet'!$A$88&gt;35,BD17+BC18-BL17,IF(A18&lt;'Données projet'!$A$88,$BA$205^A18,IF(A18='Données projet'!$A$88,'Données projet'!$B$88,BD17+BC18-BL17)))</f>
        <v>45</v>
      </c>
      <c r="BE18" s="13">
        <f>BD18*VLOOKUP('Données projet'!$B$11,Paramètres!$A$1:$I$89,3,0)*VLOOKUP('Données projet'!$B$11,Paramètres!$A$1:$I$89,5,0)</f>
        <v>45.63</v>
      </c>
      <c r="BF18" s="13">
        <f t="shared" si="37"/>
        <v>13.479251577264561</v>
      </c>
      <c r="BG18" s="20">
        <f t="shared" si="7"/>
        <v>102.94861316373577</v>
      </c>
      <c r="BH18" s="59">
        <f t="shared" si="8"/>
        <v>396.2819464970691</v>
      </c>
      <c r="BI18" s="59">
        <f ca="1">AVERAGE(OFFSET($BH$3,0,0,'Données projet'!$E$11+1,1))-AVERAGE(OFFSET($H$3,0,0,'Données projet'!$E$11+1,1))</f>
        <v>345.3294887586967</v>
      </c>
      <c r="BJ18" s="59">
        <f t="shared" si="38"/>
        <v>164.23448598618114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5.5909090909090908</v>
      </c>
      <c r="BY18" s="12">
        <f>IF('Données projet'!$A$114&gt;35,BY17+BX18-CG17,IF(A18&lt;'Données projet'!$A$114,$BV$205^A18,IF(A18='Données projet'!$A$114,'Données projet'!$B$114,BY17+BX18-CG17)))</f>
        <v>26.603287217402478</v>
      </c>
      <c r="BZ18" s="13">
        <f>BY18*VLOOKUP('Données projet'!$B$12,Paramètres!$A$1:$I$89,3,0)*VLOOKUP('Données projet'!$B$12,Paramètres!$A$1:$I$89,5,0)</f>
        <v>15.908765756006684</v>
      </c>
      <c r="CA18" s="13">
        <f t="shared" si="39"/>
        <v>5.312733913945455</v>
      </c>
      <c r="CB18" s="20">
        <f t="shared" si="10"/>
        <v>36.960778591833304</v>
      </c>
      <c r="CC18" s="59">
        <f t="shared" si="11"/>
        <v>330.29411192516659</v>
      </c>
      <c r="CD18" s="59">
        <f ca="1">AVERAGE(OFFSET($CC$3,0,0,'Données projet'!$E$12+1,1))-AVERAGE(OFFSET($H$3,0,0,'Données projet'!$E$12+1,1))</f>
        <v>289.07218105343333</v>
      </c>
      <c r="CE18" s="59">
        <f t="shared" si="40"/>
        <v>217.57508587672368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6.85</v>
      </c>
      <c r="CT18" s="12">
        <f>IF('Données projet'!$A$140&gt;35,CT17+CS18-DB17,IF(A18&lt;'Données projet'!$A$140,$CQ$205^A18,IF(A18='Données projet'!$A$140,'Données projet'!$B$140,CT17+CS18-DB17)))</f>
        <v>40.044274094664104</v>
      </c>
      <c r="CU18" s="17">
        <f>CT18*VLOOKUP('Données projet'!$B$13,Paramètres!$A$1:$I$89,3,0)*VLOOKUP('Données projet'!$B$13,Paramètres!$A$1:$I$89,5,0)</f>
        <v>34.982677849098565</v>
      </c>
      <c r="CV18" s="13">
        <f t="shared" si="41"/>
        <v>10.658611199818449</v>
      </c>
      <c r="CW18" s="20">
        <f t="shared" si="13"/>
        <v>79.491911760197141</v>
      </c>
      <c r="CX18" s="59">
        <f t="shared" si="14"/>
        <v>372.82524509353044</v>
      </c>
      <c r="CY18" s="59">
        <f ca="1">AVERAGE(OFFSET($CX$3,0,0,'Données projet'!$E$13+1,1))-AVERAGE(OFFSET($H$3,0,0,'Données projet'!$E$13+1,1))</f>
        <v>237.8483058552178</v>
      </c>
      <c r="CZ18" s="59">
        <f t="shared" si="42"/>
        <v>313.36201272119723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</v>
      </c>
      <c r="DO18" s="12">
        <f>IF('Données projet'!$A$166&gt;35,DO17+DN18-DW17,IF(A18&lt;'Données projet'!$A$166,$DL$205^A18,IF(A18='Données projet'!$A$166,'Données projet'!$B$166,DO17+DN18-DW17)))</f>
        <v>45</v>
      </c>
      <c r="DP18" s="17">
        <f>DO18*VLOOKUP('Données projet'!$B$14,Paramètres!$A$1:$I$89,3,0)*VLOOKUP('Données projet'!$B$14,Paramètres!$A$1:$I$89,5,0)</f>
        <v>43.524000000000001</v>
      </c>
      <c r="DQ18" s="13">
        <f t="shared" si="43"/>
        <v>12.92804437072639</v>
      </c>
      <c r="DR18" s="20">
        <f t="shared" si="16"/>
        <v>98.320643945681795</v>
      </c>
      <c r="DS18" s="59">
        <f t="shared" si="17"/>
        <v>391.65397727901512</v>
      </c>
      <c r="DT18" s="59">
        <f ca="1">AVERAGE(OFFSET($DS$3,0,0,'Données projet'!$E$14+1,1))-AVERAGE(OFFSET($H$3,0,0,'Données projet'!$E$14+1,1))</f>
        <v>325.01961068962373</v>
      </c>
      <c r="DU18" s="59">
        <f t="shared" si="44"/>
        <v>155.12737608540039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37</v>
      </c>
      <c r="EH18" s="12">
        <f>VLOOKUP(A18,'Données projet'!$A$191:$I$211,9,0)</f>
        <v>2.4666666666666668</v>
      </c>
      <c r="EI18" s="12">
        <f t="array" ref="EI18">INDEX(EH:EH,MIN(IF(ISNUMBER(EH18:EH214),ROW(EH18:EH214),"")))</f>
        <v>2.4666666666666668</v>
      </c>
      <c r="EJ18" s="12">
        <f>IF('Données projet'!$A$192&gt;35,EJ17+EI18-ER17,IF(A18&lt;'Données projet'!$A$192,$EG$205^A18,IF(A18='Données projet'!$A$192,'Données projet'!$B$192,EJ17+EI18-ER17)))</f>
        <v>37</v>
      </c>
      <c r="EK18" s="17">
        <f>EJ18*VLOOKUP('Données projet'!$B$15,Paramètres!$A$1:$I$89,3,0)*VLOOKUP('Données projet'!$B$15,Paramètres!$A$1:$I$89,5,0)</f>
        <v>24.819600000000001</v>
      </c>
      <c r="EL18" s="13">
        <f t="shared" si="45"/>
        <v>7.8703261611025228</v>
      </c>
      <c r="EM18" s="20">
        <f t="shared" si="19"/>
        <v>56.934954730586902</v>
      </c>
      <c r="EN18" s="59">
        <f t="shared" si="20"/>
        <v>350.26828806392024</v>
      </c>
      <c r="EO18" s="59">
        <f ca="1">AVERAGE(OFFSET($EN$3,0,0,'Données projet'!$E$15+1,1))-AVERAGE(OFFSET($H$3,0,0,'Données projet'!$E$15+1,1))</f>
        <v>178.09619481964575</v>
      </c>
      <c r="EP18" s="59">
        <f t="shared" si="46"/>
        <v>178.65167777495174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15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37</v>
      </c>
      <c r="FC18" s="12">
        <f>VLOOKUP(A18,'Données projet'!$A$217:$I$237,9,0)</f>
        <v>2.4666666666666668</v>
      </c>
      <c r="FD18" s="12">
        <f t="array" ref="FD18">INDEX(FC:FC,MIN(IF(ISNUMBER(FC18:FC214),ROW(FC18:FC214),"")))</f>
        <v>2.4666666666666668</v>
      </c>
      <c r="FE18" s="12">
        <f>IF('Données projet'!$A$218&gt;35,FE17+FD18-FM17,IF(A18&lt;'Données projet'!$A$218,$FB$205^A18,IF(A18='Données projet'!$A$218,'Données projet'!$B$218,FE17+FD18-FM17)))</f>
        <v>37</v>
      </c>
      <c r="FF18" s="17">
        <f>FE18*VLOOKUP('Données projet'!$B$16,Paramètres!$A$1:$I$89,3,0)*VLOOKUP('Données projet'!$B$16,Paramètres!$A$1:$I$89,5,0)</f>
        <v>29.437200000000004</v>
      </c>
      <c r="FG18" s="13">
        <f t="shared" si="47"/>
        <v>9.1510096001539196</v>
      </c>
      <c r="FH18" s="20">
        <f t="shared" si="22"/>
        <v>67.207798386934755</v>
      </c>
      <c r="FI18" s="59">
        <f t="shared" si="23"/>
        <v>360.54113172026808</v>
      </c>
      <c r="FJ18" s="59">
        <f ca="1">AVERAGE(OFFSET($FI$3,0,0,'Données projet'!$E$16+1,1))-AVERAGE(OFFSET($H$3,0,0,'Données projet'!$E$16+1,1))</f>
        <v>219.43439115440339</v>
      </c>
      <c r="FK18" s="59">
        <f t="shared" si="48"/>
        <v>217.8880462742099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15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11.25</v>
      </c>
      <c r="FZ18" s="12">
        <f>IF('Données projet'!$A$244&gt;35,FZ17+FY18-GH17,IF(A18&lt;'Données projet'!$A$244,$FW$205^A18,IF(A18='Données projet'!$A$244,'Données projet'!$B$244,FZ17+FY18-GH17)))</f>
        <v>69.75</v>
      </c>
      <c r="GA18" s="17">
        <f>FZ18*VLOOKUP('Données projet'!$B$17,Paramètres!$A$1:$I$89,3,0)*VLOOKUP('Données projet'!$B$17,Paramètres!$A$1:$I$89,5,0)</f>
        <v>41.710500000000003</v>
      </c>
      <c r="GB18" s="13">
        <f t="shared" si="49"/>
        <v>12.450904347349248</v>
      </c>
      <c r="GC18" s="20">
        <f t="shared" si="25"/>
        <v>94.331112571633255</v>
      </c>
      <c r="GD18" s="59">
        <f t="shared" si="26"/>
        <v>387.66444590496656</v>
      </c>
      <c r="GE18" s="59">
        <f ca="1">AVERAGE(OFFSET($GD$3,0,0,'Données projet'!$E$17+1,1))-AVERAGE(OFFSET($H$3,0,0,'Données projet'!$E$17+1,1))</f>
        <v>191.77102466144095</v>
      </c>
      <c r="GF18" s="59">
        <f t="shared" si="50"/>
        <v>205.57161411620217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17.26923076923077</v>
      </c>
      <c r="N19" s="13">
        <f>IF('Données projet'!$A$36&gt;35,N18+M19-V18,IF(A19&lt;'Données projet'!$A$36,$K$205^A19,IF(A19='Données projet'!$A$36,'Données projet'!$B$36,N18+M19-V18)))</f>
        <v>42.869813529127718</v>
      </c>
      <c r="O19" s="13">
        <f>N19*VLOOKUP('Données projet'!$B$9,Paramètres!$A$1:$I$89,3,0)*VLOOKUP('Données projet'!$B$9,Paramètres!$A$1:$I$89,5,0)</f>
        <v>24.744456369012518</v>
      </c>
      <c r="P19" s="13">
        <f t="shared" si="33"/>
        <v>7.8492679031449102</v>
      </c>
      <c r="Q19" s="20">
        <f t="shared" si="2"/>
        <v>56.767403107340861</v>
      </c>
      <c r="R19" s="59">
        <f t="shared" si="0"/>
        <v>350.10073644067415</v>
      </c>
      <c r="S19" s="59">
        <f ca="1">AVERAGE(OFFSET($R$3,0,0,'Données projet'!$E$9+1,1))-AVERAGE(OFFSET($H$3,0,0,'Données projet'!$E$9+1,1))</f>
        <v>84.31577618130467</v>
      </c>
      <c r="T19" s="59">
        <f t="shared" si="34"/>
        <v>527.2140904310653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</v>
      </c>
      <c r="AI19" s="13">
        <f>IF('Données projet'!$A$62&gt;35,AI18+AH19-AQ18,IF(A19&lt;'Données projet'!$A$62,$AF$205^A19,IF(A19='Données projet'!$A$62,'Données projet'!$B$62,AI18+AH19-AQ18)))</f>
        <v>48</v>
      </c>
      <c r="AJ19" s="13">
        <f>AI19*VLOOKUP('Données projet'!$B$10,Paramètres!$A$1:$I$89,3,0)*VLOOKUP('Données projet'!$B$10,Paramètres!$A$1:$I$89,5,0)</f>
        <v>43.430399999999999</v>
      </c>
      <c r="AK19" s="13">
        <f t="shared" si="35"/>
        <v>12.903475229013621</v>
      </c>
      <c r="AL19" s="20">
        <f t="shared" si="4"/>
        <v>98.114832690532054</v>
      </c>
      <c r="AM19" s="59">
        <f t="shared" si="5"/>
        <v>391.44816602386538</v>
      </c>
      <c r="AN19" s="59">
        <f ca="1">AVERAGE(OFFSET($AM$3,0,0,'Données projet'!$E$10+1,1))-AVERAGE(OFFSET($H$3,0,0,'Données projet'!$E$10+1,1))</f>
        <v>297.90790572649428</v>
      </c>
      <c r="AO19" s="59">
        <f t="shared" si="36"/>
        <v>142.96889776844506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</v>
      </c>
      <c r="BD19" s="12">
        <f>IF('Données projet'!$A$88&gt;35,BD18+BC19-BL18,IF(A19&lt;'Données projet'!$A$88,$BA$205^A19,IF(A19='Données projet'!$A$88,'Données projet'!$B$88,BD18+BC19-BL18)))</f>
        <v>48</v>
      </c>
      <c r="BE19" s="13">
        <f>BD19*VLOOKUP('Données projet'!$B$11,Paramètres!$A$1:$I$89,3,0)*VLOOKUP('Données projet'!$B$11,Paramètres!$A$1:$I$89,5,0)</f>
        <v>48.672000000000004</v>
      </c>
      <c r="BF19" s="13">
        <f t="shared" si="37"/>
        <v>14.270262409972053</v>
      </c>
      <c r="BG19" s="20">
        <f t="shared" si="7"/>
        <v>109.62444036403467</v>
      </c>
      <c r="BH19" s="59">
        <f t="shared" si="8"/>
        <v>402.957773697368</v>
      </c>
      <c r="BI19" s="59">
        <f ca="1">AVERAGE(OFFSET($BH$3,0,0,'Données projet'!$E$11+1,1))-AVERAGE(OFFSET($H$3,0,0,'Données projet'!$E$11+1,1))</f>
        <v>345.3294887586967</v>
      </c>
      <c r="BJ19" s="59">
        <f t="shared" si="38"/>
        <v>164.23448598618114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5.5909090909090908</v>
      </c>
      <c r="BY19" s="12">
        <f>IF('Données projet'!$A$114&gt;35,BY18+BX19-CG18,IF(A19&lt;'Données projet'!$A$114,$BV$205^A19,IF(A19='Données projet'!$A$114,'Données projet'!$B$114,BY18+BX19-CG18)))</f>
        <v>33.107850856996748</v>
      </c>
      <c r="BZ19" s="13">
        <f>BY19*VLOOKUP('Données projet'!$B$12,Paramètres!$A$1:$I$89,3,0)*VLOOKUP('Données projet'!$B$12,Paramètres!$A$1:$I$89,5,0)</f>
        <v>19.798494812484059</v>
      </c>
      <c r="CA19" s="13">
        <f t="shared" si="39"/>
        <v>6.4454946747588586</v>
      </c>
      <c r="CB19" s="20">
        <f t="shared" si="10"/>
        <v>45.70828169028141</v>
      </c>
      <c r="CC19" s="59">
        <f t="shared" si="11"/>
        <v>339.04161502361472</v>
      </c>
      <c r="CD19" s="59">
        <f ca="1">AVERAGE(OFFSET($CC$3,0,0,'Données projet'!$E$12+1,1))-AVERAGE(OFFSET($H$3,0,0,'Données projet'!$E$12+1,1))</f>
        <v>289.07218105343333</v>
      </c>
      <c r="CE19" s="59">
        <f t="shared" si="40"/>
        <v>217.57508587672368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6.85</v>
      </c>
      <c r="CT19" s="12">
        <f>IF('Données projet'!$A$140&gt;35,CT18+CS19-DB18,IF(A19&lt;'Données projet'!$A$140,$CQ$205^A19,IF(A19='Données projet'!$A$140,'Données projet'!$B$140,CT18+CS19-DB18)))</f>
        <v>51.212556220576126</v>
      </c>
      <c r="CU19" s="17">
        <f>CT19*VLOOKUP('Données projet'!$B$13,Paramètres!$A$1:$I$89,3,0)*VLOOKUP('Données projet'!$B$13,Paramètres!$A$1:$I$89,5,0)</f>
        <v>44.73928911429531</v>
      </c>
      <c r="CV19" s="13">
        <f t="shared" si="41"/>
        <v>13.246493635265834</v>
      </c>
      <c r="CW19" s="20">
        <f t="shared" si="13"/>
        <v>100.99190495548567</v>
      </c>
      <c r="CX19" s="59">
        <f t="shared" si="14"/>
        <v>394.32523828881898</v>
      </c>
      <c r="CY19" s="59">
        <f ca="1">AVERAGE(OFFSET($CX$3,0,0,'Données projet'!$E$13+1,1))-AVERAGE(OFFSET($H$3,0,0,'Données projet'!$E$13+1,1))</f>
        <v>237.8483058552178</v>
      </c>
      <c r="CZ19" s="59">
        <f t="shared" si="42"/>
        <v>313.36201272119723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</v>
      </c>
      <c r="DO19" s="12">
        <f>IF('Données projet'!$A$166&gt;35,DO18+DN19-DW18,IF(A19&lt;'Données projet'!$A$166,$DL$205^A19,IF(A19='Données projet'!$A$166,'Données projet'!$B$166,DO18+DN19-DW18)))</f>
        <v>48</v>
      </c>
      <c r="DP19" s="17">
        <f>DO19*VLOOKUP('Données projet'!$B$14,Paramètres!$A$1:$I$89,3,0)*VLOOKUP('Données projet'!$B$14,Paramètres!$A$1:$I$89,5,0)</f>
        <v>46.425599999999996</v>
      </c>
      <c r="DQ19" s="13">
        <f t="shared" si="43"/>
        <v>13.686708387370782</v>
      </c>
      <c r="DR19" s="20">
        <f t="shared" si="16"/>
        <v>104.69560377467076</v>
      </c>
      <c r="DS19" s="59">
        <f t="shared" si="17"/>
        <v>398.02893710800407</v>
      </c>
      <c r="DT19" s="59">
        <f ca="1">AVERAGE(OFFSET($DS$3,0,0,'Données projet'!$E$14+1,1))-AVERAGE(OFFSET($H$3,0,0,'Données projet'!$E$14+1,1))</f>
        <v>325.01961068962373</v>
      </c>
      <c r="DU19" s="59">
        <f t="shared" si="44"/>
        <v>155.12737608540039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11.6</v>
      </c>
      <c r="EJ19" s="12">
        <f>IF('Données projet'!$A$192&gt;35,EJ18+EI19-ER18,IF(A19&lt;'Données projet'!$A$192,$EG$205^A19,IF(A19='Données projet'!$A$192,'Données projet'!$B$192,EJ18+EI19-ER18)))</f>
        <v>33.6</v>
      </c>
      <c r="EK19" s="17">
        <f>EJ19*VLOOKUP('Données projet'!$B$15,Paramètres!$A$1:$I$89,3,0)*VLOOKUP('Données projet'!$B$15,Paramètres!$A$1:$I$89,5,0)</f>
        <v>22.538880000000002</v>
      </c>
      <c r="EL19" s="13">
        <f t="shared" si="45"/>
        <v>7.2277491753928942</v>
      </c>
      <c r="EM19" s="20">
        <f t="shared" si="19"/>
        <v>51.843545813809293</v>
      </c>
      <c r="EN19" s="59">
        <f t="shared" si="20"/>
        <v>345.17687914714259</v>
      </c>
      <c r="EO19" s="59">
        <f ca="1">AVERAGE(OFFSET($EN$3,0,0,'Données projet'!$E$15+1,1))-AVERAGE(OFFSET($H$3,0,0,'Données projet'!$E$15+1,1))</f>
        <v>178.09619481964575</v>
      </c>
      <c r="EP19" s="59">
        <f t="shared" si="46"/>
        <v>178.65167777495174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11.6</v>
      </c>
      <c r="FE19" s="12">
        <f>IF('Données projet'!$A$218&gt;35,FE18+FD19-FM18,IF(A19&lt;'Données projet'!$A$218,$FB$205^A19,IF(A19='Données projet'!$A$218,'Données projet'!$B$218,FE18+FD19-FM18)))</f>
        <v>33.6</v>
      </c>
      <c r="FF19" s="17">
        <f>FE19*VLOOKUP('Données projet'!$B$16,Paramètres!$A$1:$I$89,3,0)*VLOOKUP('Données projet'!$B$16,Paramètres!$A$1:$I$89,5,0)</f>
        <v>26.732160000000004</v>
      </c>
      <c r="FG19" s="13">
        <f t="shared" si="47"/>
        <v>8.4038705306032053</v>
      </c>
      <c r="FH19" s="20">
        <f t="shared" si="22"/>
        <v>61.195253174133917</v>
      </c>
      <c r="FI19" s="59">
        <f t="shared" si="23"/>
        <v>354.52858650746725</v>
      </c>
      <c r="FJ19" s="59">
        <f ca="1">AVERAGE(OFFSET($FI$3,0,0,'Données projet'!$E$16+1,1))-AVERAGE(OFFSET($H$3,0,0,'Données projet'!$E$16+1,1))</f>
        <v>219.43439115440339</v>
      </c>
      <c r="FK19" s="59">
        <f t="shared" si="48"/>
        <v>217.8880462742099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>
        <f>VLOOKUP(A19,'Données projet'!$A$243:$I$263,2,0)</f>
        <v>81</v>
      </c>
      <c r="FX19" s="12">
        <f>VLOOKUP(A19,'Données projet'!$A$243:$I$263,9,0)</f>
        <v>11.25</v>
      </c>
      <c r="FY19" s="12">
        <f t="array" ref="FY19">INDEX(FX:FX,MIN(IF(ISNUMBER(FX19:FX215),ROW(FX19:FX215),"")))</f>
        <v>11.25</v>
      </c>
      <c r="FZ19" s="12">
        <f>IF('Données projet'!$A$244&gt;35,FZ18+FY19-GH18,IF(A19&lt;'Données projet'!$A$244,$FW$205^A19,IF(A19='Données projet'!$A$244,'Données projet'!$B$244,FZ18+FY19-GH18)))</f>
        <v>81</v>
      </c>
      <c r="GA19" s="17">
        <f>FZ19*VLOOKUP('Données projet'!$B$17,Paramètres!$A$1:$I$89,3,0)*VLOOKUP('Données projet'!$B$17,Paramètres!$A$1:$I$89,5,0)</f>
        <v>48.438000000000009</v>
      </c>
      <c r="GB19" s="13">
        <f t="shared" si="49"/>
        <v>14.209624244846971</v>
      </c>
      <c r="GC19" s="20">
        <f t="shared" si="25"/>
        <v>109.11127889310849</v>
      </c>
      <c r="GD19" s="59">
        <f t="shared" si="26"/>
        <v>402.44461222644179</v>
      </c>
      <c r="GE19" s="59">
        <f ca="1">AVERAGE(OFFSET($GD$3,0,0,'Données projet'!$E$17+1,1))-AVERAGE(OFFSET($H$3,0,0,'Données projet'!$E$17+1,1))</f>
        <v>191.77102466144095</v>
      </c>
      <c r="GF19" s="59">
        <f t="shared" si="50"/>
        <v>205.57161411620217</v>
      </c>
      <c r="GG19" s="15">
        <f>IF(ISNA(VLOOKUP(A19,'Données projet'!$A$243:$I$263,3,0)),0,VLOOKUP(A19,'Données projet'!$A$243:$I$263,3,0))</f>
        <v>2</v>
      </c>
      <c r="GH19" s="15">
        <f>IF(ISNA(VLOOKUP(A19,'Données projet'!$A$243:$I$263,4,0)),0,VLOOKUP(A19,'Données projet'!$A$243:$I$263,4,0))</f>
        <v>15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0.27</v>
      </c>
      <c r="GK19" s="16">
        <f>IF(ISNA(VLOOKUP(A19,'Données projet'!$A$243:$I$263,7,0)),0%,VLOOKUP(A19,'Données projet'!$A$243:$I$263,7,0))</f>
        <v>0.4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3.200156411441915</v>
      </c>
      <c r="GN19" s="21">
        <f>EXP(-LN(2)/2)*GN18+(1-EXP(-LN(2)/2))/(LN(2)/2)*GH19*GK19*VLOOKUP('Données projet'!$B$17,Paramètres!$A$1:$I$89,3,0)*0.475*44/12</f>
        <v>4.0624494835249605</v>
      </c>
      <c r="GO19" s="21">
        <f t="shared" si="27"/>
        <v>7.2626058949668755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17.26923076923077</v>
      </c>
      <c r="N20" s="13">
        <f>IF('Données projet'!$A$36&gt;35,N19+M20-V19,IF(A20&lt;'Données projet'!$A$36,$K$205^A20,IF(A20='Données projet'!$A$36,'Données projet'!$B$36,N19+M20-V19)))</f>
        <v>54.2201942451346</v>
      </c>
      <c r="O20" s="13">
        <f>N20*VLOOKUP('Données projet'!$B$9,Paramètres!$A$1:$I$89,3,0)*VLOOKUP('Données projet'!$B$9,Paramètres!$A$1:$I$89,5,0)</f>
        <v>31.29589611829169</v>
      </c>
      <c r="P20" s="13">
        <f t="shared" si="33"/>
        <v>9.6597241381018986</v>
      </c>
      <c r="Q20" s="20">
        <f t="shared" si="2"/>
        <v>71.331038613218823</v>
      </c>
      <c r="R20" s="59">
        <f t="shared" si="0"/>
        <v>364.66437194655214</v>
      </c>
      <c r="S20" s="59">
        <f ca="1">AVERAGE(OFFSET($R$3,0,0,'Données projet'!$E$9+1,1))-AVERAGE(OFFSET($H$3,0,0,'Données projet'!$E$9+1,1))</f>
        <v>84.31577618130467</v>
      </c>
      <c r="T20" s="59">
        <f t="shared" si="34"/>
        <v>527.2140904310653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</v>
      </c>
      <c r="AI20" s="13">
        <f>IF('Données projet'!$A$62&gt;35,AI19+AH20-AQ19,IF(A20&lt;'Données projet'!$A$62,$AF$205^A20,IF(A20='Données projet'!$A$62,'Données projet'!$B$62,AI19+AH20-AQ19)))</f>
        <v>51</v>
      </c>
      <c r="AJ20" s="13">
        <f>AI20*VLOOKUP('Données projet'!$B$10,Paramètres!$A$1:$I$89,3,0)*VLOOKUP('Données projet'!$B$10,Paramètres!$A$1:$I$89,5,0)</f>
        <v>46.144799999999996</v>
      </c>
      <c r="AK20" s="13">
        <f t="shared" si="35"/>
        <v>13.613535954240801</v>
      </c>
      <c r="AL20" s="20">
        <f t="shared" si="4"/>
        <v>104.07910178696937</v>
      </c>
      <c r="AM20" s="59">
        <f t="shared" si="5"/>
        <v>397.41243512030269</v>
      </c>
      <c r="AN20" s="59">
        <f ca="1">AVERAGE(OFFSET($AM$3,0,0,'Données projet'!$E$10+1,1))-AVERAGE(OFFSET($H$3,0,0,'Données projet'!$E$10+1,1))</f>
        <v>297.90790572649428</v>
      </c>
      <c r="AO20" s="59">
        <f t="shared" si="36"/>
        <v>142.96889776844506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</v>
      </c>
      <c r="BD20" s="12">
        <f>IF('Données projet'!$A$88&gt;35,BD19+BC20-BL19,IF(A20&lt;'Données projet'!$A$88,$BA$205^A20,IF(A20='Données projet'!$A$88,'Données projet'!$B$88,BD19+BC20-BL19)))</f>
        <v>51</v>
      </c>
      <c r="BE20" s="13">
        <f>BD20*VLOOKUP('Données projet'!$B$11,Paramètres!$A$1:$I$89,3,0)*VLOOKUP('Données projet'!$B$11,Paramètres!$A$1:$I$89,5,0)</f>
        <v>51.713999999999999</v>
      </c>
      <c r="BF20" s="13">
        <f t="shared" si="37"/>
        <v>15.055535578337075</v>
      </c>
      <c r="BG20" s="20">
        <f t="shared" si="7"/>
        <v>116.29027446560372</v>
      </c>
      <c r="BH20" s="59">
        <f t="shared" si="8"/>
        <v>409.62360779893703</v>
      </c>
      <c r="BI20" s="59">
        <f ca="1">AVERAGE(OFFSET($BH$3,0,0,'Données projet'!$E$11+1,1))-AVERAGE(OFFSET($H$3,0,0,'Données projet'!$E$11+1,1))</f>
        <v>345.3294887586967</v>
      </c>
      <c r="BJ20" s="59">
        <f t="shared" si="38"/>
        <v>164.23448598618114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5.5909090909090908</v>
      </c>
      <c r="BY20" s="12">
        <f>IF('Données projet'!$A$114&gt;35,BY19+BX20-CG19,IF(A20&lt;'Données projet'!$A$114,$BV$205^A20,IF(A20='Données projet'!$A$114,'Données projet'!$B$114,BY19+BX20-CG19)))</f>
        <v>41.202794955809431</v>
      </c>
      <c r="BZ20" s="13">
        <f>BY20*VLOOKUP('Données projet'!$B$12,Paramètres!$A$1:$I$89,3,0)*VLOOKUP('Données projet'!$B$12,Paramètres!$A$1:$I$89,5,0)</f>
        <v>24.639271383574041</v>
      </c>
      <c r="CA20" s="13">
        <f t="shared" si="39"/>
        <v>7.8197783429910519</v>
      </c>
      <c r="CB20" s="20">
        <f t="shared" si="10"/>
        <v>56.532844940434195</v>
      </c>
      <c r="CC20" s="59">
        <f t="shared" si="11"/>
        <v>349.8661782737675</v>
      </c>
      <c r="CD20" s="59">
        <f ca="1">AVERAGE(OFFSET($CC$3,0,0,'Données projet'!$E$12+1,1))-AVERAGE(OFFSET($H$3,0,0,'Données projet'!$E$12+1,1))</f>
        <v>289.07218105343333</v>
      </c>
      <c r="CE20" s="59">
        <f t="shared" si="40"/>
        <v>217.57508587672368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6.85</v>
      </c>
      <c r="CT20" s="12">
        <f>IF('Données projet'!$A$140&gt;35,CT19+CS20-DB19,IF(A20&lt;'Données projet'!$A$140,$CQ$205^A20,IF(A20='Données projet'!$A$140,'Données projet'!$B$140,CT19+CS20-DB19)))</f>
        <v>65.495653846679389</v>
      </c>
      <c r="CU20" s="17">
        <f>CT20*VLOOKUP('Données projet'!$B$13,Paramètres!$A$1:$I$89,3,0)*VLOOKUP('Données projet'!$B$13,Paramètres!$A$1:$I$89,5,0)</f>
        <v>57.217003200459125</v>
      </c>
      <c r="CV20" s="13">
        <f t="shared" si="41"/>
        <v>16.462707039368052</v>
      </c>
      <c r="CW20" s="20">
        <f t="shared" si="13"/>
        <v>128.32549533436566</v>
      </c>
      <c r="CX20" s="59">
        <f t="shared" si="14"/>
        <v>421.65882866769897</v>
      </c>
      <c r="CY20" s="59">
        <f ca="1">AVERAGE(OFFSET($CX$3,0,0,'Données projet'!$E$13+1,1))-AVERAGE(OFFSET($H$3,0,0,'Données projet'!$E$13+1,1))</f>
        <v>237.8483058552178</v>
      </c>
      <c r="CZ20" s="59">
        <f t="shared" si="42"/>
        <v>313.36201272119723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</v>
      </c>
      <c r="DO20" s="12">
        <f>IF('Données projet'!$A$166&gt;35,DO19+DN20-DW19,IF(A20&lt;'Données projet'!$A$166,$DL$205^A20,IF(A20='Données projet'!$A$166,'Données projet'!$B$166,DO19+DN20-DW19)))</f>
        <v>51</v>
      </c>
      <c r="DP20" s="17">
        <f>DO20*VLOOKUP('Données projet'!$B$14,Paramètres!$A$1:$I$89,3,0)*VLOOKUP('Données projet'!$B$14,Paramètres!$A$1:$I$89,5,0)</f>
        <v>49.327200000000005</v>
      </c>
      <c r="DQ20" s="13">
        <f t="shared" si="43"/>
        <v>14.439869370053771</v>
      </c>
      <c r="DR20" s="20">
        <f t="shared" si="16"/>
        <v>111.06097915284364</v>
      </c>
      <c r="DS20" s="59">
        <f t="shared" si="17"/>
        <v>404.39431248617694</v>
      </c>
      <c r="DT20" s="59">
        <f ca="1">AVERAGE(OFFSET($DS$3,0,0,'Données projet'!$E$14+1,1))-AVERAGE(OFFSET($H$3,0,0,'Données projet'!$E$14+1,1))</f>
        <v>325.01961068962373</v>
      </c>
      <c r="DU20" s="59">
        <f t="shared" si="44"/>
        <v>155.12737608540039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11.6</v>
      </c>
      <c r="EJ20" s="12">
        <f>IF('Données projet'!$A$192&gt;35,EJ19+EI20-ER19,IF(A20&lt;'Données projet'!$A$192,$EG$205^A20,IF(A20='Données projet'!$A$192,'Données projet'!$B$192,EJ19+EI20-ER19)))</f>
        <v>45.2</v>
      </c>
      <c r="EK20" s="17">
        <f>EJ20*VLOOKUP('Données projet'!$B$15,Paramètres!$A$1:$I$89,3,0)*VLOOKUP('Données projet'!$B$15,Paramètres!$A$1:$I$89,5,0)</f>
        <v>30.320160000000001</v>
      </c>
      <c r="EL20" s="13">
        <f t="shared" si="45"/>
        <v>9.3931229783965158</v>
      </c>
      <c r="EM20" s="20">
        <f t="shared" si="19"/>
        <v>69.167301187373923</v>
      </c>
      <c r="EN20" s="59">
        <f t="shared" si="20"/>
        <v>362.50063452070725</v>
      </c>
      <c r="EO20" s="59">
        <f ca="1">AVERAGE(OFFSET($EN$3,0,0,'Données projet'!$E$15+1,1))-AVERAGE(OFFSET($H$3,0,0,'Données projet'!$E$15+1,1))</f>
        <v>178.09619481964575</v>
      </c>
      <c r="EP20" s="59">
        <f t="shared" si="46"/>
        <v>178.65167777495174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11.6</v>
      </c>
      <c r="FE20" s="12">
        <f>IF('Données projet'!$A$218&gt;35,FE19+FD20-FM19,IF(A20&lt;'Données projet'!$A$218,$FB$205^A20,IF(A20='Données projet'!$A$218,'Données projet'!$B$218,FE19+FD20-FM19)))</f>
        <v>45.2</v>
      </c>
      <c r="FF20" s="17">
        <f>FE20*VLOOKUP('Données projet'!$B$16,Paramètres!$A$1:$I$89,3,0)*VLOOKUP('Données projet'!$B$16,Paramètres!$A$1:$I$89,5,0)</f>
        <v>35.961120000000008</v>
      </c>
      <c r="FG20" s="13">
        <f t="shared" si="47"/>
        <v>10.921600552662685</v>
      </c>
      <c r="FH20" s="20">
        <f t="shared" si="22"/>
        <v>81.654071629220851</v>
      </c>
      <c r="FI20" s="59">
        <f t="shared" si="23"/>
        <v>374.98740496255414</v>
      </c>
      <c r="FJ20" s="59">
        <f ca="1">AVERAGE(OFFSET($FI$3,0,0,'Données projet'!$E$16+1,1))-AVERAGE(OFFSET($H$3,0,0,'Données projet'!$E$16+1,1))</f>
        <v>219.43439115440339</v>
      </c>
      <c r="FK20" s="59">
        <f t="shared" si="48"/>
        <v>217.8880462742099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13.25</v>
      </c>
      <c r="FZ20" s="12">
        <f>IF('Données projet'!$A$244&gt;35,FZ19+FY20-GH19,IF(A20&lt;'Données projet'!$A$244,$FW$205^A20,IF(A20='Données projet'!$A$244,'Données projet'!$B$244,FZ19+FY20-GH19)))</f>
        <v>79.25</v>
      </c>
      <c r="GA20" s="17">
        <f>FZ20*VLOOKUP('Données projet'!$B$17,Paramètres!$A$1:$I$89,3,0)*VLOOKUP('Données projet'!$B$17,Paramètres!$A$1:$I$89,5,0)</f>
        <v>47.391500000000001</v>
      </c>
      <c r="GB20" s="13">
        <f t="shared" si="49"/>
        <v>13.938016900926096</v>
      </c>
      <c r="GC20" s="20">
        <f t="shared" si="25"/>
        <v>106.81557526911295</v>
      </c>
      <c r="GD20" s="59">
        <f t="shared" si="26"/>
        <v>400.14890860244628</v>
      </c>
      <c r="GE20" s="59">
        <f ca="1">AVERAGE(OFFSET($GD$3,0,0,'Données projet'!$E$17+1,1))-AVERAGE(OFFSET($H$3,0,0,'Données projet'!$E$17+1,1))</f>
        <v>191.77102466144095</v>
      </c>
      <c r="GF20" s="59">
        <f t="shared" si="50"/>
        <v>205.57161411620217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3.112647966082124</v>
      </c>
      <c r="GN20" s="21">
        <f>EXP(-LN(2)/2)*GN19+(1-EXP(-LN(2)/2))/(LN(2)/2)*GH20*GK20*VLOOKUP('Données projet'!$B$17,Paramètres!$A$1:$I$89,3,0)*0.475*44/12</f>
        <v>2.8725855780282874</v>
      </c>
      <c r="GO20" s="21">
        <f t="shared" si="27"/>
        <v>5.985233544110411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17.26923076923077</v>
      </c>
      <c r="N21" s="13">
        <f>IF('Données projet'!$A$36&gt;35,N20+M21-V20,IF(A21&lt;'Données projet'!$A$36,$K$205^A21,IF(A21='Données projet'!$A$36,'Données projet'!$B$36,N20+M21-V20)))</f>
        <v>68.575746474443434</v>
      </c>
      <c r="O21" s="13">
        <f>N21*VLOOKUP('Données projet'!$B$9,Paramètres!$A$1:$I$89,3,0)*VLOOKUP('Données projet'!$B$9,Paramètres!$A$1:$I$89,5,0)</f>
        <v>39.581920865048751</v>
      </c>
      <c r="P21" s="13">
        <f t="shared" si="33"/>
        <v>11.887767314814493</v>
      </c>
      <c r="Q21" s="20">
        <f t="shared" si="2"/>
        <v>89.643040246595135</v>
      </c>
      <c r="R21" s="59">
        <f t="shared" si="0"/>
        <v>382.97637357992846</v>
      </c>
      <c r="S21" s="59">
        <f ca="1">AVERAGE(OFFSET($R$3,0,0,'Données projet'!$E$9+1,1))-AVERAGE(OFFSET($H$3,0,0,'Données projet'!$E$9+1,1))</f>
        <v>84.31577618130467</v>
      </c>
      <c r="T21" s="59">
        <f t="shared" si="34"/>
        <v>527.2140904310653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</v>
      </c>
      <c r="AI21" s="13">
        <f>IF('Données projet'!$A$62&gt;35,AI20+AH21-AQ20,IF(A21&lt;'Données projet'!$A$62,$AF$205^A21,IF(A21='Données projet'!$A$62,'Données projet'!$B$62,AI20+AH21-AQ20)))</f>
        <v>54</v>
      </c>
      <c r="AJ21" s="13">
        <f>AI21*VLOOKUP('Données projet'!$B$10,Paramètres!$A$1:$I$89,3,0)*VLOOKUP('Données projet'!$B$10,Paramètres!$A$1:$I$89,5,0)</f>
        <v>48.859199999999994</v>
      </c>
      <c r="AK21" s="13">
        <f t="shared" si="35"/>
        <v>14.318748507569314</v>
      </c>
      <c r="AL21" s="20">
        <f t="shared" si="4"/>
        <v>110.03492698401654</v>
      </c>
      <c r="AM21" s="59">
        <f t="shared" si="5"/>
        <v>403.36826031734984</v>
      </c>
      <c r="AN21" s="59">
        <f ca="1">AVERAGE(OFFSET($AM$3,0,0,'Données projet'!$E$10+1,1))-AVERAGE(OFFSET($H$3,0,0,'Données projet'!$E$10+1,1))</f>
        <v>297.90790572649428</v>
      </c>
      <c r="AO21" s="59">
        <f t="shared" si="36"/>
        <v>142.96889776844506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</v>
      </c>
      <c r="BD21" s="12">
        <f>IF('Données projet'!$A$88&gt;35,BD20+BC21-BL20,IF(A21&lt;'Données projet'!$A$88,$BA$205^A21,IF(A21='Données projet'!$A$88,'Données projet'!$B$88,BD20+BC21-BL20)))</f>
        <v>54</v>
      </c>
      <c r="BE21" s="13">
        <f>BD21*VLOOKUP('Données projet'!$B$11,Paramètres!$A$1:$I$89,3,0)*VLOOKUP('Données projet'!$B$11,Paramètres!$A$1:$I$89,5,0)</f>
        <v>54.756000000000007</v>
      </c>
      <c r="BF21" s="13">
        <f t="shared" si="37"/>
        <v>15.835447037242044</v>
      </c>
      <c r="BG21" s="20">
        <f t="shared" si="7"/>
        <v>122.94677025652992</v>
      </c>
      <c r="BH21" s="59">
        <f t="shared" si="8"/>
        <v>416.28010358986324</v>
      </c>
      <c r="BI21" s="59">
        <f ca="1">AVERAGE(OFFSET($BH$3,0,0,'Données projet'!$E$11+1,1))-AVERAGE(OFFSET($H$3,0,0,'Données projet'!$E$11+1,1))</f>
        <v>345.3294887586967</v>
      </c>
      <c r="BJ21" s="59">
        <f t="shared" si="38"/>
        <v>164.23448598618114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5.5909090909090908</v>
      </c>
      <c r="BY21" s="12">
        <f>IF('Données projet'!$A$114&gt;35,BY20+BX21-CG20,IF(A21&lt;'Données projet'!$A$114,$BV$205^A21,IF(A21='Données projet'!$A$114,'Données projet'!$B$114,BY20+BX21-CG20)))</f>
        <v>51.276971117915458</v>
      </c>
      <c r="BZ21" s="13">
        <f>BY21*VLOOKUP('Données projet'!$B$12,Paramètres!$A$1:$I$89,3,0)*VLOOKUP('Données projet'!$B$12,Paramètres!$A$1:$I$89,5,0)</f>
        <v>30.663628728513448</v>
      </c>
      <c r="CA21" s="13">
        <f t="shared" si="39"/>
        <v>9.4870815071768995</v>
      </c>
      <c r="CB21" s="20">
        <f t="shared" si="10"/>
        <v>69.929153660494023</v>
      </c>
      <c r="CC21" s="59">
        <f t="shared" si="11"/>
        <v>363.26248699382734</v>
      </c>
      <c r="CD21" s="59">
        <f ca="1">AVERAGE(OFFSET($CC$3,0,0,'Données projet'!$E$12+1,1))-AVERAGE(OFFSET($H$3,0,0,'Données projet'!$E$12+1,1))</f>
        <v>289.07218105343333</v>
      </c>
      <c r="CE21" s="59">
        <f t="shared" si="40"/>
        <v>217.57508587672368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6.85</v>
      </c>
      <c r="CT21" s="12">
        <f>IF('Données projet'!$A$140&gt;35,CT20+CS21-DB20,IF(A21&lt;'Données projet'!$A$140,$CQ$205^A21,IF(A21='Données projet'!$A$140,'Données projet'!$B$140,CT20+CS21-DB20)))</f>
        <v>83.762283888507497</v>
      </c>
      <c r="CU21" s="17">
        <f>CT21*VLOOKUP('Données projet'!$B$13,Paramètres!$A$1:$I$89,3,0)*VLOOKUP('Données projet'!$B$13,Paramètres!$A$1:$I$89,5,0)</f>
        <v>73.174731205000157</v>
      </c>
      <c r="CV21" s="13">
        <f t="shared" si="41"/>
        <v>20.459808499248883</v>
      </c>
      <c r="CW21" s="20">
        <f t="shared" si="13"/>
        <v>163.08015665156708</v>
      </c>
      <c r="CX21" s="59">
        <f t="shared" si="14"/>
        <v>456.41348998490037</v>
      </c>
      <c r="CY21" s="59">
        <f ca="1">AVERAGE(OFFSET($CX$3,0,0,'Données projet'!$E$13+1,1))-AVERAGE(OFFSET($H$3,0,0,'Données projet'!$E$13+1,1))</f>
        <v>237.8483058552178</v>
      </c>
      <c r="CZ21" s="59">
        <f t="shared" si="42"/>
        <v>313.36201272119723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</v>
      </c>
      <c r="DO21" s="12">
        <f>IF('Données projet'!$A$166&gt;35,DO20+DN21-DW20,IF(A21&lt;'Données projet'!$A$166,$DL$205^A21,IF(A21='Données projet'!$A$166,'Données projet'!$B$166,DO20+DN21-DW20)))</f>
        <v>54</v>
      </c>
      <c r="DP21" s="17">
        <f>DO21*VLOOKUP('Données projet'!$B$14,Paramètres!$A$1:$I$89,3,0)*VLOOKUP('Données projet'!$B$14,Paramètres!$A$1:$I$89,5,0)</f>
        <v>52.2288</v>
      </c>
      <c r="DQ21" s="13">
        <f t="shared" si="43"/>
        <v>15.187887899730002</v>
      </c>
      <c r="DR21" s="20">
        <f t="shared" si="16"/>
        <v>117.41739809202976</v>
      </c>
      <c r="DS21" s="59">
        <f t="shared" si="17"/>
        <v>410.75073142536309</v>
      </c>
      <c r="DT21" s="59">
        <f ca="1">AVERAGE(OFFSET($DS$3,0,0,'Données projet'!$E$14+1,1))-AVERAGE(OFFSET($H$3,0,0,'Données projet'!$E$14+1,1))</f>
        <v>325.01961068962373</v>
      </c>
      <c r="DU21" s="59">
        <f t="shared" si="44"/>
        <v>155.12737608540039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11.6</v>
      </c>
      <c r="EJ21" s="12">
        <f>IF('Données projet'!$A$192&gt;35,EJ20+EI21-ER20,IF(A21&lt;'Données projet'!$A$192,$EG$205^A21,IF(A21='Données projet'!$A$192,'Données projet'!$B$192,EJ20+EI21-ER20)))</f>
        <v>56.800000000000004</v>
      </c>
      <c r="EK21" s="17">
        <f>EJ21*VLOOKUP('Données projet'!$B$15,Paramètres!$A$1:$I$89,3,0)*VLOOKUP('Données projet'!$B$15,Paramètres!$A$1:$I$89,5,0)</f>
        <v>38.101440000000004</v>
      </c>
      <c r="EL21" s="13">
        <f t="shared" si="45"/>
        <v>11.494018101699785</v>
      </c>
      <c r="EM21" s="20">
        <f t="shared" si="19"/>
        <v>86.378756193793791</v>
      </c>
      <c r="EN21" s="59">
        <f t="shared" si="20"/>
        <v>379.71208952712709</v>
      </c>
      <c r="EO21" s="59">
        <f ca="1">AVERAGE(OFFSET($EN$3,0,0,'Données projet'!$E$15+1,1))-AVERAGE(OFFSET($H$3,0,0,'Données projet'!$E$15+1,1))</f>
        <v>178.09619481964575</v>
      </c>
      <c r="EP21" s="59">
        <f t="shared" si="46"/>
        <v>178.65167777495174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11.6</v>
      </c>
      <c r="FE21" s="12">
        <f>IF('Données projet'!$A$218&gt;35,FE20+FD21-FM20,IF(A21&lt;'Données projet'!$A$218,$FB$205^A21,IF(A21='Données projet'!$A$218,'Données projet'!$B$218,FE20+FD21-FM20)))</f>
        <v>56.800000000000004</v>
      </c>
      <c r="FF21" s="17">
        <f>FE21*VLOOKUP('Données projet'!$B$16,Paramètres!$A$1:$I$89,3,0)*VLOOKUP('Données projet'!$B$16,Paramètres!$A$1:$I$89,5,0)</f>
        <v>45.190080000000009</v>
      </c>
      <c r="FG21" s="13">
        <f t="shared" si="47"/>
        <v>13.364359727915414</v>
      </c>
      <c r="FH21" s="20">
        <f t="shared" si="22"/>
        <v>101.98231585945268</v>
      </c>
      <c r="FI21" s="59">
        <f t="shared" si="23"/>
        <v>395.315649192786</v>
      </c>
      <c r="FJ21" s="59">
        <f ca="1">AVERAGE(OFFSET($FI$3,0,0,'Données projet'!$E$16+1,1))-AVERAGE(OFFSET($H$3,0,0,'Données projet'!$E$16+1,1))</f>
        <v>219.43439115440339</v>
      </c>
      <c r="FK21" s="59">
        <f t="shared" si="48"/>
        <v>217.8880462742099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13.25</v>
      </c>
      <c r="FZ21" s="12">
        <f>IF('Données projet'!$A$244&gt;35,FZ20+FY21-GH20,IF(A21&lt;'Données projet'!$A$244,$FW$205^A21,IF(A21='Données projet'!$A$244,'Données projet'!$B$244,FZ20+FY21-GH20)))</f>
        <v>92.5</v>
      </c>
      <c r="GA21" s="17">
        <f>FZ21*VLOOKUP('Données projet'!$B$17,Paramètres!$A$1:$I$89,3,0)*VLOOKUP('Données projet'!$B$17,Paramètres!$A$1:$I$89,5,0)</f>
        <v>55.315000000000005</v>
      </c>
      <c r="GB21" s="13">
        <f t="shared" si="49"/>
        <v>15.978207841877614</v>
      </c>
      <c r="GC21" s="20">
        <f t="shared" si="25"/>
        <v>124.16900365793684</v>
      </c>
      <c r="GD21" s="59">
        <f t="shared" si="26"/>
        <v>417.50233699127017</v>
      </c>
      <c r="GE21" s="59">
        <f ca="1">AVERAGE(OFFSET($GD$3,0,0,'Données projet'!$E$17+1,1))-AVERAGE(OFFSET($H$3,0,0,'Données projet'!$E$17+1,1))</f>
        <v>191.77102466144095</v>
      </c>
      <c r="GF21" s="59">
        <f t="shared" si="50"/>
        <v>205.57161411620217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3.0275324437625657</v>
      </c>
      <c r="GN21" s="21">
        <f>EXP(-LN(2)/2)*GN20+(1-EXP(-LN(2)/2))/(LN(2)/2)*GH21*GK21*VLOOKUP('Données projet'!$B$17,Paramètres!$A$1:$I$89,3,0)*0.475*44/12</f>
        <v>2.0312247417624807</v>
      </c>
      <c r="GO21" s="21">
        <f t="shared" si="27"/>
        <v>5.0587571855250459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17.26923076923077</v>
      </c>
      <c r="N22" s="13">
        <f>IF('Données projet'!$A$36&gt;35,N21+M22-V21,IF(A22&lt;'Données projet'!$A$36,$K$205^A22,IF(A22='Données projet'!$A$36,'Données projet'!$B$36,N21+M22-V21)))</f>
        <v>86.732131265817571</v>
      </c>
      <c r="O22" s="13">
        <f>N22*VLOOKUP('Données projet'!$B$9,Paramètres!$A$1:$I$89,3,0)*VLOOKUP('Données projet'!$B$9,Paramètres!$A$1:$I$89,5,0)</f>
        <v>50.061786166629908</v>
      </c>
      <c r="P22" s="13">
        <f t="shared" si="33"/>
        <v>14.6297150633683</v>
      </c>
      <c r="Q22" s="20">
        <f t="shared" si="2"/>
        <v>112.67103130891354</v>
      </c>
      <c r="R22" s="59">
        <f t="shared" si="0"/>
        <v>406.00436464224686</v>
      </c>
      <c r="S22" s="59">
        <f ca="1">AVERAGE(OFFSET($R$3,0,0,'Données projet'!$E$9+1,1))-AVERAGE(OFFSET($H$3,0,0,'Données projet'!$E$9+1,1))</f>
        <v>84.31577618130467</v>
      </c>
      <c r="T22" s="59">
        <f t="shared" si="34"/>
        <v>527.2140904310653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</v>
      </c>
      <c r="AI22" s="13">
        <f>IF('Données projet'!$A$62&gt;35,AI21+AH22-AQ21,IF(A22&lt;'Données projet'!$A$62,$AF$205^A22,IF(A22='Données projet'!$A$62,'Données projet'!$B$62,AI21+AH22-AQ21)))</f>
        <v>57</v>
      </c>
      <c r="AJ22" s="13">
        <f>AI22*VLOOKUP('Données projet'!$B$10,Paramètres!$A$1:$I$89,3,0)*VLOOKUP('Données projet'!$B$10,Paramètres!$A$1:$I$89,5,0)</f>
        <v>51.573599999999992</v>
      </c>
      <c r="AK22" s="13">
        <f t="shared" si="35"/>
        <v>15.019412930275323</v>
      </c>
      <c r="AL22" s="20">
        <f t="shared" si="4"/>
        <v>115.98283085356282</v>
      </c>
      <c r="AM22" s="59">
        <f t="shared" si="5"/>
        <v>409.31616418689612</v>
      </c>
      <c r="AN22" s="59">
        <f ca="1">AVERAGE(OFFSET($AM$3,0,0,'Données projet'!$E$10+1,1))-AVERAGE(OFFSET($H$3,0,0,'Données projet'!$E$10+1,1))</f>
        <v>297.90790572649428</v>
      </c>
      <c r="AO22" s="59">
        <f t="shared" si="36"/>
        <v>142.96889776844506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</v>
      </c>
      <c r="BD22" s="12">
        <f>IF('Données projet'!$A$88&gt;35,BD21+BC22-BL21,IF(A22&lt;'Données projet'!$A$88,$BA$205^A22,IF(A22='Données projet'!$A$88,'Données projet'!$B$88,BD21+BC22-BL21)))</f>
        <v>57</v>
      </c>
      <c r="BE22" s="13">
        <f>BD22*VLOOKUP('Données projet'!$B$11,Paramètres!$A$1:$I$89,3,0)*VLOOKUP('Données projet'!$B$11,Paramètres!$A$1:$I$89,5,0)</f>
        <v>57.798000000000009</v>
      </c>
      <c r="BF22" s="13">
        <f t="shared" si="37"/>
        <v>16.610328609522991</v>
      </c>
      <c r="BG22" s="20">
        <f t="shared" si="7"/>
        <v>129.59450566158588</v>
      </c>
      <c r="BH22" s="59">
        <f t="shared" si="8"/>
        <v>422.92783899491917</v>
      </c>
      <c r="BI22" s="59">
        <f ca="1">AVERAGE(OFFSET($BH$3,0,0,'Données projet'!$E$11+1,1))-AVERAGE(OFFSET($H$3,0,0,'Données projet'!$E$11+1,1))</f>
        <v>345.3294887586967</v>
      </c>
      <c r="BJ22" s="59">
        <f t="shared" si="38"/>
        <v>164.23448598618114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5.5909090909090908</v>
      </c>
      <c r="BY22" s="12">
        <f>IF('Données projet'!$A$114&gt;35,BY21+BX22-CG21,IF(A22&lt;'Données projet'!$A$114,$BV$205^A22,IF(A22='Données projet'!$A$114,'Données projet'!$B$114,BY21+BX22-CG21)))</f>
        <v>63.814306040343304</v>
      </c>
      <c r="BZ22" s="13">
        <f>BY22*VLOOKUP('Données projet'!$B$12,Paramètres!$A$1:$I$89,3,0)*VLOOKUP('Données projet'!$B$12,Paramètres!$A$1:$I$89,5,0)</f>
        <v>38.160955012125299</v>
      </c>
      <c r="CA22" s="13">
        <f t="shared" si="39"/>
        <v>11.509880661066306</v>
      </c>
      <c r="CB22" s="20">
        <f t="shared" si="10"/>
        <v>86.510038797475374</v>
      </c>
      <c r="CC22" s="59">
        <f t="shared" si="11"/>
        <v>379.84337213080869</v>
      </c>
      <c r="CD22" s="59">
        <f ca="1">AVERAGE(OFFSET($CC$3,0,0,'Données projet'!$E$12+1,1))-AVERAGE(OFFSET($H$3,0,0,'Données projet'!$E$12+1,1))</f>
        <v>289.07218105343333</v>
      </c>
      <c r="CE22" s="59">
        <f t="shared" si="40"/>
        <v>217.57508587672368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6.85</v>
      </c>
      <c r="CT22" s="12">
        <f>IF('Données projet'!$A$140&gt;35,CT21+CS22-DB21,IF(A22&lt;'Données projet'!$A$140,$CQ$205^A22,IF(A22='Données projet'!$A$140,'Données projet'!$B$140,CT21+CS22-DB21)))</f>
        <v>107.12344697929356</v>
      </c>
      <c r="CU22" s="17">
        <f>CT22*VLOOKUP('Données projet'!$B$13,Paramètres!$A$1:$I$89,3,0)*VLOOKUP('Données projet'!$B$13,Paramètres!$A$1:$I$89,5,0)</f>
        <v>93.583043281110861</v>
      </c>
      <c r="CV22" s="13">
        <f t="shared" si="41"/>
        <v>25.427395556812755</v>
      </c>
      <c r="CW22" s="20">
        <f t="shared" si="13"/>
        <v>207.27651430938363</v>
      </c>
      <c r="CX22" s="59">
        <f t="shared" si="14"/>
        <v>500.60984764271694</v>
      </c>
      <c r="CY22" s="59">
        <f ca="1">AVERAGE(OFFSET($CX$3,0,0,'Données projet'!$E$13+1,1))-AVERAGE(OFFSET($H$3,0,0,'Données projet'!$E$13+1,1))</f>
        <v>237.8483058552178</v>
      </c>
      <c r="CZ22" s="59">
        <f t="shared" si="42"/>
        <v>313.36201272119723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</v>
      </c>
      <c r="DO22" s="12">
        <f>IF('Données projet'!$A$166&gt;35,DO21+DN22-DW21,IF(A22&lt;'Données projet'!$A$166,$DL$205^A22,IF(A22='Données projet'!$A$166,'Données projet'!$B$166,DO21+DN22-DW21)))</f>
        <v>57</v>
      </c>
      <c r="DP22" s="17">
        <f>DO22*VLOOKUP('Données projet'!$B$14,Paramètres!$A$1:$I$89,3,0)*VLOOKUP('Données projet'!$B$14,Paramètres!$A$1:$I$89,5,0)</f>
        <v>55.130399999999995</v>
      </c>
      <c r="DQ22" s="13">
        <f t="shared" si="43"/>
        <v>15.931082230000035</v>
      </c>
      <c r="DR22" s="20">
        <f t="shared" si="16"/>
        <v>123.7654148839167</v>
      </c>
      <c r="DS22" s="59">
        <f t="shared" si="17"/>
        <v>417.09874821725003</v>
      </c>
      <c r="DT22" s="59">
        <f ca="1">AVERAGE(OFFSET($DS$3,0,0,'Données projet'!$E$14+1,1))-AVERAGE(OFFSET($H$3,0,0,'Données projet'!$E$14+1,1))</f>
        <v>325.01961068962373</v>
      </c>
      <c r="DU22" s="59">
        <f t="shared" si="44"/>
        <v>155.12737608540039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11.6</v>
      </c>
      <c r="EJ22" s="12">
        <f>IF('Données projet'!$A$192&gt;35,EJ21+EI22-ER21,IF(A22&lt;'Données projet'!$A$192,$EG$205^A22,IF(A22='Données projet'!$A$192,'Données projet'!$B$192,EJ21+EI22-ER21)))</f>
        <v>68.400000000000006</v>
      </c>
      <c r="EK22" s="17">
        <f>EJ22*VLOOKUP('Données projet'!$B$15,Paramètres!$A$1:$I$89,3,0)*VLOOKUP('Données projet'!$B$15,Paramètres!$A$1:$I$89,5,0)</f>
        <v>45.882720000000006</v>
      </c>
      <c r="EL22" s="13">
        <f t="shared" si="45"/>
        <v>13.545194912043289</v>
      </c>
      <c r="EM22" s="20">
        <f t="shared" si="19"/>
        <v>103.50361847180874</v>
      </c>
      <c r="EN22" s="59">
        <f t="shared" si="20"/>
        <v>396.83695180514206</v>
      </c>
      <c r="EO22" s="59">
        <f ca="1">AVERAGE(OFFSET($EN$3,0,0,'Données projet'!$E$15+1,1))-AVERAGE(OFFSET($H$3,0,0,'Données projet'!$E$15+1,1))</f>
        <v>178.09619481964575</v>
      </c>
      <c r="EP22" s="59">
        <f t="shared" si="46"/>
        <v>178.65167777495174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11.6</v>
      </c>
      <c r="FE22" s="12">
        <f>IF('Données projet'!$A$218&gt;35,FE21+FD22-FM21,IF(A22&lt;'Données projet'!$A$218,$FB$205^A22,IF(A22='Données projet'!$A$218,'Données projet'!$B$218,FE21+FD22-FM21)))</f>
        <v>68.400000000000006</v>
      </c>
      <c r="FF22" s="17">
        <f>FE22*VLOOKUP('Données projet'!$B$16,Paramètres!$A$1:$I$89,3,0)*VLOOKUP('Données projet'!$B$16,Paramètres!$A$1:$I$89,5,0)</f>
        <v>54.419040000000003</v>
      </c>
      <c r="FG22" s="13">
        <f t="shared" si="47"/>
        <v>15.749310274925152</v>
      </c>
      <c r="FH22" s="20">
        <f t="shared" si="22"/>
        <v>122.20987672882796</v>
      </c>
      <c r="FI22" s="59">
        <f t="shared" si="23"/>
        <v>415.54321006216128</v>
      </c>
      <c r="FJ22" s="59">
        <f ca="1">AVERAGE(OFFSET($FI$3,0,0,'Données projet'!$E$16+1,1))-AVERAGE(OFFSET($H$3,0,0,'Données projet'!$E$16+1,1))</f>
        <v>219.43439115440339</v>
      </c>
      <c r="FK22" s="59">
        <f t="shared" si="48"/>
        <v>217.8880462742099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13.25</v>
      </c>
      <c r="FZ22" s="12">
        <f>IF('Données projet'!$A$244&gt;35,FZ21+FY22-GH21,IF(A22&lt;'Données projet'!$A$244,$FW$205^A22,IF(A22='Données projet'!$A$244,'Données projet'!$B$244,FZ21+FY22-GH21)))</f>
        <v>105.75</v>
      </c>
      <c r="GA22" s="17">
        <f>FZ22*VLOOKUP('Données projet'!$B$17,Paramètres!$A$1:$I$89,3,0)*VLOOKUP('Données projet'!$B$17,Paramètres!$A$1:$I$89,5,0)</f>
        <v>63.238500000000009</v>
      </c>
      <c r="GB22" s="13">
        <f t="shared" si="49"/>
        <v>17.984541540394584</v>
      </c>
      <c r="GC22" s="20">
        <f t="shared" si="25"/>
        <v>141.46346401618726</v>
      </c>
      <c r="GD22" s="59">
        <f t="shared" si="26"/>
        <v>434.7967973495206</v>
      </c>
      <c r="GE22" s="59">
        <f ca="1">AVERAGE(OFFSET($GD$3,0,0,'Données projet'!$E$17+1,1))-AVERAGE(OFFSET($H$3,0,0,'Données projet'!$E$17+1,1))</f>
        <v>191.77102466144095</v>
      </c>
      <c r="GF22" s="59">
        <f t="shared" si="50"/>
        <v>205.57161411620217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2.9447444098768667</v>
      </c>
      <c r="GN22" s="21">
        <f>EXP(-LN(2)/2)*GN21+(1-EXP(-LN(2)/2))/(LN(2)/2)*GH22*GK22*VLOOKUP('Données projet'!$B$17,Paramètres!$A$1:$I$89,3,0)*0.475*44/12</f>
        <v>1.4362927890141439</v>
      </c>
      <c r="GO22" s="21">
        <f t="shared" si="27"/>
        <v>4.3810371988910104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17.26923076923077</v>
      </c>
      <c r="N23" s="13">
        <f>IF('Données projet'!$A$36&gt;35,N22+M23-V22,IF(A23&lt;'Données projet'!$A$36,$K$205^A23,IF(A23='Données projet'!$A$36,'Données projet'!$B$36,N22+M23-V22)))</f>
        <v>109.69567202180518</v>
      </c>
      <c r="O23" s="13">
        <f>N23*VLOOKUP('Données projet'!$B$9,Paramètres!$A$1:$I$89,3,0)*VLOOKUP('Données projet'!$B$9,Paramètres!$A$1:$I$89,5,0)</f>
        <v>63.316341890985953</v>
      </c>
      <c r="P23" s="13">
        <f t="shared" si="33"/>
        <v>18.004100952465951</v>
      </c>
      <c r="Q23" s="20">
        <f t="shared" si="2"/>
        <v>141.63310461901204</v>
      </c>
      <c r="R23" s="59">
        <f t="shared" si="0"/>
        <v>434.96643795234536</v>
      </c>
      <c r="S23" s="59">
        <f ca="1">AVERAGE(OFFSET($R$3,0,0,'Données projet'!$E$9+1,1))-AVERAGE(OFFSET($H$3,0,0,'Données projet'!$E$9+1,1))</f>
        <v>84.31577618130467</v>
      </c>
      <c r="T23" s="59">
        <f t="shared" si="34"/>
        <v>527.2140904310653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</v>
      </c>
      <c r="AI23" s="13">
        <f>IF('Données projet'!$A$62&gt;35,AI22+AH23-AQ22,IF(A23&lt;'Données projet'!$A$62,$AF$205^A23,IF(A23='Données projet'!$A$62,'Données projet'!$B$62,AI22+AH23-AQ22)))</f>
        <v>60</v>
      </c>
      <c r="AJ23" s="13">
        <f>AI23*VLOOKUP('Données projet'!$B$10,Paramètres!$A$1:$I$89,3,0)*VLOOKUP('Données projet'!$B$10,Paramètres!$A$1:$I$89,5,0)</f>
        <v>54.287999999999997</v>
      </c>
      <c r="AK23" s="13">
        <f t="shared" si="35"/>
        <v>15.715795896526746</v>
      </c>
      <c r="AL23" s="20">
        <f t="shared" si="4"/>
        <v>121.9232778531174</v>
      </c>
      <c r="AM23" s="59">
        <f t="shared" si="5"/>
        <v>415.2566111864507</v>
      </c>
      <c r="AN23" s="59">
        <f ca="1">AVERAGE(OFFSET($AM$3,0,0,'Données projet'!$E$10+1,1))-AVERAGE(OFFSET($H$3,0,0,'Données projet'!$E$10+1,1))</f>
        <v>297.90790572649428</v>
      </c>
      <c r="AO23" s="59">
        <f t="shared" si="36"/>
        <v>142.96889776844506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</v>
      </c>
      <c r="BD23" s="12">
        <f>IF('Données projet'!$A$88&gt;35,BD22+BC23-BL22,IF(A23&lt;'Données projet'!$A$88,$BA$205^A23,IF(A23='Données projet'!$A$88,'Données projet'!$B$88,BD22+BC23-BL22)))</f>
        <v>60</v>
      </c>
      <c r="BE23" s="13">
        <f>BD23*VLOOKUP('Données projet'!$B$11,Paramètres!$A$1:$I$89,3,0)*VLOOKUP('Données projet'!$B$11,Paramètres!$A$1:$I$89,5,0)</f>
        <v>60.84</v>
      </c>
      <c r="BF23" s="13">
        <f t="shared" si="37"/>
        <v>17.380475216531455</v>
      </c>
      <c r="BG23" s="20">
        <f t="shared" si="7"/>
        <v>136.23399433545893</v>
      </c>
      <c r="BH23" s="59">
        <f t="shared" si="8"/>
        <v>429.56732766879225</v>
      </c>
      <c r="BI23" s="59">
        <f ca="1">AVERAGE(OFFSET($BH$3,0,0,'Données projet'!$E$11+1,1))-AVERAGE(OFFSET($H$3,0,0,'Données projet'!$E$11+1,1))</f>
        <v>345.3294887586967</v>
      </c>
      <c r="BJ23" s="59">
        <f t="shared" si="38"/>
        <v>164.23448598618114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5.5909090909090908</v>
      </c>
      <c r="BY23" s="12">
        <f>IF('Données projet'!$A$114&gt;35,BY22+BX23-CG22,IF(A23&lt;'Données projet'!$A$114,$BV$205^A23,IF(A23='Données projet'!$A$114,'Données projet'!$B$114,BY22+BX23-CG22)))</f>
        <v>79.417047587426694</v>
      </c>
      <c r="BZ23" s="13">
        <f>BY23*VLOOKUP('Données projet'!$B$12,Paramètres!$A$1:$I$89,3,0)*VLOOKUP('Données projet'!$B$12,Paramètres!$A$1:$I$89,5,0)</f>
        <v>47.49139445728116</v>
      </c>
      <c r="CA23" s="13">
        <f t="shared" si="39"/>
        <v>13.96397329692701</v>
      </c>
      <c r="CB23" s="20">
        <f t="shared" si="10"/>
        <v>107.03476550524589</v>
      </c>
      <c r="CC23" s="59">
        <f t="shared" si="11"/>
        <v>400.36809883857921</v>
      </c>
      <c r="CD23" s="59">
        <f ca="1">AVERAGE(OFFSET($CC$3,0,0,'Données projet'!$E$12+1,1))-AVERAGE(OFFSET($H$3,0,0,'Données projet'!$E$12+1,1))</f>
        <v>289.07218105343333</v>
      </c>
      <c r="CE23" s="59">
        <f t="shared" si="40"/>
        <v>217.57508587672368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137</v>
      </c>
      <c r="CR23" s="12">
        <f>VLOOKUP(A23,'Données projet'!$A$139:$I$159,9,0)</f>
        <v>6.85</v>
      </c>
      <c r="CS23" s="12">
        <f t="array" ref="CS23">INDEX(CR:CR,MIN(IF(ISNUMBER(CR23:CR219),ROW(CR23:CR219),"")))</f>
        <v>6.85</v>
      </c>
      <c r="CT23" s="12">
        <f>IF('Données projet'!$A$140&gt;35,CT22+CS23-DB22,IF(A23&lt;'Données projet'!$A$140,$CQ$205^A23,IF(A23='Données projet'!$A$140,'Données projet'!$B$140,CT22+CS23-DB22)))</f>
        <v>137</v>
      </c>
      <c r="CU23" s="17">
        <f>CT23*VLOOKUP('Données projet'!$B$13,Paramètres!$A$1:$I$89,3,0)*VLOOKUP('Données projet'!$B$13,Paramètres!$A$1:$I$89,5,0)</f>
        <v>119.68320000000003</v>
      </c>
      <c r="CV23" s="13">
        <f t="shared" si="41"/>
        <v>31.601099532596194</v>
      </c>
      <c r="CW23" s="20">
        <f t="shared" si="13"/>
        <v>263.48682168593842</v>
      </c>
      <c r="CX23" s="59">
        <f t="shared" si="14"/>
        <v>556.82015501927174</v>
      </c>
      <c r="CY23" s="59">
        <f ca="1">AVERAGE(OFFSET($CX$3,0,0,'Données projet'!$E$13+1,1))-AVERAGE(OFFSET($H$3,0,0,'Données projet'!$E$13+1,1))</f>
        <v>237.8483058552178</v>
      </c>
      <c r="CZ23" s="59">
        <f t="shared" si="42"/>
        <v>313.36201272119723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</v>
      </c>
      <c r="DO23" s="12">
        <f>IF('Données projet'!$A$166&gt;35,DO22+DN23-DW22,IF(A23&lt;'Données projet'!$A$166,$DL$205^A23,IF(A23='Données projet'!$A$166,'Données projet'!$B$166,DO22+DN23-DW22)))</f>
        <v>60</v>
      </c>
      <c r="DP23" s="17">
        <f>DO23*VLOOKUP('Données projet'!$B$14,Paramètres!$A$1:$I$89,3,0)*VLOOKUP('Données projet'!$B$14,Paramètres!$A$1:$I$89,5,0)</f>
        <v>58.032000000000004</v>
      </c>
      <c r="DQ23" s="13">
        <f t="shared" si="43"/>
        <v>16.669735221992795</v>
      </c>
      <c r="DR23" s="20">
        <f t="shared" si="16"/>
        <v>130.10552217830414</v>
      </c>
      <c r="DS23" s="59">
        <f t="shared" si="17"/>
        <v>423.43885551163748</v>
      </c>
      <c r="DT23" s="59">
        <f ca="1">AVERAGE(OFFSET($DS$3,0,0,'Données projet'!$E$14+1,1))-AVERAGE(OFFSET($H$3,0,0,'Données projet'!$E$14+1,1))</f>
        <v>325.01961068962373</v>
      </c>
      <c r="DU23" s="59">
        <f t="shared" si="44"/>
        <v>155.12737608540039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80</v>
      </c>
      <c r="EH23" s="12">
        <f>VLOOKUP(A23,'Données projet'!$A$191:$I$211,9,0)</f>
        <v>11.6</v>
      </c>
      <c r="EI23" s="12">
        <f t="array" ref="EI23">INDEX(EH:EH,MIN(IF(ISNUMBER(EH23:EH219),ROW(EH23:EH219),"")))</f>
        <v>11.6</v>
      </c>
      <c r="EJ23" s="12">
        <f>IF('Données projet'!$A$192&gt;35,EJ22+EI23-ER22,IF(A23&lt;'Données projet'!$A$192,$EG$205^A23,IF(A23='Données projet'!$A$192,'Données projet'!$B$192,EJ22+EI23-ER22)))</f>
        <v>80</v>
      </c>
      <c r="EK23" s="17">
        <f>EJ23*VLOOKUP('Données projet'!$B$15,Paramètres!$A$1:$I$89,3,0)*VLOOKUP('Données projet'!$B$15,Paramètres!$A$1:$I$89,5,0)</f>
        <v>53.664000000000001</v>
      </c>
      <c r="EL23" s="13">
        <f t="shared" si="45"/>
        <v>15.556073979202782</v>
      </c>
      <c r="EM23" s="20">
        <f t="shared" si="19"/>
        <v>120.55829551377816</v>
      </c>
      <c r="EN23" s="59">
        <f t="shared" si="20"/>
        <v>413.89162884711146</v>
      </c>
      <c r="EO23" s="59">
        <f ca="1">AVERAGE(OFFSET($EN$3,0,0,'Données projet'!$E$15+1,1))-AVERAGE(OFFSET($H$3,0,0,'Données projet'!$E$15+1,1))</f>
        <v>178.09619481964575</v>
      </c>
      <c r="EP23" s="59">
        <f t="shared" si="46"/>
        <v>178.65167777495174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28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80</v>
      </c>
      <c r="FC23" s="12">
        <f>VLOOKUP(A23,'Données projet'!$A$217:$I$237,9,0)</f>
        <v>11.6</v>
      </c>
      <c r="FD23" s="12">
        <f t="array" ref="FD23">INDEX(FC:FC,MIN(IF(ISNUMBER(FC23:FC219),ROW(FC23:FC219),"")))</f>
        <v>11.6</v>
      </c>
      <c r="FE23" s="12">
        <f>IF('Données projet'!$A$218&gt;35,FE22+FD23-FM22,IF(A23&lt;'Données projet'!$A$218,$FB$205^A23,IF(A23='Données projet'!$A$218,'Données projet'!$B$218,FE22+FD23-FM22)))</f>
        <v>80</v>
      </c>
      <c r="FF23" s="17">
        <f>FE23*VLOOKUP('Données projet'!$B$16,Paramètres!$A$1:$I$89,3,0)*VLOOKUP('Données projet'!$B$16,Paramètres!$A$1:$I$89,5,0)</f>
        <v>63.647999999999996</v>
      </c>
      <c r="FG23" s="13">
        <f t="shared" si="47"/>
        <v>18.087405707268363</v>
      </c>
      <c r="FH23" s="20">
        <f t="shared" si="22"/>
        <v>142.35583160682572</v>
      </c>
      <c r="FI23" s="59">
        <f t="shared" si="23"/>
        <v>435.689164940159</v>
      </c>
      <c r="FJ23" s="59">
        <f ca="1">AVERAGE(OFFSET($FI$3,0,0,'Données projet'!$E$16+1,1))-AVERAGE(OFFSET($H$3,0,0,'Données projet'!$E$16+1,1))</f>
        <v>219.43439115440339</v>
      </c>
      <c r="FK23" s="59">
        <f t="shared" si="48"/>
        <v>217.8880462742099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28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119</v>
      </c>
      <c r="FX23" s="12">
        <f>VLOOKUP(A23,'Données projet'!$A$243:$I$263,9,0)</f>
        <v>13.25</v>
      </c>
      <c r="FY23" s="12">
        <f t="array" ref="FY23">INDEX(FX:FX,MIN(IF(ISNUMBER(FX23:FX219),ROW(FX23:FX219),"")))</f>
        <v>13.25</v>
      </c>
      <c r="FZ23" s="12">
        <f>IF('Données projet'!$A$244&gt;35,FZ22+FY23-GH22,IF(A23&lt;'Données projet'!$A$244,$FW$205^A23,IF(A23='Données projet'!$A$244,'Données projet'!$B$244,FZ22+FY23-GH22)))</f>
        <v>119</v>
      </c>
      <c r="GA23" s="17">
        <f>FZ23*VLOOKUP('Données projet'!$B$17,Paramètres!$A$1:$I$89,3,0)*VLOOKUP('Données projet'!$B$17,Paramètres!$A$1:$I$89,5,0)</f>
        <v>71.162000000000006</v>
      </c>
      <c r="GB23" s="13">
        <f t="shared" si="49"/>
        <v>19.961746043676346</v>
      </c>
      <c r="GC23" s="20">
        <f t="shared" si="25"/>
        <v>158.70719102606964</v>
      </c>
      <c r="GD23" s="59">
        <f t="shared" si="26"/>
        <v>452.04052435940298</v>
      </c>
      <c r="GE23" s="59">
        <f ca="1">AVERAGE(OFFSET($GD$3,0,0,'Données projet'!$E$17+1,1))-AVERAGE(OFFSET($H$3,0,0,'Données projet'!$E$17+1,1))</f>
        <v>191.77102466144095</v>
      </c>
      <c r="GF23" s="59">
        <f t="shared" si="50"/>
        <v>205.57161411620217</v>
      </c>
      <c r="GG23" s="15">
        <f>IF(ISNA(VLOOKUP(A23,'Données projet'!$A$243:$I$263,3,0)),0,VLOOKUP(A23,'Données projet'!$A$243:$I$263,3,0))</f>
        <v>3</v>
      </c>
      <c r="GH23" s="15">
        <f>IF(ISNA(VLOOKUP(A23,'Données projet'!$A$243:$I$263,4,0)),0,VLOOKUP(A23,'Données projet'!$A$243:$I$263,4,0))</f>
        <v>22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0.27</v>
      </c>
      <c r="GK23" s="16">
        <f>IF(ISNA(VLOOKUP(A23,'Données projet'!$A$243:$I$263,7,0)),0%,VLOOKUP(A23,'Données projet'!$A$243:$I$263,7,0))</f>
        <v>0.4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7.5577829559128809</v>
      </c>
      <c r="GN23" s="21">
        <f>EXP(-LN(2)/2)*GN22+(1-EXP(-LN(2)/2))/(LN(2)/2)*GH23*GK23*VLOOKUP('Données projet'!$B$17,Paramètres!$A$1:$I$89,3,0)*0.475*44/12</f>
        <v>6.9738716133845147</v>
      </c>
      <c r="GO23" s="21">
        <f t="shared" si="27"/>
        <v>14.531654569297395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17.26923076923077</v>
      </c>
      <c r="N24" s="13">
        <f>IF('Données projet'!$A$36&gt;35,N23+M24-V23,IF(A24&lt;'Données projet'!$A$36,$K$205^A24,IF(A24='Données projet'!$A$36,'Données projet'!$B$36,N23+M24-V23)))</f>
        <v>138.73913029343362</v>
      </c>
      <c r="O24" s="13">
        <f>N24*VLOOKUP('Données projet'!$B$9,Paramètres!$A$1:$I$89,3,0)*VLOOKUP('Données projet'!$B$9,Paramètres!$A$1:$I$89,5,0)</f>
        <v>80.080226005369894</v>
      </c>
      <c r="P24" s="13">
        <f t="shared" si="33"/>
        <v>22.156798659614836</v>
      </c>
      <c r="Q24" s="20">
        <f t="shared" si="2"/>
        <v>178.06281795818174</v>
      </c>
      <c r="R24" s="59">
        <f t="shared" si="0"/>
        <v>471.39615129151503</v>
      </c>
      <c r="S24" s="59">
        <f ca="1">AVERAGE(OFFSET($R$3,0,0,'Données projet'!$E$9+1,1))-AVERAGE(OFFSET($H$3,0,0,'Données projet'!$E$9+1,1))</f>
        <v>84.31577618130467</v>
      </c>
      <c r="T24" s="59">
        <f t="shared" si="34"/>
        <v>527.2140904310653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</v>
      </c>
      <c r="AI24" s="13">
        <f>IF('Données projet'!$A$62&gt;35,AI23+AH24-AQ23,IF(A24&lt;'Données projet'!$A$62,$AF$205^A24,IF(A24='Données projet'!$A$62,'Données projet'!$B$62,AI23+AH24-AQ23)))</f>
        <v>63</v>
      </c>
      <c r="AJ24" s="13">
        <f>AI24*VLOOKUP('Données projet'!$B$10,Paramètres!$A$1:$I$89,3,0)*VLOOKUP('Données projet'!$B$10,Paramètres!$A$1:$I$89,5,0)</f>
        <v>57.002400000000002</v>
      </c>
      <c r="AK24" s="13">
        <f t="shared" si="35"/>
        <v>16.4081359066458</v>
      </c>
      <c r="AL24" s="20">
        <f t="shared" si="4"/>
        <v>127.85668337074144</v>
      </c>
      <c r="AM24" s="59">
        <f t="shared" si="5"/>
        <v>421.19001670407476</v>
      </c>
      <c r="AN24" s="59">
        <f ca="1">AVERAGE(OFFSET($AM$3,0,0,'Données projet'!$E$10+1,1))-AVERAGE(OFFSET($H$3,0,0,'Données projet'!$E$10+1,1))</f>
        <v>297.90790572649428</v>
      </c>
      <c r="AO24" s="59">
        <f t="shared" si="36"/>
        <v>142.96889776844506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</v>
      </c>
      <c r="BD24" s="12">
        <f>IF('Données projet'!$A$88&gt;35,BD23+BC24-BL23,IF(A24&lt;'Données projet'!$A$88,$BA$205^A24,IF(A24='Données projet'!$A$88,'Données projet'!$B$88,BD23+BC24-BL23)))</f>
        <v>63</v>
      </c>
      <c r="BE24" s="13">
        <f>BD24*VLOOKUP('Données projet'!$B$11,Paramètres!$A$1:$I$89,3,0)*VLOOKUP('Données projet'!$B$11,Paramètres!$A$1:$I$89,5,0)</f>
        <v>63.882000000000005</v>
      </c>
      <c r="BF24" s="13">
        <f t="shared" si="37"/>
        <v>18.146150621487983</v>
      </c>
      <c r="BG24" s="20">
        <f t="shared" si="7"/>
        <v>142.86569566575824</v>
      </c>
      <c r="BH24" s="59">
        <f t="shared" si="8"/>
        <v>436.19902899909152</v>
      </c>
      <c r="BI24" s="59">
        <f ca="1">AVERAGE(OFFSET($BH$3,0,0,'Données projet'!$E$11+1,1))-AVERAGE(OFFSET($H$3,0,0,'Données projet'!$E$11+1,1))</f>
        <v>345.3294887586967</v>
      </c>
      <c r="BJ24" s="59">
        <f t="shared" si="38"/>
        <v>164.23448598618114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5.5909090909090908</v>
      </c>
      <c r="BY24" s="12">
        <f>IF('Données projet'!$A$114&gt;35,BY23+BX24-CG23,IF(A24&lt;'Données projet'!$A$114,$BV$205^A24,IF(A24='Données projet'!$A$114,'Données projet'!$B$114,BY23+BX24-CG23)))</f>
        <v>98.834694582689295</v>
      </c>
      <c r="BZ24" s="13">
        <f>BY24*VLOOKUP('Données projet'!$B$12,Paramètres!$A$1:$I$89,3,0)*VLOOKUP('Données projet'!$B$12,Paramètres!$A$1:$I$89,5,0)</f>
        <v>59.103147360448204</v>
      </c>
      <c r="CA24" s="13">
        <f t="shared" si="39"/>
        <v>16.94131815778756</v>
      </c>
      <c r="CB24" s="20">
        <f t="shared" si="10"/>
        <v>132.44411077759398</v>
      </c>
      <c r="CC24" s="59">
        <f t="shared" si="11"/>
        <v>425.77744411092726</v>
      </c>
      <c r="CD24" s="59">
        <f ca="1">AVERAGE(OFFSET($CC$3,0,0,'Données projet'!$E$12+1,1))-AVERAGE(OFFSET($H$3,0,0,'Données projet'!$E$12+1,1))</f>
        <v>289.07218105343333</v>
      </c>
      <c r="CE24" s="59">
        <f t="shared" si="40"/>
        <v>217.57508587672368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9</v>
      </c>
      <c r="CT24" s="12">
        <f>IF('Données projet'!$A$140&gt;35,CT23+CS24-DB23,IF(A24&lt;'Données projet'!$A$140,$CQ$205^A24,IF(A24='Données projet'!$A$140,'Données projet'!$B$140,CT23+CS24-DB23)))</f>
        <v>103</v>
      </c>
      <c r="CU24" s="17">
        <f>CT24*VLOOKUP('Données projet'!$B$13,Paramètres!$A$1:$I$89,3,0)*VLOOKUP('Données projet'!$B$13,Paramètres!$A$1:$I$89,5,0)</f>
        <v>89.980800000000016</v>
      </c>
      <c r="CV24" s="13">
        <f t="shared" si="41"/>
        <v>24.560594358746648</v>
      </c>
      <c r="CW24" s="20">
        <f t="shared" si="13"/>
        <v>199.49292850815041</v>
      </c>
      <c r="CX24" s="59">
        <f t="shared" si="14"/>
        <v>492.82626184148376</v>
      </c>
      <c r="CY24" s="59">
        <f ca="1">AVERAGE(OFFSET($CX$3,0,0,'Données projet'!$E$13+1,1))-AVERAGE(OFFSET($H$3,0,0,'Données projet'!$E$13+1,1))</f>
        <v>237.8483058552178</v>
      </c>
      <c r="CZ24" s="59">
        <f t="shared" si="42"/>
        <v>313.36201272119723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</v>
      </c>
      <c r="DO24" s="12">
        <f>IF('Données projet'!$A$166&gt;35,DO23+DN24-DW23,IF(A24&lt;'Données projet'!$A$166,$DL$205^A24,IF(A24='Données projet'!$A$166,'Données projet'!$B$166,DO23+DN24-DW23)))</f>
        <v>63</v>
      </c>
      <c r="DP24" s="17">
        <f>DO24*VLOOKUP('Données projet'!$B$14,Paramètres!$A$1:$I$89,3,0)*VLOOKUP('Données projet'!$B$14,Paramètres!$A$1:$I$89,5,0)</f>
        <v>60.933600000000006</v>
      </c>
      <c r="DQ24" s="13">
        <f t="shared" si="43"/>
        <v>17.404099852856145</v>
      </c>
      <c r="DR24" s="20">
        <f t="shared" si="16"/>
        <v>136.4381605770578</v>
      </c>
      <c r="DS24" s="59">
        <f t="shared" si="17"/>
        <v>429.77149391039109</v>
      </c>
      <c r="DT24" s="59">
        <f ca="1">AVERAGE(OFFSET($DS$3,0,0,'Données projet'!$E$14+1,1))-AVERAGE(OFFSET($H$3,0,0,'Données projet'!$E$14+1,1))</f>
        <v>325.01961068962373</v>
      </c>
      <c r="DU24" s="59">
        <f t="shared" si="44"/>
        <v>155.12737608540039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12.6</v>
      </c>
      <c r="EJ24" s="12">
        <f>IF('Données projet'!$A$192&gt;35,EJ23+EI24-ER23,IF(A24&lt;'Données projet'!$A$192,$EG$205^A24,IF(A24='Données projet'!$A$192,'Données projet'!$B$192,EJ23+EI24-ER23)))</f>
        <v>64.599999999999994</v>
      </c>
      <c r="EK24" s="17">
        <f>EJ24*VLOOKUP('Données projet'!$B$15,Paramètres!$A$1:$I$89,3,0)*VLOOKUP('Données projet'!$B$15,Paramètres!$A$1:$I$89,5,0)</f>
        <v>43.333680000000001</v>
      </c>
      <c r="EL24" s="13">
        <f t="shared" si="45"/>
        <v>12.878080639856391</v>
      </c>
      <c r="EM24" s="20">
        <f t="shared" si="19"/>
        <v>97.90214978108321</v>
      </c>
      <c r="EN24" s="59">
        <f t="shared" si="20"/>
        <v>391.23548311441652</v>
      </c>
      <c r="EO24" s="59">
        <f ca="1">AVERAGE(OFFSET($EN$3,0,0,'Données projet'!$E$15+1,1))-AVERAGE(OFFSET($H$3,0,0,'Données projet'!$E$15+1,1))</f>
        <v>178.09619481964575</v>
      </c>
      <c r="EP24" s="59">
        <f t="shared" si="46"/>
        <v>178.65167777495174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12.6</v>
      </c>
      <c r="FE24" s="12">
        <f>IF('Données projet'!$A$218&gt;35,FE23+FD24-FM23,IF(A24&lt;'Données projet'!$A$218,$FB$205^A24,IF(A24='Données projet'!$A$218,'Données projet'!$B$218,FE23+FD24-FM23)))</f>
        <v>64.599999999999994</v>
      </c>
      <c r="FF24" s="17">
        <f>FE24*VLOOKUP('Données projet'!$B$16,Paramètres!$A$1:$I$89,3,0)*VLOOKUP('Données projet'!$B$16,Paramètres!$A$1:$I$89,5,0)</f>
        <v>51.395759999999996</v>
      </c>
      <c r="FG24" s="13">
        <f t="shared" si="47"/>
        <v>14.973641136922506</v>
      </c>
      <c r="FH24" s="20">
        <f t="shared" si="22"/>
        <v>115.59337364680668</v>
      </c>
      <c r="FI24" s="59">
        <f t="shared" si="23"/>
        <v>408.92670698014001</v>
      </c>
      <c r="FJ24" s="59">
        <f ca="1">AVERAGE(OFFSET($FI$3,0,0,'Données projet'!$E$16+1,1))-AVERAGE(OFFSET($H$3,0,0,'Données projet'!$E$16+1,1))</f>
        <v>219.43439115440339</v>
      </c>
      <c r="FK24" s="59">
        <f t="shared" si="48"/>
        <v>217.8880462742099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15</v>
      </c>
      <c r="FZ24" s="12">
        <f>IF('Données projet'!$A$244&gt;35,FZ23+FY24-GH23,IF(A24&lt;'Données projet'!$A$244,$FW$205^A24,IF(A24='Données projet'!$A$244,'Données projet'!$B$244,FZ23+FY24-GH23)))</f>
        <v>112</v>
      </c>
      <c r="GA24" s="17">
        <f>FZ24*VLOOKUP('Données projet'!$B$17,Paramètres!$A$1:$I$89,3,0)*VLOOKUP('Données projet'!$B$17,Paramètres!$A$1:$I$89,5,0)</f>
        <v>66.976000000000013</v>
      </c>
      <c r="GB24" s="13">
        <f t="shared" si="49"/>
        <v>18.920572617446965</v>
      </c>
      <c r="GC24" s="20">
        <f t="shared" si="25"/>
        <v>149.60319730872013</v>
      </c>
      <c r="GD24" s="59">
        <f t="shared" si="26"/>
        <v>442.93653064205341</v>
      </c>
      <c r="GE24" s="59">
        <f ca="1">AVERAGE(OFFSET($GD$3,0,0,'Données projet'!$E$17+1,1))-AVERAGE(OFFSET($H$3,0,0,'Données projet'!$E$17+1,1))</f>
        <v>191.77102466144095</v>
      </c>
      <c r="GF24" s="59">
        <f t="shared" si="50"/>
        <v>205.57161411620217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7.3511149835369114</v>
      </c>
      <c r="GN24" s="21">
        <f>EXP(-LN(2)/2)*GN23+(1-EXP(-LN(2)/2))/(LN(2)/2)*GH24*GK24*VLOOKUP('Données projet'!$B$17,Paramètres!$A$1:$I$89,3,0)*0.475*44/12</f>
        <v>4.9312719089485597</v>
      </c>
      <c r="GO24" s="21">
        <f t="shared" si="27"/>
        <v>12.282386892485471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17.26923076923077</v>
      </c>
      <c r="N25" s="13">
        <f>IF('Données projet'!$A$36&gt;35,N24+M25-V24,IF(A25&lt;'Données projet'!$A$36,$K$205^A25,IF(A25='Données projet'!$A$36,'Données projet'!$B$36,N24+M25-V24)))</f>
        <v>175.47224899403642</v>
      </c>
      <c r="O25" s="13">
        <f>N25*VLOOKUP('Données projet'!$B$9,Paramètres!$A$1:$I$89,3,0)*VLOOKUP('Données projet'!$B$9,Paramètres!$A$1:$I$89,5,0)</f>
        <v>101.28258211935783</v>
      </c>
      <c r="P25" s="13">
        <f t="shared" si="33"/>
        <v>27.267328045917736</v>
      </c>
      <c r="Q25" s="20">
        <f t="shared" si="2"/>
        <v>223.89109353785489</v>
      </c>
      <c r="R25" s="59">
        <f t="shared" si="0"/>
        <v>517.22442687118814</v>
      </c>
      <c r="S25" s="59">
        <f ca="1">AVERAGE(OFFSET($R$3,0,0,'Données projet'!$E$9+1,1))-AVERAGE(OFFSET($H$3,0,0,'Données projet'!$E$9+1,1))</f>
        <v>84.31577618130467</v>
      </c>
      <c r="T25" s="59">
        <f t="shared" si="34"/>
        <v>527.2140904310653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</v>
      </c>
      <c r="AI25" s="13">
        <f>IF('Données projet'!$A$62&gt;35,AI24+AH25-AQ24,IF(A25&lt;'Données projet'!$A$62,$AF$205^A25,IF(A25='Données projet'!$A$62,'Données projet'!$B$62,AI24+AH25-AQ24)))</f>
        <v>66</v>
      </c>
      <c r="AJ25" s="13">
        <f>AI25*VLOOKUP('Données projet'!$B$10,Paramètres!$A$1:$I$89,3,0)*VLOOKUP('Données projet'!$B$10,Paramètres!$A$1:$I$89,5,0)</f>
        <v>59.716799999999992</v>
      </c>
      <c r="AK25" s="13">
        <f t="shared" si="35"/>
        <v>17.096647463151516</v>
      </c>
      <c r="AL25" s="20">
        <f t="shared" si="4"/>
        <v>133.78342099832221</v>
      </c>
      <c r="AM25" s="59">
        <f t="shared" si="5"/>
        <v>427.11675433165556</v>
      </c>
      <c r="AN25" s="59">
        <f ca="1">AVERAGE(OFFSET($AM$3,0,0,'Données projet'!$E$10+1,1))-AVERAGE(OFFSET($H$3,0,0,'Données projet'!$E$10+1,1))</f>
        <v>297.90790572649428</v>
      </c>
      <c r="AO25" s="59">
        <f t="shared" si="36"/>
        <v>142.96889776844506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</v>
      </c>
      <c r="BD25" s="12">
        <f>IF('Données projet'!$A$88&gt;35,BD24+BC25-BL24,IF(A25&lt;'Données projet'!$A$88,$BA$205^A25,IF(A25='Données projet'!$A$88,'Données projet'!$B$88,BD24+BC25-BL24)))</f>
        <v>66</v>
      </c>
      <c r="BE25" s="13">
        <f>BD25*VLOOKUP('Données projet'!$B$11,Paramètres!$A$1:$I$89,3,0)*VLOOKUP('Données projet'!$B$11,Paramètres!$A$1:$I$89,5,0)</f>
        <v>66.924000000000007</v>
      </c>
      <c r="BF25" s="13">
        <f t="shared" si="37"/>
        <v>18.90759204786767</v>
      </c>
      <c r="BG25" s="20">
        <f t="shared" si="7"/>
        <v>149.49002281670286</v>
      </c>
      <c r="BH25" s="59">
        <f t="shared" si="8"/>
        <v>442.82335615003615</v>
      </c>
      <c r="BI25" s="59">
        <f ca="1">AVERAGE(OFFSET($BH$3,0,0,'Données projet'!$E$11+1,1))-AVERAGE(OFFSET($H$3,0,0,'Données projet'!$E$11+1,1))</f>
        <v>345.3294887586967</v>
      </c>
      <c r="BJ25" s="59">
        <f t="shared" si="38"/>
        <v>164.23448598618114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>
        <f>VLOOKUP(A25,'Données projet'!$A$113:$I$133,2,0)</f>
        <v>123</v>
      </c>
      <c r="BW25" s="12">
        <f>VLOOKUP(A25,'Données projet'!$A$113:$I$133,9,0)</f>
        <v>5.5909090909090908</v>
      </c>
      <c r="BX25" s="12">
        <f t="array" ref="BX25">INDEX(BW:BW,MIN(IF(ISNUMBER(BW25:BW221),ROW(BW25:BW221),"")))</f>
        <v>5.5909090909090908</v>
      </c>
      <c r="BY25" s="12">
        <f>IF('Données projet'!$A$114&gt;35,BY24+BX25-CG24,IF(A25&lt;'Données projet'!$A$114,$BV$205^A25,IF(A25='Données projet'!$A$114,'Données projet'!$B$114,BY24+BX25-CG24)))</f>
        <v>123</v>
      </c>
      <c r="BZ25" s="13">
        <f>BY25*VLOOKUP('Données projet'!$B$12,Paramètres!$A$1:$I$89,3,0)*VLOOKUP('Données projet'!$B$12,Paramètres!$A$1:$I$89,5,0)</f>
        <v>73.554000000000016</v>
      </c>
      <c r="CA25" s="13">
        <f t="shared" si="39"/>
        <v>20.553481077376691</v>
      </c>
      <c r="CB25" s="20">
        <f t="shared" si="10"/>
        <v>163.90386287643108</v>
      </c>
      <c r="CC25" s="59">
        <f t="shared" si="11"/>
        <v>457.23719620976442</v>
      </c>
      <c r="CD25" s="59">
        <f ca="1">AVERAGE(OFFSET($CC$3,0,0,'Données projet'!$E$12+1,1))-AVERAGE(OFFSET($H$3,0,0,'Données projet'!$E$12+1,1))</f>
        <v>289.07218105343333</v>
      </c>
      <c r="CE25" s="59">
        <f t="shared" si="40"/>
        <v>217.57508587672368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16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0.27</v>
      </c>
      <c r="CJ25" s="16">
        <f>IF(ISNA(VLOOKUP(A25,'Données projet'!$A$113:$I$133,7,0)),0%,VLOOKUP(A25,'Données projet'!$A$113:$I$133,7,0))</f>
        <v>0.4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3.41350017220471</v>
      </c>
      <c r="CM25" s="21">
        <f>EXP(-LN(2)/2)*CM24+(1-EXP(-LN(2)/2))/(LN(2)/2)*CG25*CJ25*VLOOKUP('Données projet'!$B$12,Paramètres!$A$1:$I$89,3,0)*0.475*44/12</f>
        <v>4.3332794490932907</v>
      </c>
      <c r="CN25" s="22">
        <f t="shared" si="12"/>
        <v>7.7467796212980007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9</v>
      </c>
      <c r="CT25" s="12">
        <f>IF('Données projet'!$A$140&gt;35,CT24+CS25-DB24,IF(A25&lt;'Données projet'!$A$140,$CQ$205^A25,IF(A25='Données projet'!$A$140,'Données projet'!$B$140,CT24+CS25-DB24)))</f>
        <v>112</v>
      </c>
      <c r="CU25" s="17">
        <f>CT25*VLOOKUP('Données projet'!$B$13,Paramètres!$A$1:$I$89,3,0)*VLOOKUP('Données projet'!$B$13,Paramètres!$A$1:$I$89,5,0)</f>
        <v>97.84320000000001</v>
      </c>
      <c r="CV25" s="13">
        <f t="shared" si="41"/>
        <v>26.447519466918756</v>
      </c>
      <c r="CW25" s="20">
        <f t="shared" si="13"/>
        <v>216.47300307155021</v>
      </c>
      <c r="CX25" s="59">
        <f t="shared" si="14"/>
        <v>509.8063364048835</v>
      </c>
      <c r="CY25" s="59">
        <f ca="1">AVERAGE(OFFSET($CX$3,0,0,'Données projet'!$E$13+1,1))-AVERAGE(OFFSET($H$3,0,0,'Données projet'!$E$13+1,1))</f>
        <v>237.8483058552178</v>
      </c>
      <c r="CZ25" s="59">
        <f t="shared" si="42"/>
        <v>313.36201272119723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</v>
      </c>
      <c r="DO25" s="12">
        <f>IF('Données projet'!$A$166&gt;35,DO24+DN25-DW24,IF(A25&lt;'Données projet'!$A$166,$DL$205^A25,IF(A25='Données projet'!$A$166,'Données projet'!$B$166,DO24+DN25-DW24)))</f>
        <v>66</v>
      </c>
      <c r="DP25" s="17">
        <f>DO25*VLOOKUP('Données projet'!$B$14,Paramètres!$A$1:$I$89,3,0)*VLOOKUP('Données projet'!$B$14,Paramètres!$A$1:$I$89,5,0)</f>
        <v>63.835200000000007</v>
      </c>
      <c r="DQ25" s="13">
        <f t="shared" si="43"/>
        <v>18.134403645282525</v>
      </c>
      <c r="DR25" s="20">
        <f t="shared" si="16"/>
        <v>142.7637263488671</v>
      </c>
      <c r="DS25" s="59">
        <f t="shared" si="17"/>
        <v>436.09705968220044</v>
      </c>
      <c r="DT25" s="59">
        <f ca="1">AVERAGE(OFFSET($DS$3,0,0,'Données projet'!$E$14+1,1))-AVERAGE(OFFSET($H$3,0,0,'Données projet'!$E$14+1,1))</f>
        <v>325.01961068962373</v>
      </c>
      <c r="DU25" s="59">
        <f t="shared" si="44"/>
        <v>155.12737608540039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12.6</v>
      </c>
      <c r="EJ25" s="12">
        <f>IF('Données projet'!$A$192&gt;35,EJ24+EI25-ER24,IF(A25&lt;'Données projet'!$A$192,$EG$205^A25,IF(A25='Données projet'!$A$192,'Données projet'!$B$192,EJ24+EI25-ER24)))</f>
        <v>77.199999999999989</v>
      </c>
      <c r="EK25" s="17">
        <f>EJ25*VLOOKUP('Données projet'!$B$15,Paramètres!$A$1:$I$89,3,0)*VLOOKUP('Données projet'!$B$15,Paramètres!$A$1:$I$89,5,0)</f>
        <v>51.785759999999996</v>
      </c>
      <c r="EL25" s="13">
        <f t="shared" si="45"/>
        <v>15.073993855317941</v>
      </c>
      <c r="EM25" s="20">
        <f t="shared" si="19"/>
        <v>116.44740463134538</v>
      </c>
      <c r="EN25" s="59">
        <f t="shared" si="20"/>
        <v>409.78073796467868</v>
      </c>
      <c r="EO25" s="59">
        <f ca="1">AVERAGE(OFFSET($EN$3,0,0,'Données projet'!$E$15+1,1))-AVERAGE(OFFSET($H$3,0,0,'Données projet'!$E$15+1,1))</f>
        <v>178.09619481964575</v>
      </c>
      <c r="EP25" s="59">
        <f t="shared" si="46"/>
        <v>178.65167777495174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12.6</v>
      </c>
      <c r="FE25" s="12">
        <f>IF('Données projet'!$A$218&gt;35,FE24+FD25-FM24,IF(A25&lt;'Données projet'!$A$218,$FB$205^A25,IF(A25='Données projet'!$A$218,'Données projet'!$B$218,FE24+FD25-FM24)))</f>
        <v>77.199999999999989</v>
      </c>
      <c r="FF25" s="17">
        <f>FE25*VLOOKUP('Données projet'!$B$16,Paramètres!$A$1:$I$89,3,0)*VLOOKUP('Données projet'!$B$16,Paramètres!$A$1:$I$89,5,0)</f>
        <v>61.42031999999999</v>
      </c>
      <c r="FG25" s="13">
        <f t="shared" si="47"/>
        <v>17.526880037631354</v>
      </c>
      <c r="FH25" s="20">
        <f t="shared" si="22"/>
        <v>137.4997067322079</v>
      </c>
      <c r="FI25" s="59">
        <f t="shared" si="23"/>
        <v>430.83304006554124</v>
      </c>
      <c r="FJ25" s="59">
        <f ca="1">AVERAGE(OFFSET($FI$3,0,0,'Données projet'!$E$16+1,1))-AVERAGE(OFFSET($H$3,0,0,'Données projet'!$E$16+1,1))</f>
        <v>219.43439115440339</v>
      </c>
      <c r="FK25" s="59">
        <f t="shared" si="48"/>
        <v>217.8880462742099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15</v>
      </c>
      <c r="FZ25" s="12">
        <f>IF('Données projet'!$A$244&gt;35,FZ24+FY25-GH24,IF(A25&lt;'Données projet'!$A$244,$FW$205^A25,IF(A25='Données projet'!$A$244,'Données projet'!$B$244,FZ24+FY25-GH24)))</f>
        <v>127</v>
      </c>
      <c r="GA25" s="17">
        <f>FZ25*VLOOKUP('Données projet'!$B$17,Paramètres!$A$1:$I$89,3,0)*VLOOKUP('Données projet'!$B$17,Paramètres!$A$1:$I$89,5,0)</f>
        <v>75.945999999999998</v>
      </c>
      <c r="GB25" s="13">
        <f t="shared" si="49"/>
        <v>21.142979995226831</v>
      </c>
      <c r="GC25" s="20">
        <f t="shared" si="25"/>
        <v>169.09664015835338</v>
      </c>
      <c r="GD25" s="59">
        <f t="shared" si="26"/>
        <v>462.42997349168672</v>
      </c>
      <c r="GE25" s="59">
        <f ca="1">AVERAGE(OFFSET($GD$3,0,0,'Données projet'!$E$17+1,1))-AVERAGE(OFFSET($H$3,0,0,'Données projet'!$E$17+1,1))</f>
        <v>191.77102466144095</v>
      </c>
      <c r="GF25" s="59">
        <f t="shared" si="50"/>
        <v>205.57161411620217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7.1500983577337589</v>
      </c>
      <c r="GN25" s="21">
        <f>EXP(-LN(2)/2)*GN24+(1-EXP(-LN(2)/2))/(LN(2)/2)*GH25*GK25*VLOOKUP('Données projet'!$B$17,Paramètres!$A$1:$I$89,3,0)*0.475*44/12</f>
        <v>3.4869358066922578</v>
      </c>
      <c r="GO25" s="21">
        <f t="shared" si="27"/>
        <v>10.637034164426016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17.26923076923077</v>
      </c>
      <c r="N26" s="13">
        <f>IF('Données projet'!$A$36&gt;35,N25+M26-V25,IF(A26&lt;'Données projet'!$A$36,$K$205^A26,IF(A26='Données projet'!$A$36,'Données projet'!$B$36,N25+M26-V25)))</f>
        <v>221.93097291227863</v>
      </c>
      <c r="O26" s="13">
        <f>N26*VLOOKUP('Données projet'!$B$9,Paramètres!$A$1:$I$89,3,0)*VLOOKUP('Données projet'!$B$9,Paramètres!$A$1:$I$89,5,0)</f>
        <v>128.09855756496722</v>
      </c>
      <c r="P26" s="13">
        <f t="shared" si="33"/>
        <v>33.556615745165466</v>
      </c>
      <c r="Q26" s="20">
        <f t="shared" si="2"/>
        <v>281.54942684848106</v>
      </c>
      <c r="R26" s="59">
        <f t="shared" si="0"/>
        <v>574.88276018181432</v>
      </c>
      <c r="S26" s="59">
        <f ca="1">AVERAGE(OFFSET($R$3,0,0,'Données projet'!$E$9+1,1))-AVERAGE(OFFSET($H$3,0,0,'Données projet'!$E$9+1,1))</f>
        <v>84.31577618130467</v>
      </c>
      <c r="T26" s="59">
        <f t="shared" si="34"/>
        <v>527.2140904310653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</v>
      </c>
      <c r="AI26" s="13">
        <f>IF('Données projet'!$A$62&gt;35,AI25+AH26-AQ25,IF(A26&lt;'Données projet'!$A$62,$AF$205^A26,IF(A26='Données projet'!$A$62,'Données projet'!$B$62,AI25+AH26-AQ25)))</f>
        <v>69</v>
      </c>
      <c r="AJ26" s="13">
        <f>AI26*VLOOKUP('Données projet'!$B$10,Paramètres!$A$1:$I$89,3,0)*VLOOKUP('Données projet'!$B$10,Paramètres!$A$1:$I$89,5,0)</f>
        <v>62.431199999999997</v>
      </c>
      <c r="AK26" s="13">
        <f t="shared" si="35"/>
        <v>17.781524466058684</v>
      </c>
      <c r="AL26" s="20">
        <f t="shared" si="4"/>
        <v>139.70382844505221</v>
      </c>
      <c r="AM26" s="59">
        <f t="shared" si="5"/>
        <v>433.03716177838555</v>
      </c>
      <c r="AN26" s="59">
        <f ca="1">AVERAGE(OFFSET($AM$3,0,0,'Données projet'!$E$10+1,1))-AVERAGE(OFFSET($H$3,0,0,'Données projet'!$E$10+1,1))</f>
        <v>297.90790572649428</v>
      </c>
      <c r="AO26" s="59">
        <f t="shared" si="36"/>
        <v>142.96889776844506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</v>
      </c>
      <c r="BD26" s="12">
        <f>IF('Données projet'!$A$88&gt;35,BD25+BC26-BL25,IF(A26&lt;'Données projet'!$A$88,$BA$205^A26,IF(A26='Données projet'!$A$88,'Données projet'!$B$88,BD25+BC26-BL25)))</f>
        <v>69</v>
      </c>
      <c r="BE26" s="13">
        <f>BD26*VLOOKUP('Données projet'!$B$11,Paramètres!$A$1:$I$89,3,0)*VLOOKUP('Données projet'!$B$11,Paramètres!$A$1:$I$89,5,0)</f>
        <v>69.966000000000008</v>
      </c>
      <c r="BF26" s="13">
        <f t="shared" si="37"/>
        <v>19.665013934342461</v>
      </c>
      <c r="BG26" s="20">
        <f t="shared" si="7"/>
        <v>156.10734926897979</v>
      </c>
      <c r="BH26" s="59">
        <f t="shared" si="8"/>
        <v>449.44068260231313</v>
      </c>
      <c r="BI26" s="59">
        <f ca="1">AVERAGE(OFFSET($BH$3,0,0,'Données projet'!$E$11+1,1))-AVERAGE(OFFSET($H$3,0,0,'Données projet'!$E$11+1,1))</f>
        <v>345.3294887586967</v>
      </c>
      <c r="BJ26" s="59">
        <f t="shared" si="38"/>
        <v>164.23448598618114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12.333333333333334</v>
      </c>
      <c r="BY26" s="12">
        <f>IF('Données projet'!$A$114&gt;35,BY25+BX26-CG25,IF(A26&lt;'Données projet'!$A$114,$BV$205^A26,IF(A26='Données projet'!$A$114,'Données projet'!$B$114,BY25+BX26-CG25)))</f>
        <v>119.33333333333334</v>
      </c>
      <c r="BZ26" s="13">
        <f>BY26*VLOOKUP('Données projet'!$B$12,Paramètres!$A$1:$I$89,3,0)*VLOOKUP('Données projet'!$B$12,Paramètres!$A$1:$I$89,5,0)</f>
        <v>71.361333333333349</v>
      </c>
      <c r="CA26" s="13">
        <f t="shared" si="39"/>
        <v>20.011144716858571</v>
      </c>
      <c r="CB26" s="20">
        <f t="shared" si="10"/>
        <v>159.14039927075092</v>
      </c>
      <c r="CC26" s="59">
        <f t="shared" si="11"/>
        <v>452.47373260408426</v>
      </c>
      <c r="CD26" s="59">
        <f ca="1">AVERAGE(OFFSET($CC$3,0,0,'Données projet'!$E$12+1,1))-AVERAGE(OFFSET($H$3,0,0,'Données projet'!$E$12+1,1))</f>
        <v>289.07218105343333</v>
      </c>
      <c r="CE26" s="59">
        <f t="shared" si="40"/>
        <v>217.57508587672368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3.3201578304876</v>
      </c>
      <c r="CM26" s="21">
        <f>EXP(-LN(2)/2)*CM25+(1-EXP(-LN(2)/2))/(LN(2)/2)*CG26*CJ26*VLOOKUP('Données projet'!$B$12,Paramètres!$A$1:$I$89,3,0)*0.475*44/12</f>
        <v>3.064091283230173</v>
      </c>
      <c r="CN26" s="22">
        <f t="shared" si="12"/>
        <v>6.3842491137177735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9</v>
      </c>
      <c r="CT26" s="12">
        <f>IF('Données projet'!$A$140&gt;35,CT25+CS26-DB25,IF(A26&lt;'Données projet'!$A$140,$CQ$205^A26,IF(A26='Données projet'!$A$140,'Données projet'!$B$140,CT25+CS26-DB25)))</f>
        <v>121</v>
      </c>
      <c r="CU26" s="17">
        <f>CT26*VLOOKUP('Données projet'!$B$13,Paramètres!$A$1:$I$89,3,0)*VLOOKUP('Données projet'!$B$13,Paramètres!$A$1:$I$89,5,0)</f>
        <v>105.70560000000002</v>
      </c>
      <c r="CV26" s="13">
        <f t="shared" si="41"/>
        <v>28.316857405559993</v>
      </c>
      <c r="CW26" s="20">
        <f t="shared" si="13"/>
        <v>233.42244664801697</v>
      </c>
      <c r="CX26" s="59">
        <f t="shared" si="14"/>
        <v>526.75577998135032</v>
      </c>
      <c r="CY26" s="59">
        <f ca="1">AVERAGE(OFFSET($CX$3,0,0,'Données projet'!$E$13+1,1))-AVERAGE(OFFSET($H$3,0,0,'Données projet'!$E$13+1,1))</f>
        <v>237.8483058552178</v>
      </c>
      <c r="CZ26" s="59">
        <f t="shared" si="42"/>
        <v>313.36201272119723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</v>
      </c>
      <c r="DO26" s="12">
        <f>IF('Données projet'!$A$166&gt;35,DO25+DN26-DW25,IF(A26&lt;'Données projet'!$A$166,$DL$205^A26,IF(A26='Données projet'!$A$166,'Données projet'!$B$166,DO25+DN26-DW25)))</f>
        <v>69</v>
      </c>
      <c r="DP26" s="17">
        <f>DO26*VLOOKUP('Données projet'!$B$14,Paramètres!$A$1:$I$89,3,0)*VLOOKUP('Données projet'!$B$14,Paramètres!$A$1:$I$89,5,0)</f>
        <v>66.736800000000002</v>
      </c>
      <c r="DQ26" s="13">
        <f t="shared" si="43"/>
        <v>18.860852268900601</v>
      </c>
      <c r="DR26" s="20">
        <f t="shared" si="16"/>
        <v>149.08257770166853</v>
      </c>
      <c r="DS26" s="59">
        <f t="shared" si="17"/>
        <v>442.41591103500184</v>
      </c>
      <c r="DT26" s="59">
        <f ca="1">AVERAGE(OFFSET($DS$3,0,0,'Données projet'!$E$14+1,1))-AVERAGE(OFFSET($H$3,0,0,'Données projet'!$E$14+1,1))</f>
        <v>325.01961068962373</v>
      </c>
      <c r="DU26" s="59">
        <f t="shared" si="44"/>
        <v>155.12737608540039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12.6</v>
      </c>
      <c r="EJ26" s="12">
        <f>IF('Données projet'!$A$192&gt;35,EJ25+EI26-ER25,IF(A26&lt;'Données projet'!$A$192,$EG$205^A26,IF(A26='Données projet'!$A$192,'Données projet'!$B$192,EJ25+EI26-ER25)))</f>
        <v>89.799999999999983</v>
      </c>
      <c r="EK26" s="17">
        <f>EJ26*VLOOKUP('Données projet'!$B$15,Paramètres!$A$1:$I$89,3,0)*VLOOKUP('Données projet'!$B$15,Paramètres!$A$1:$I$89,5,0)</f>
        <v>60.237839999999984</v>
      </c>
      <c r="EL26" s="13">
        <f t="shared" si="45"/>
        <v>17.228388574079645</v>
      </c>
      <c r="EM26" s="20">
        <f t="shared" si="19"/>
        <v>134.92034809985532</v>
      </c>
      <c r="EN26" s="59">
        <f t="shared" si="20"/>
        <v>428.2536814331886</v>
      </c>
      <c r="EO26" s="59">
        <f ca="1">AVERAGE(OFFSET($EN$3,0,0,'Données projet'!$E$15+1,1))-AVERAGE(OFFSET($H$3,0,0,'Données projet'!$E$15+1,1))</f>
        <v>178.09619481964575</v>
      </c>
      <c r="EP26" s="59">
        <f t="shared" si="46"/>
        <v>178.65167777495174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</v>
      </c>
      <c r="FE26" s="12">
        <f>IF('Données projet'!$A$218&gt;35,FE25+FD26-FM25,IF(A26&lt;'Données projet'!$A$218,$FB$205^A26,IF(A26='Données projet'!$A$218,'Données projet'!$B$218,FE25+FD26-FM25)))</f>
        <v>89.799999999999983</v>
      </c>
      <c r="FF26" s="17">
        <f>FE26*VLOOKUP('Données projet'!$B$16,Paramètres!$A$1:$I$89,3,0)*VLOOKUP('Données projet'!$B$16,Paramètres!$A$1:$I$89,5,0)</f>
        <v>71.444879999999998</v>
      </c>
      <c r="FG26" s="13">
        <f t="shared" si="47"/>
        <v>20.03184442542841</v>
      </c>
      <c r="FH26" s="20">
        <f t="shared" si="22"/>
        <v>159.32196170762117</v>
      </c>
      <c r="FI26" s="59">
        <f t="shared" si="23"/>
        <v>452.65529504095446</v>
      </c>
      <c r="FJ26" s="59">
        <f ca="1">AVERAGE(OFFSET($FI$3,0,0,'Données projet'!$E$16+1,1))-AVERAGE(OFFSET($H$3,0,0,'Données projet'!$E$16+1,1))</f>
        <v>219.43439115440339</v>
      </c>
      <c r="FK26" s="59">
        <f t="shared" si="48"/>
        <v>217.8880462742099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15</v>
      </c>
      <c r="FZ26" s="12">
        <f>IF('Données projet'!$A$244&gt;35,FZ25+FY26-GH25,IF(A26&lt;'Données projet'!$A$244,$FW$205^A26,IF(A26='Données projet'!$A$244,'Données projet'!$B$244,FZ25+FY26-GH25)))</f>
        <v>142</v>
      </c>
      <c r="GA26" s="17">
        <f>FZ26*VLOOKUP('Données projet'!$B$17,Paramètres!$A$1:$I$89,3,0)*VLOOKUP('Données projet'!$B$17,Paramètres!$A$1:$I$89,5,0)</f>
        <v>84.916000000000011</v>
      </c>
      <c r="GB26" s="13">
        <f t="shared" si="49"/>
        <v>23.33496813320572</v>
      </c>
      <c r="GC26" s="20">
        <f t="shared" si="25"/>
        <v>188.53710283199996</v>
      </c>
      <c r="GD26" s="59">
        <f t="shared" si="26"/>
        <v>481.87043616533327</v>
      </c>
      <c r="GE26" s="59">
        <f ca="1">AVERAGE(OFFSET($GD$3,0,0,'Données projet'!$E$17+1,1))-AVERAGE(OFFSET($H$3,0,0,'Données projet'!$E$17+1,1))</f>
        <v>191.77102466144095</v>
      </c>
      <c r="GF26" s="59">
        <f t="shared" si="50"/>
        <v>205.57161411620217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6.9545785421341986</v>
      </c>
      <c r="GN26" s="21">
        <f>EXP(-LN(2)/2)*GN25+(1-EXP(-LN(2)/2))/(LN(2)/2)*GH26*GK26*VLOOKUP('Données projet'!$B$17,Paramètres!$A$1:$I$89,3,0)*0.475*44/12</f>
        <v>2.4656359544742799</v>
      </c>
      <c r="GO26" s="21">
        <f t="shared" si="27"/>
        <v>9.4202144966084784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17.26923076923077</v>
      </c>
      <c r="N27" s="13">
        <f>IF('Données projet'!$A$36&gt;35,N26+M27-V26,IF(A27&lt;'Données projet'!$A$36,$K$205^A27,IF(A27='Données projet'!$A$36,'Données projet'!$B$36,N26+M27-V26)))</f>
        <v>280.69029159969602</v>
      </c>
      <c r="O27" s="13">
        <f>N27*VLOOKUP('Données projet'!$B$9,Paramètres!$A$1:$I$89,3,0)*VLOOKUP('Données projet'!$B$9,Paramètres!$A$1:$I$89,5,0)</f>
        <v>162.01443631134455</v>
      </c>
      <c r="P27" s="13">
        <f t="shared" si="33"/>
        <v>41.296545755141246</v>
      </c>
      <c r="Q27" s="20">
        <f t="shared" si="2"/>
        <v>354.09996043246269</v>
      </c>
      <c r="R27" s="59">
        <f t="shared" si="0"/>
        <v>647.43329376579595</v>
      </c>
      <c r="S27" s="59">
        <f ca="1">AVERAGE(OFFSET($R$3,0,0,'Données projet'!$E$9+1,1))-AVERAGE(OFFSET($H$3,0,0,'Données projet'!$E$9+1,1))</f>
        <v>84.31577618130467</v>
      </c>
      <c r="T27" s="59">
        <f t="shared" si="34"/>
        <v>527.2140904310653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</v>
      </c>
      <c r="AI27" s="13">
        <f>IF('Données projet'!$A$62&gt;35,AI26+AH27-AQ26,IF(A27&lt;'Données projet'!$A$62,$AF$205^A27,IF(A27='Données projet'!$A$62,'Données projet'!$B$62,AI26+AH27-AQ26)))</f>
        <v>72</v>
      </c>
      <c r="AJ27" s="13">
        <f>AI27*VLOOKUP('Données projet'!$B$10,Paramètres!$A$1:$I$89,3,0)*VLOOKUP('Données projet'!$B$10,Paramètres!$A$1:$I$89,5,0)</f>
        <v>65.145600000000002</v>
      </c>
      <c r="AK27" s="13">
        <f t="shared" si="35"/>
        <v>18.462943001028204</v>
      </c>
      <c r="AL27" s="20">
        <f t="shared" si="4"/>
        <v>145.61821239345747</v>
      </c>
      <c r="AM27" s="59">
        <f t="shared" si="5"/>
        <v>438.95154572679075</v>
      </c>
      <c r="AN27" s="59">
        <f ca="1">AVERAGE(OFFSET($AM$3,0,0,'Données projet'!$E$10+1,1))-AVERAGE(OFFSET($H$3,0,0,'Données projet'!$E$10+1,1))</f>
        <v>297.90790572649428</v>
      </c>
      <c r="AO27" s="59">
        <f t="shared" si="36"/>
        <v>142.96889776844506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</v>
      </c>
      <c r="BD27" s="12">
        <f>IF('Données projet'!$A$88&gt;35,BD26+BC27-BL26,IF(A27&lt;'Données projet'!$A$88,$BA$205^A27,IF(A27='Données projet'!$A$88,'Données projet'!$B$88,BD26+BC27-BL26)))</f>
        <v>72</v>
      </c>
      <c r="BE27" s="13">
        <f>BD27*VLOOKUP('Données projet'!$B$11,Paramètres!$A$1:$I$89,3,0)*VLOOKUP('Données projet'!$B$11,Paramètres!$A$1:$I$89,5,0)</f>
        <v>73.00800000000001</v>
      </c>
      <c r="BF27" s="13">
        <f t="shared" si="37"/>
        <v>20.418611018263636</v>
      </c>
      <c r="BG27" s="20">
        <f t="shared" si="7"/>
        <v>162.7180141901425</v>
      </c>
      <c r="BH27" s="59">
        <f t="shared" si="8"/>
        <v>456.05134752347578</v>
      </c>
      <c r="BI27" s="59">
        <f ca="1">AVERAGE(OFFSET($BH$3,0,0,'Données projet'!$E$11+1,1))-AVERAGE(OFFSET($H$3,0,0,'Données projet'!$E$11+1,1))</f>
        <v>345.3294887586967</v>
      </c>
      <c r="BJ27" s="59">
        <f t="shared" si="38"/>
        <v>164.23448598618114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12.333333333333334</v>
      </c>
      <c r="BY27" s="12">
        <f>IF('Données projet'!$A$114&gt;35,BY26+BX27-CG26,IF(A27&lt;'Données projet'!$A$114,$BV$205^A27,IF(A27='Données projet'!$A$114,'Données projet'!$B$114,BY26+BX27-CG26)))</f>
        <v>131.66666666666669</v>
      </c>
      <c r="BZ27" s="13">
        <f>BY27*VLOOKUP('Données projet'!$B$12,Paramètres!$A$1:$I$89,3,0)*VLOOKUP('Données projet'!$B$12,Paramètres!$A$1:$I$89,5,0)</f>
        <v>78.736666666666679</v>
      </c>
      <c r="CA27" s="13">
        <f t="shared" si="39"/>
        <v>21.828006984037064</v>
      </c>
      <c r="CB27" s="20">
        <f t="shared" si="10"/>
        <v>175.15013994164235</v>
      </c>
      <c r="CC27" s="59">
        <f t="shared" si="11"/>
        <v>468.48347327497567</v>
      </c>
      <c r="CD27" s="59">
        <f ca="1">AVERAGE(OFFSET($CC$3,0,0,'Données projet'!$E$12+1,1))-AVERAGE(OFFSET($H$3,0,0,'Données projet'!$E$12+1,1))</f>
        <v>289.07218105343333</v>
      </c>
      <c r="CE27" s="59">
        <f t="shared" si="40"/>
        <v>217.57508587672368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3.2293679400134048</v>
      </c>
      <c r="CM27" s="21">
        <f>EXP(-LN(2)/2)*CM26+(1-EXP(-LN(2)/2))/(LN(2)/2)*CG27*CJ27*VLOOKUP('Données projet'!$B$12,Paramètres!$A$1:$I$89,3,0)*0.475*44/12</f>
        <v>2.1666397245466458</v>
      </c>
      <c r="CN27" s="22">
        <f t="shared" si="12"/>
        <v>5.3960076645600505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9</v>
      </c>
      <c r="CT27" s="12">
        <f>IF('Données projet'!$A$140&gt;35,CT26+CS27-DB26,IF(A27&lt;'Données projet'!$A$140,$CQ$205^A27,IF(A27='Données projet'!$A$140,'Données projet'!$B$140,CT26+CS27-DB26)))</f>
        <v>130</v>
      </c>
      <c r="CU27" s="17">
        <f>CT27*VLOOKUP('Données projet'!$B$13,Paramètres!$A$1:$I$89,3,0)*VLOOKUP('Données projet'!$B$13,Paramètres!$A$1:$I$89,5,0)</f>
        <v>113.56800000000003</v>
      </c>
      <c r="CV27" s="13">
        <f t="shared" si="41"/>
        <v>30.17006506205821</v>
      </c>
      <c r="CW27" s="20">
        <f t="shared" si="13"/>
        <v>250.34379664975143</v>
      </c>
      <c r="CX27" s="59">
        <f t="shared" si="14"/>
        <v>543.6771299830848</v>
      </c>
      <c r="CY27" s="59">
        <f ca="1">AVERAGE(OFFSET($CX$3,0,0,'Données projet'!$E$13+1,1))-AVERAGE(OFFSET($H$3,0,0,'Données projet'!$E$13+1,1))</f>
        <v>237.8483058552178</v>
      </c>
      <c r="CZ27" s="59">
        <f t="shared" si="42"/>
        <v>313.36201272119723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</v>
      </c>
      <c r="DO27" s="12">
        <f>IF('Données projet'!$A$166&gt;35,DO26+DN27-DW26,IF(A27&lt;'Données projet'!$A$166,$DL$205^A27,IF(A27='Données projet'!$A$166,'Données projet'!$B$166,DO26+DN27-DW26)))</f>
        <v>72</v>
      </c>
      <c r="DP27" s="17">
        <f>DO27*VLOOKUP('Données projet'!$B$14,Paramètres!$A$1:$I$89,3,0)*VLOOKUP('Données projet'!$B$14,Paramètres!$A$1:$I$89,5,0)</f>
        <v>69.638400000000004</v>
      </c>
      <c r="DQ27" s="13">
        <f t="shared" si="43"/>
        <v>19.583632497664617</v>
      </c>
      <c r="DR27" s="20">
        <f t="shared" si="16"/>
        <v>155.39503993343254</v>
      </c>
      <c r="DS27" s="59">
        <f t="shared" si="17"/>
        <v>448.72837326676586</v>
      </c>
      <c r="DT27" s="59">
        <f ca="1">AVERAGE(OFFSET($DS$3,0,0,'Données projet'!$E$14+1,1))-AVERAGE(OFFSET($H$3,0,0,'Données projet'!$E$14+1,1))</f>
        <v>325.01961068962373</v>
      </c>
      <c r="DU27" s="59">
        <f t="shared" si="44"/>
        <v>155.12737608540039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12.6</v>
      </c>
      <c r="EJ27" s="12">
        <f>IF('Données projet'!$A$192&gt;35,EJ26+EI27-ER26,IF(A27&lt;'Données projet'!$A$192,$EG$205^A27,IF(A27='Données projet'!$A$192,'Données projet'!$B$192,EJ26+EI27-ER26)))</f>
        <v>102.39999999999998</v>
      </c>
      <c r="EK27" s="17">
        <f>EJ27*VLOOKUP('Données projet'!$B$15,Paramètres!$A$1:$I$89,3,0)*VLOOKUP('Données projet'!$B$15,Paramètres!$A$1:$I$89,5,0)</f>
        <v>68.689919999999987</v>
      </c>
      <c r="EL27" s="13">
        <f t="shared" si="45"/>
        <v>19.347761669935927</v>
      </c>
      <c r="EM27" s="20">
        <f t="shared" si="19"/>
        <v>153.3322955751384</v>
      </c>
      <c r="EN27" s="59">
        <f t="shared" si="20"/>
        <v>446.66562890847172</v>
      </c>
      <c r="EO27" s="59">
        <f ca="1">AVERAGE(OFFSET($EN$3,0,0,'Données projet'!$E$15+1,1))-AVERAGE(OFFSET($H$3,0,0,'Données projet'!$E$15+1,1))</f>
        <v>178.09619481964575</v>
      </c>
      <c r="EP27" s="59">
        <f t="shared" si="46"/>
        <v>178.65167777495174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</v>
      </c>
      <c r="FE27" s="12">
        <f>IF('Données projet'!$A$218&gt;35,FE26+FD27-FM26,IF(A27&lt;'Données projet'!$A$218,$FB$205^A27,IF(A27='Données projet'!$A$218,'Données projet'!$B$218,FE26+FD27-FM26)))</f>
        <v>102.39999999999998</v>
      </c>
      <c r="FF27" s="17">
        <f>FE27*VLOOKUP('Données projet'!$B$16,Paramètres!$A$1:$I$89,3,0)*VLOOKUP('Données projet'!$B$16,Paramètres!$A$1:$I$89,5,0)</f>
        <v>81.469439999999992</v>
      </c>
      <c r="FG27" s="13">
        <f t="shared" si="47"/>
        <v>22.496088365195678</v>
      </c>
      <c r="FH27" s="20">
        <f t="shared" si="22"/>
        <v>181.07329523604912</v>
      </c>
      <c r="FI27" s="59">
        <f t="shared" si="23"/>
        <v>474.40662856938241</v>
      </c>
      <c r="FJ27" s="59">
        <f ca="1">AVERAGE(OFFSET($FI$3,0,0,'Données projet'!$E$16+1,1))-AVERAGE(OFFSET($H$3,0,0,'Données projet'!$E$16+1,1))</f>
        <v>219.43439115440339</v>
      </c>
      <c r="FK27" s="59">
        <f t="shared" si="48"/>
        <v>217.8880462742099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>
        <f>VLOOKUP(A27,'Données projet'!$A$243:$I$263,2,0)</f>
        <v>157</v>
      </c>
      <c r="FX27" s="12">
        <f>VLOOKUP(A27,'Données projet'!$A$243:$I$263,9,0)</f>
        <v>15</v>
      </c>
      <c r="FY27" s="12">
        <f t="array" ref="FY27">INDEX(FX:FX,MIN(IF(ISNUMBER(FX27:FX223),ROW(FX27:FX223),"")))</f>
        <v>15</v>
      </c>
      <c r="FZ27" s="12">
        <f>IF('Données projet'!$A$244&gt;35,FZ26+FY27-GH26,IF(A27&lt;'Données projet'!$A$244,$FW$205^A27,IF(A27='Données projet'!$A$244,'Données projet'!$B$244,FZ26+FY27-GH26)))</f>
        <v>157</v>
      </c>
      <c r="GA27" s="17">
        <f>FZ27*VLOOKUP('Données projet'!$B$17,Paramètres!$A$1:$I$89,3,0)*VLOOKUP('Données projet'!$B$17,Paramètres!$A$1:$I$89,5,0)</f>
        <v>93.885999999999996</v>
      </c>
      <c r="GB27" s="13">
        <f t="shared" si="49"/>
        <v>25.500116461916402</v>
      </c>
      <c r="GC27" s="20">
        <f t="shared" si="25"/>
        <v>207.9308195045044</v>
      </c>
      <c r="GD27" s="59">
        <f t="shared" si="26"/>
        <v>501.26415283783774</v>
      </c>
      <c r="GE27" s="59">
        <f ca="1">AVERAGE(OFFSET($GD$3,0,0,'Données projet'!$E$17+1,1))-AVERAGE(OFFSET($H$3,0,0,'Données projet'!$E$17+1,1))</f>
        <v>191.77102466144095</v>
      </c>
      <c r="GF27" s="59">
        <f t="shared" si="50"/>
        <v>205.57161411620217</v>
      </c>
      <c r="GG27" s="15">
        <f>IF(ISNA(VLOOKUP(A27,'Données projet'!$A$243:$I$263,3,0)),0,VLOOKUP(A27,'Données projet'!$A$243:$I$263,3,0))</f>
        <v>4</v>
      </c>
      <c r="GH27" s="15">
        <f>IF(ISNA(VLOOKUP(A27,'Données projet'!$A$243:$I$263,4,0)),0,VLOOKUP(A27,'Données projet'!$A$243:$I$263,4,0))</f>
        <v>31</v>
      </c>
      <c r="GI27" s="16">
        <f>IF(ISNA(VLOOKUP(A27,'Données projet'!$A$243:$I$263,5,0)),0%,VLOOKUP(A27,'Données projet'!$A$243:$I$263,5,0)*VLOOKUP('Données projet'!$B$17,Paramètres!$A$1:$I$89,7,0))</f>
        <v>9.0000000000000011E-2</v>
      </c>
      <c r="GJ27" s="16">
        <f>IF(ISNA(VLOOKUP(A27,'Données projet'!$A$243:$I$263,6,0)),0%,VLOOKUP(A27,'Données projet'!$A$243:$I$263,6,0)*VLOOKUP('Données projet'!$B$17,Paramètres!$A$1:$I$89,7,0))</f>
        <v>0.18000000000000002</v>
      </c>
      <c r="GK27" s="16">
        <f>IF(ISNA(VLOOKUP(A27,'Données projet'!$A$243:$I$263,7,0)),0%,VLOOKUP(A27,'Données projet'!$A$243:$I$263,7,0))</f>
        <v>0.4</v>
      </c>
      <c r="GL27" s="21">
        <f>EXP(-LN(2)/35)*GL26+(1-EXP(-LN(2)/35))/(LN(2)/35)*GH27*GI27*VLOOKUP('Données projet'!$B$17,Paramètres!$A$1:$I$89,3,0)*0.475*44/12</f>
        <v>2.213266668744438</v>
      </c>
      <c r="GM27" s="21">
        <f>EXP(-LN(2)/25)*GM26+(1-EXP(-LN(2)/25))/(LN(2)/25)*Calculateur!GH27*Calculateur!GJ27*VLOOKUP('Données projet'!$B$17,Paramètres!$A$1:$I$89,3,0)*0.475*44/12</f>
        <v>11.173509615271897</v>
      </c>
      <c r="GN27" s="21">
        <f>EXP(-LN(2)/2)*GN26+(1-EXP(-LN(2)/2))/(LN(2)/2)*GH27*GK27*VLOOKUP('Données projet'!$B$17,Paramètres!$A$1:$I$89,3,0)*0.475*44/12</f>
        <v>10.13919683596438</v>
      </c>
      <c r="GO27" s="21">
        <f t="shared" si="27"/>
        <v>23.525973119980716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17.26923076923077</v>
      </c>
      <c r="N28" s="13">
        <f>IF('Données projet'!$A$36&gt;35,N27+M28-V27,IF(A28&lt;'Données projet'!$A$36,$K$205^A28,IF(A28='Données projet'!$A$36,'Données projet'!$B$36,N27+M28-V27)))</f>
        <v>355.00695898568455</v>
      </c>
      <c r="O28" s="13">
        <f>N28*VLOOKUP('Données projet'!$B$9,Paramètres!$A$1:$I$89,3,0)*VLOOKUP('Données projet'!$B$9,Paramètres!$A$1:$I$89,5,0)</f>
        <v>204.91001672653712</v>
      </c>
      <c r="P28" s="13">
        <f t="shared" si="33"/>
        <v>50.821712900299616</v>
      </c>
      <c r="Q28" s="20">
        <f t="shared" si="2"/>
        <v>445.39942910007397</v>
      </c>
      <c r="R28" s="59">
        <f t="shared" si="0"/>
        <v>738.73276243340729</v>
      </c>
      <c r="S28" s="59">
        <f ca="1">AVERAGE(OFFSET($R$3,0,0,'Données projet'!$E$9+1,1))-AVERAGE(OFFSET($H$3,0,0,'Données projet'!$E$9+1,1))</f>
        <v>84.31577618130467</v>
      </c>
      <c r="T28" s="59">
        <f t="shared" si="34"/>
        <v>527.2140904310653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</v>
      </c>
      <c r="AI28" s="13">
        <f>IF('Données projet'!$A$62&gt;35,AI27+AH28-AQ27,IF(A28&lt;'Données projet'!$A$62,$AF$205^A28,IF(A28='Données projet'!$A$62,'Données projet'!$B$62,AI27+AH28-AQ27)))</f>
        <v>75</v>
      </c>
      <c r="AJ28" s="13">
        <f>AI28*VLOOKUP('Données projet'!$B$10,Paramètres!$A$1:$I$89,3,0)*VLOOKUP('Données projet'!$B$10,Paramètres!$A$1:$I$89,5,0)</f>
        <v>67.86</v>
      </c>
      <c r="AK28" s="13">
        <f t="shared" si="35"/>
        <v>19.141063649731766</v>
      </c>
      <c r="AL28" s="20">
        <f t="shared" si="4"/>
        <v>151.52685252328283</v>
      </c>
      <c r="AM28" s="59">
        <f t="shared" si="5"/>
        <v>444.86018585661611</v>
      </c>
      <c r="AN28" s="59">
        <f ca="1">AVERAGE(OFFSET($AM$3,0,0,'Données projet'!$E$10+1,1))-AVERAGE(OFFSET($H$3,0,0,'Données projet'!$E$10+1,1))</f>
        <v>297.90790572649428</v>
      </c>
      <c r="AO28" s="59">
        <f t="shared" si="36"/>
        <v>142.96889776844506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</v>
      </c>
      <c r="BD28" s="12">
        <f>IF('Données projet'!$A$88&gt;35,BD27+BC28-BL27,IF(A28&lt;'Données projet'!$A$88,$BA$205^A28,IF(A28='Données projet'!$A$88,'Données projet'!$B$88,BD27+BC28-BL27)))</f>
        <v>75</v>
      </c>
      <c r="BE28" s="13">
        <f>BD28*VLOOKUP('Données projet'!$B$11,Paramètres!$A$1:$I$89,3,0)*VLOOKUP('Données projet'!$B$11,Paramètres!$A$1:$I$89,5,0)</f>
        <v>76.05</v>
      </c>
      <c r="BF28" s="13">
        <f t="shared" si="37"/>
        <v>21.16856089074928</v>
      </c>
      <c r="BG28" s="20">
        <f t="shared" si="7"/>
        <v>169.32232688472163</v>
      </c>
      <c r="BH28" s="59">
        <f t="shared" si="8"/>
        <v>462.65566021805495</v>
      </c>
      <c r="BI28" s="59">
        <f ca="1">AVERAGE(OFFSET($BH$3,0,0,'Données projet'!$E$11+1,1))-AVERAGE(OFFSET($H$3,0,0,'Données projet'!$E$11+1,1))</f>
        <v>345.3294887586967</v>
      </c>
      <c r="BJ28" s="59">
        <f t="shared" si="38"/>
        <v>164.23448598618114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144</v>
      </c>
      <c r="BW28" s="12">
        <f>VLOOKUP(A28,'Données projet'!$A$113:$I$133,9,0)</f>
        <v>12.333333333333334</v>
      </c>
      <c r="BX28" s="12">
        <f t="array" ref="BX28">INDEX(BW:BW,MIN(IF(ISNUMBER(BW28:BW224),ROW(BW28:BW224),"")))</f>
        <v>12.333333333333334</v>
      </c>
      <c r="BY28" s="12">
        <f>IF('Données projet'!$A$114&gt;35,BY27+BX28-CG27,IF(A28&lt;'Données projet'!$A$114,$BV$205^A28,IF(A28='Données projet'!$A$114,'Données projet'!$B$114,BY27+BX28-CG27)))</f>
        <v>144.00000000000003</v>
      </c>
      <c r="BZ28" s="13">
        <f>BY28*VLOOKUP('Données projet'!$B$12,Paramètres!$A$1:$I$89,3,0)*VLOOKUP('Données projet'!$B$12,Paramètres!$A$1:$I$89,5,0)</f>
        <v>86.112000000000009</v>
      </c>
      <c r="CA28" s="13">
        <f t="shared" si="39"/>
        <v>23.625136642852297</v>
      </c>
      <c r="CB28" s="20">
        <f t="shared" si="10"/>
        <v>191.12551298630106</v>
      </c>
      <c r="CC28" s="59">
        <f t="shared" si="11"/>
        <v>484.4588463196344</v>
      </c>
      <c r="CD28" s="59">
        <f ca="1">AVERAGE(OFFSET($CC$3,0,0,'Données projet'!$E$12+1,1))-AVERAGE(OFFSET($H$3,0,0,'Données projet'!$E$12+1,1))</f>
        <v>289.07218105343333</v>
      </c>
      <c r="CE28" s="59">
        <f t="shared" si="40"/>
        <v>217.57508587672368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0.27</v>
      </c>
      <c r="CJ28" s="16">
        <f>IF(ISNA(VLOOKUP(A28,'Données projet'!$A$113:$I$133,7,0)),0%,VLOOKUP(A28,'Données projet'!$A$113:$I$133,7,0))</f>
        <v>0.4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6.7679046368361639</v>
      </c>
      <c r="CM28" s="21">
        <f>EXP(-LN(2)/2)*CM27+(1-EXP(-LN(2)/2))/(LN(2)/2)*CG28*CJ28*VLOOKUP('Données projet'!$B$12,Paramètres!$A$1:$I$89,3,0)*0.475*44/12</f>
        <v>6.1361550562767073</v>
      </c>
      <c r="CN28" s="22">
        <f t="shared" si="12"/>
        <v>12.90405969311287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9</v>
      </c>
      <c r="CT28" s="12">
        <f>IF('Données projet'!$A$140&gt;35,CT27+CS28-DB27,IF(A28&lt;'Données projet'!$A$140,$CQ$205^A28,IF(A28='Données projet'!$A$140,'Données projet'!$B$140,CT27+CS28-DB27)))</f>
        <v>139</v>
      </c>
      <c r="CU28" s="17">
        <f>CT28*VLOOKUP('Données projet'!$B$13,Paramètres!$A$1:$I$89,3,0)*VLOOKUP('Données projet'!$B$13,Paramètres!$A$1:$I$89,5,0)</f>
        <v>121.43040000000001</v>
      </c>
      <c r="CV28" s="13">
        <f t="shared" si="41"/>
        <v>32.008386179504484</v>
      </c>
      <c r="CW28" s="20">
        <f t="shared" si="13"/>
        <v>267.23921926263699</v>
      </c>
      <c r="CX28" s="59">
        <f t="shared" si="14"/>
        <v>560.57255259597036</v>
      </c>
      <c r="CY28" s="59">
        <f ca="1">AVERAGE(OFFSET($CX$3,0,0,'Données projet'!$E$13+1,1))-AVERAGE(OFFSET($H$3,0,0,'Données projet'!$E$13+1,1))</f>
        <v>237.8483058552178</v>
      </c>
      <c r="CZ28" s="59">
        <f t="shared" si="42"/>
        <v>313.36201272119723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</v>
      </c>
      <c r="DO28" s="12">
        <f>IF('Données projet'!$A$166&gt;35,DO27+DN28-DW27,IF(A28&lt;'Données projet'!$A$166,$DL$205^A28,IF(A28='Données projet'!$A$166,'Données projet'!$B$166,DO27+DN28-DW27)))</f>
        <v>75</v>
      </c>
      <c r="DP28" s="17">
        <f>DO28*VLOOKUP('Données projet'!$B$14,Paramètres!$A$1:$I$89,3,0)*VLOOKUP('Données projet'!$B$14,Paramètres!$A$1:$I$89,5,0)</f>
        <v>72.540000000000006</v>
      </c>
      <c r="DQ28" s="13">
        <f t="shared" si="43"/>
        <v>20.302914660456786</v>
      </c>
      <c r="DR28" s="20">
        <f t="shared" si="16"/>
        <v>161.70140970029556</v>
      </c>
      <c r="DS28" s="59">
        <f t="shared" si="17"/>
        <v>455.03474303362884</v>
      </c>
      <c r="DT28" s="59">
        <f ca="1">AVERAGE(OFFSET($DS$3,0,0,'Données projet'!$E$14+1,1))-AVERAGE(OFFSET($H$3,0,0,'Données projet'!$E$14+1,1))</f>
        <v>325.01961068962373</v>
      </c>
      <c r="DU28" s="59">
        <f t="shared" si="44"/>
        <v>155.12737608540039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115</v>
      </c>
      <c r="EH28" s="12">
        <f>VLOOKUP(A28,'Données projet'!$A$191:$I$211,9,0)</f>
        <v>12.6</v>
      </c>
      <c r="EI28" s="12">
        <f t="array" ref="EI28">INDEX(EH:EH,MIN(IF(ISNUMBER(EH28:EH224),ROW(EH28:EH224),"")))</f>
        <v>12.6</v>
      </c>
      <c r="EJ28" s="12">
        <f>IF('Données projet'!$A$192&gt;35,EJ27+EI28-ER27,IF(A28&lt;'Données projet'!$A$192,$EG$205^A28,IF(A28='Données projet'!$A$192,'Données projet'!$B$192,EJ27+EI28-ER27)))</f>
        <v>114.99999999999997</v>
      </c>
      <c r="EK28" s="17">
        <f>EJ28*VLOOKUP('Données projet'!$B$15,Paramètres!$A$1:$I$89,3,0)*VLOOKUP('Données projet'!$B$15,Paramètres!$A$1:$I$89,5,0)</f>
        <v>77.141999999999982</v>
      </c>
      <c r="EL28" s="13">
        <f t="shared" si="45"/>
        <v>21.436915648510755</v>
      </c>
      <c r="EM28" s="20">
        <f t="shared" si="19"/>
        <v>171.69161142115618</v>
      </c>
      <c r="EN28" s="59">
        <f t="shared" si="20"/>
        <v>465.02494475448952</v>
      </c>
      <c r="EO28" s="59">
        <f ca="1">AVERAGE(OFFSET($EN$3,0,0,'Données projet'!$E$15+1,1))-AVERAGE(OFFSET($H$3,0,0,'Données projet'!$E$15+1,1))</f>
        <v>178.09619481964575</v>
      </c>
      <c r="EP28" s="59">
        <f t="shared" si="46"/>
        <v>178.65167777495174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28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115</v>
      </c>
      <c r="FC28" s="12">
        <f>VLOOKUP(A28,'Données projet'!$A$217:$I$237,9,0)</f>
        <v>12.6</v>
      </c>
      <c r="FD28" s="12">
        <f t="array" ref="FD28">INDEX(FC:FC,MIN(IF(ISNUMBER(FC28:FC224),ROW(FC28:FC224),"")))</f>
        <v>12.6</v>
      </c>
      <c r="FE28" s="12">
        <f>IF('Données projet'!$A$218&gt;35,FE27+FD28-FM27,IF(A28&lt;'Données projet'!$A$218,$FB$205^A28,IF(A28='Données projet'!$A$218,'Données projet'!$B$218,FE27+FD28-FM27)))</f>
        <v>114.99999999999997</v>
      </c>
      <c r="FF28" s="17">
        <f>FE28*VLOOKUP('Données projet'!$B$16,Paramètres!$A$1:$I$89,3,0)*VLOOKUP('Données projet'!$B$16,Paramètres!$A$1:$I$89,5,0)</f>
        <v>91.493999999999986</v>
      </c>
      <c r="FG28" s="13">
        <f t="shared" si="47"/>
        <v>24.925195840896517</v>
      </c>
      <c r="FH28" s="20">
        <f t="shared" si="22"/>
        <v>202.76343275622807</v>
      </c>
      <c r="FI28" s="59">
        <f t="shared" si="23"/>
        <v>496.09676608956136</v>
      </c>
      <c r="FJ28" s="59">
        <f ca="1">AVERAGE(OFFSET($FI$3,0,0,'Données projet'!$E$16+1,1))-AVERAGE(OFFSET($H$3,0,0,'Données projet'!$E$16+1,1))</f>
        <v>219.43439115440339</v>
      </c>
      <c r="FK28" s="59">
        <f t="shared" si="48"/>
        <v>217.8880462742099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16</v>
      </c>
      <c r="FZ28" s="12">
        <f>IF('Données projet'!$A$244&gt;35,FZ27+FY28-GH27,IF(A28&lt;'Données projet'!$A$244,$FW$205^A28,IF(A28='Données projet'!$A$244,'Données projet'!$B$244,FZ27+FY28-GH27)))</f>
        <v>142</v>
      </c>
      <c r="GA28" s="17">
        <f>FZ28*VLOOKUP('Données projet'!$B$17,Paramètres!$A$1:$I$89,3,0)*VLOOKUP('Données projet'!$B$17,Paramètres!$A$1:$I$89,5,0)</f>
        <v>84.916000000000011</v>
      </c>
      <c r="GB28" s="13">
        <f t="shared" si="49"/>
        <v>23.33496813320572</v>
      </c>
      <c r="GC28" s="20">
        <f t="shared" si="25"/>
        <v>188.53710283199996</v>
      </c>
      <c r="GD28" s="59">
        <f t="shared" si="26"/>
        <v>481.87043616533327</v>
      </c>
      <c r="GE28" s="59">
        <f ca="1">AVERAGE(OFFSET($GD$3,0,0,'Données projet'!$E$17+1,1))-AVERAGE(OFFSET($H$3,0,0,'Données projet'!$E$17+1,1))</f>
        <v>191.77102466144095</v>
      </c>
      <c r="GF28" s="59">
        <f t="shared" si="50"/>
        <v>205.57161411620217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2.1698658593297302</v>
      </c>
      <c r="GM28" s="21">
        <f>EXP(-LN(2)/25)*GM27+(1-EXP(-LN(2)/25))/(LN(2)/25)*Calculateur!GH28*Calculateur!GJ28*VLOOKUP('Données projet'!$B$17,Paramètres!$A$1:$I$89,3,0)*0.475*44/12</f>
        <v>10.867969407252954</v>
      </c>
      <c r="GN28" s="21">
        <f>EXP(-LN(2)/2)*GN27+(1-EXP(-LN(2)/2))/(LN(2)/2)*GH28*GK28*VLOOKUP('Données projet'!$B$17,Paramètres!$A$1:$I$89,3,0)*0.475*44/12</f>
        <v>7.1694948384956003</v>
      </c>
      <c r="GO28" s="21">
        <f t="shared" si="27"/>
        <v>20.207330105078285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449</v>
      </c>
      <c r="L29" s="12">
        <f>VLOOKUP(A29,'Données projet'!$A$35:$I$55,9,0)</f>
        <v>17.26923076923077</v>
      </c>
      <c r="M29" s="12">
        <f t="array" ref="M29">INDEX(L:L,MIN(IF(ISNUMBER(L29:L225),ROW(L29:L225),"")))</f>
        <v>17.26923076923077</v>
      </c>
      <c r="N29" s="13">
        <f>IF('Données projet'!$A$36&gt;35,N28+M29-V28,IF(A29&lt;'Données projet'!$A$36,$K$205^A29,IF(A29='Données projet'!$A$36,'Données projet'!$B$36,N28+M29-V28)))</f>
        <v>449</v>
      </c>
      <c r="O29" s="13">
        <f>N29*VLOOKUP('Données projet'!$B$9,Paramètres!$A$1:$I$89,3,0)*VLOOKUP('Données projet'!$B$9,Paramètres!$A$1:$I$89,5,0)</f>
        <v>259.1628</v>
      </c>
      <c r="P29" s="13">
        <f t="shared" si="33"/>
        <v>62.543887264443399</v>
      </c>
      <c r="Q29" s="20">
        <f t="shared" si="2"/>
        <v>560.30581365223895</v>
      </c>
      <c r="R29" s="59">
        <f t="shared" si="0"/>
        <v>853.63914698557232</v>
      </c>
      <c r="S29" s="59">
        <f ca="1">AVERAGE(OFFSET($R$3,0,0,'Données projet'!$E$9+1,1))-AVERAGE(OFFSET($H$3,0,0,'Données projet'!$E$9+1,1))</f>
        <v>84.31577618130467</v>
      </c>
      <c r="T29" s="59">
        <f t="shared" si="34"/>
        <v>527.2140904310653</v>
      </c>
      <c r="U29" s="15" t="str">
        <f>IF(ISNA(VLOOKUP(A29,'Données projet'!$A$35:$I$55,3,0)),0,VLOOKUP(A29,'Données projet'!$A$35:$I$55,3,0))</f>
        <v>CR</v>
      </c>
      <c r="V29" s="15">
        <f>IF(ISNA(VLOOKUP(A29,'Données projet'!$A$35:$I$55,4,0)),0,VLOOKUP(A29,'Données projet'!$A$35:$I$55,4,0))</f>
        <v>449</v>
      </c>
      <c r="W29" s="16">
        <f>IF(ISNA(VLOOKUP(A29,'Données projet'!$A$35:$I$55,5,0)),0%,VLOOKUP(A29,'Données projet'!$A$35:$I$55,5,0)*VLOOKUP('Données projet'!$B$9,Paramètres!$A$1:$I$89,7,0))</f>
        <v>0.46199999999999997</v>
      </c>
      <c r="X29" s="16">
        <f>IF(ISNA(VLOOKUP(A29,'Données projet'!$A$35:$I$55,6,0)),0%,VLOOKUP(A29,'Données projet'!$A$35:$I$55,6,0)*VLOOKUP('Données projet'!$B$9,Paramètres!$A$1:$I$89,7,0))</f>
        <v>0.13800000000000001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132.36152108109181</v>
      </c>
      <c r="AA29" s="21">
        <f>EXP(-LN(2)/25)*AA28+(1-EXP(-LN(2)/25))/(LN(2)/25)*Calculateur!V29*Calculateur!X29*VLOOKUP('Données projet'!$B$9,Paramètres!$A$1:$I$89,3,0)*0.475*44/12</f>
        <v>39.380887750581131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171.74240883167295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</v>
      </c>
      <c r="AI29" s="13">
        <f>IF('Données projet'!$A$62&gt;35,AI28+AH29-AQ28,IF(A29&lt;'Données projet'!$A$62,$AF$205^A29,IF(A29='Données projet'!$A$62,'Données projet'!$B$62,AI28+AH29-AQ28)))</f>
        <v>78</v>
      </c>
      <c r="AJ29" s="13">
        <f>AI29*VLOOKUP('Données projet'!$B$10,Paramètres!$A$1:$I$89,3,0)*VLOOKUP('Données projet'!$B$10,Paramètres!$A$1:$I$89,5,0)</f>
        <v>70.574399999999997</v>
      </c>
      <c r="AK29" s="13">
        <f t="shared" si="35"/>
        <v>19.816033420152426</v>
      </c>
      <c r="AL29" s="20">
        <f t="shared" si="4"/>
        <v>157.43000487343213</v>
      </c>
      <c r="AM29" s="59">
        <f t="shared" si="5"/>
        <v>450.76333820676541</v>
      </c>
      <c r="AN29" s="59">
        <f ca="1">AVERAGE(OFFSET($AM$3,0,0,'Données projet'!$E$10+1,1))-AVERAGE(OFFSET($H$3,0,0,'Données projet'!$E$10+1,1))</f>
        <v>297.90790572649428</v>
      </c>
      <c r="AO29" s="59">
        <f t="shared" si="36"/>
        <v>142.96889776844506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</v>
      </c>
      <c r="BD29" s="12">
        <f>IF('Données projet'!$A$88&gt;35,BD28+BC29-BL28,IF(A29&lt;'Données projet'!$A$88,$BA$205^A29,IF(A29='Données projet'!$A$88,'Données projet'!$B$88,BD28+BC29-BL28)))</f>
        <v>78</v>
      </c>
      <c r="BE29" s="13">
        <f>BD29*VLOOKUP('Données projet'!$B$11,Paramètres!$A$1:$I$89,3,0)*VLOOKUP('Données projet'!$B$11,Paramètres!$A$1:$I$89,5,0)</f>
        <v>79.092000000000013</v>
      </c>
      <c r="BF29" s="13">
        <f t="shared" si="37"/>
        <v>21.915026131450009</v>
      </c>
      <c r="BG29" s="20">
        <f t="shared" si="7"/>
        <v>175.92057051227542</v>
      </c>
      <c r="BH29" s="59">
        <f t="shared" si="8"/>
        <v>469.25390384560876</v>
      </c>
      <c r="BI29" s="59">
        <f ca="1">AVERAGE(OFFSET($BH$3,0,0,'Données projet'!$E$11+1,1))-AVERAGE(OFFSET($H$3,0,0,'Données projet'!$E$11+1,1))</f>
        <v>345.3294887586967</v>
      </c>
      <c r="BJ29" s="59">
        <f t="shared" si="38"/>
        <v>164.23448598618114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13.4</v>
      </c>
      <c r="BY29" s="12">
        <f>IF('Données projet'!$A$114&gt;35,BY28+BX29-CG28,IF(A29&lt;'Données projet'!$A$114,$BV$205^A29,IF(A29='Données projet'!$A$114,'Données projet'!$B$114,BY28+BX29-CG28)))</f>
        <v>140.40000000000003</v>
      </c>
      <c r="BZ29" s="13">
        <f>BY29*VLOOKUP('Données projet'!$B$12,Paramètres!$A$1:$I$89,3,0)*VLOOKUP('Données projet'!$B$12,Paramètres!$A$1:$I$89,5,0)</f>
        <v>83.959200000000024</v>
      </c>
      <c r="CA29" s="13">
        <f t="shared" si="39"/>
        <v>23.102490880810642</v>
      </c>
      <c r="CB29" s="20">
        <f t="shared" si="10"/>
        <v>186.46577828407854</v>
      </c>
      <c r="CC29" s="59">
        <f t="shared" si="11"/>
        <v>479.79911161741188</v>
      </c>
      <c r="CD29" s="59">
        <f ca="1">AVERAGE(OFFSET($CC$3,0,0,'Données projet'!$E$12+1,1))-AVERAGE(OFFSET($H$3,0,0,'Données projet'!$E$12+1,1))</f>
        <v>289.07218105343333</v>
      </c>
      <c r="CE29" s="59">
        <f t="shared" si="40"/>
        <v>217.57508587672368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6.5828359286332425</v>
      </c>
      <c r="CM29" s="21">
        <f>EXP(-LN(2)/2)*CM28+(1-EXP(-LN(2)/2))/(LN(2)/2)*CG29*CJ29*VLOOKUP('Données projet'!$B$12,Paramètres!$A$1:$I$89,3,0)*0.475*44/12</f>
        <v>4.338916850705381</v>
      </c>
      <c r="CN29" s="22">
        <f t="shared" si="12"/>
        <v>10.921752779338624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</v>
      </c>
      <c r="CT29" s="12">
        <f>IF('Données projet'!$A$140&gt;35,CT28+CS29-DB28,IF(A29&lt;'Données projet'!$A$140,$CQ$205^A29,IF(A29='Données projet'!$A$140,'Données projet'!$B$140,CT28+CS29-DB28)))</f>
        <v>148</v>
      </c>
      <c r="CU29" s="17">
        <f>CT29*VLOOKUP('Données projet'!$B$13,Paramètres!$A$1:$I$89,3,0)*VLOOKUP('Données projet'!$B$13,Paramètres!$A$1:$I$89,5,0)</f>
        <v>129.29280000000003</v>
      </c>
      <c r="CV29" s="13">
        <f t="shared" si="41"/>
        <v>33.832894333299251</v>
      </c>
      <c r="CW29" s="20">
        <f t="shared" si="13"/>
        <v>284.11058429716292</v>
      </c>
      <c r="CX29" s="59">
        <f t="shared" si="14"/>
        <v>577.44391763049623</v>
      </c>
      <c r="CY29" s="59">
        <f ca="1">AVERAGE(OFFSET($CX$3,0,0,'Données projet'!$E$13+1,1))-AVERAGE(OFFSET($H$3,0,0,'Données projet'!$E$13+1,1))</f>
        <v>237.8483058552178</v>
      </c>
      <c r="CZ29" s="59">
        <f t="shared" si="42"/>
        <v>313.36201272119723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</v>
      </c>
      <c r="DO29" s="12">
        <f>IF('Données projet'!$A$166&gt;35,DO28+DN29-DW28,IF(A29&lt;'Données projet'!$A$166,$DL$205^A29,IF(A29='Données projet'!$A$166,'Données projet'!$B$166,DO28+DN29-DW28)))</f>
        <v>78</v>
      </c>
      <c r="DP29" s="17">
        <f>DO29*VLOOKUP('Données projet'!$B$14,Paramètres!$A$1:$I$89,3,0)*VLOOKUP('Données projet'!$B$14,Paramètres!$A$1:$I$89,5,0)</f>
        <v>75.441600000000008</v>
      </c>
      <c r="DQ29" s="13">
        <f t="shared" si="43"/>
        <v>21.018854688556068</v>
      </c>
      <c r="DR29" s="20">
        <f t="shared" si="16"/>
        <v>168.00195858256848</v>
      </c>
      <c r="DS29" s="59">
        <f t="shared" si="17"/>
        <v>461.33529191590179</v>
      </c>
      <c r="DT29" s="59">
        <f ca="1">AVERAGE(OFFSET($DS$3,0,0,'Données projet'!$E$14+1,1))-AVERAGE(OFFSET($H$3,0,0,'Données projet'!$E$14+1,1))</f>
        <v>325.01961068962373</v>
      </c>
      <c r="DU29" s="59">
        <f t="shared" si="44"/>
        <v>155.12737608540039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11.8</v>
      </c>
      <c r="EJ29" s="12">
        <f>IF('Données projet'!$A$192&gt;35,EJ28+EI29-ER28,IF(A29&lt;'Données projet'!$A$192,$EG$205^A29,IF(A29='Données projet'!$A$192,'Données projet'!$B$192,EJ28+EI29-ER28)))</f>
        <v>98.799999999999969</v>
      </c>
      <c r="EK29" s="17">
        <f>EJ29*VLOOKUP('Données projet'!$B$15,Paramètres!$A$1:$I$89,3,0)*VLOOKUP('Données projet'!$B$15,Paramètres!$A$1:$I$89,5,0)</f>
        <v>66.275039999999976</v>
      </c>
      <c r="EL29" s="13">
        <f t="shared" si="45"/>
        <v>18.745495454273666</v>
      </c>
      <c r="EM29" s="20">
        <f t="shared" si="19"/>
        <v>148.07743258285993</v>
      </c>
      <c r="EN29" s="59">
        <f t="shared" si="20"/>
        <v>441.41076591619321</v>
      </c>
      <c r="EO29" s="59">
        <f ca="1">AVERAGE(OFFSET($EN$3,0,0,'Données projet'!$E$15+1,1))-AVERAGE(OFFSET($H$3,0,0,'Données projet'!$E$15+1,1))</f>
        <v>178.09619481964575</v>
      </c>
      <c r="EP29" s="59">
        <f t="shared" si="46"/>
        <v>178.65167777495174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11.8</v>
      </c>
      <c r="FE29" s="12">
        <f>IF('Données projet'!$A$218&gt;35,FE28+FD29-FM28,IF(A29&lt;'Données projet'!$A$218,$FB$205^A29,IF(A29='Données projet'!$A$218,'Données projet'!$B$218,FE28+FD29-FM28)))</f>
        <v>98.799999999999969</v>
      </c>
      <c r="FF29" s="17">
        <f>FE29*VLOOKUP('Données projet'!$B$16,Paramètres!$A$1:$I$89,3,0)*VLOOKUP('Données projet'!$B$16,Paramètres!$A$1:$I$89,5,0)</f>
        <v>78.605279999999979</v>
      </c>
      <c r="FG29" s="13">
        <f t="shared" si="47"/>
        <v>21.795819556945734</v>
      </c>
      <c r="FH29" s="20">
        <f t="shared" si="22"/>
        <v>174.86524839501377</v>
      </c>
      <c r="FI29" s="59">
        <f t="shared" si="23"/>
        <v>468.19858172834711</v>
      </c>
      <c r="FJ29" s="59">
        <f ca="1">AVERAGE(OFFSET($FI$3,0,0,'Données projet'!$E$16+1,1))-AVERAGE(OFFSET($H$3,0,0,'Données projet'!$E$16+1,1))</f>
        <v>219.43439115440339</v>
      </c>
      <c r="FK29" s="59">
        <f t="shared" si="48"/>
        <v>217.8880462742099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16</v>
      </c>
      <c r="FZ29" s="12">
        <f>IF('Données projet'!$A$244&gt;35,FZ28+FY29-GH28,IF(A29&lt;'Données projet'!$A$244,$FW$205^A29,IF(A29='Données projet'!$A$244,'Données projet'!$B$244,FZ28+FY29-GH28)))</f>
        <v>158</v>
      </c>
      <c r="GA29" s="17">
        <f>FZ29*VLOOKUP('Données projet'!$B$17,Paramètres!$A$1:$I$89,3,0)*VLOOKUP('Données projet'!$B$17,Paramètres!$A$1:$I$89,5,0)</f>
        <v>94.484000000000009</v>
      </c>
      <c r="GB29" s="13">
        <f t="shared" si="49"/>
        <v>25.643578691511802</v>
      </c>
      <c r="GC29" s="20">
        <f t="shared" si="25"/>
        <v>209.22219955438308</v>
      </c>
      <c r="GD29" s="59">
        <f t="shared" si="26"/>
        <v>502.55553288771637</v>
      </c>
      <c r="GE29" s="59">
        <f ca="1">AVERAGE(OFFSET($GD$3,0,0,'Données projet'!$E$17+1,1))-AVERAGE(OFFSET($H$3,0,0,'Données projet'!$E$17+1,1))</f>
        <v>191.77102466144095</v>
      </c>
      <c r="GF29" s="59">
        <f t="shared" si="50"/>
        <v>205.57161411620217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2.1273161133157648</v>
      </c>
      <c r="GM29" s="21">
        <f>EXP(-LN(2)/25)*GM28+(1-EXP(-LN(2)/25))/(LN(2)/25)*Calculateur!GH29*Calculateur!GJ29*VLOOKUP('Données projet'!$B$17,Paramètres!$A$1:$I$89,3,0)*0.475*44/12</f>
        <v>10.570784212289949</v>
      </c>
      <c r="GN29" s="21">
        <f>EXP(-LN(2)/2)*GN28+(1-EXP(-LN(2)/2))/(LN(2)/2)*GH29*GK29*VLOOKUP('Données projet'!$B$17,Paramètres!$A$1:$I$89,3,0)*0.475*44/12</f>
        <v>5.0695984179821902</v>
      </c>
      <c r="GO29" s="21">
        <f t="shared" si="27"/>
        <v>17.767698743587903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84.31577618130467</v>
      </c>
      <c r="T30" s="59">
        <f t="shared" si="34"/>
        <v>527.2140904310653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129.76599238524778</v>
      </c>
      <c r="AA30" s="21">
        <f>EXP(-LN(2)/25)*AA29+(1-EXP(-LN(2)/25))/(LN(2)/25)*Calculateur!V30*Calculateur!X30*VLOOKUP('Données projet'!$B$9,Paramètres!$A$1:$I$89,3,0)*0.475*44/12</f>
        <v>38.304015304090612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168.07000768933841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</v>
      </c>
      <c r="AI30" s="13">
        <f>IF('Données projet'!$A$62&gt;35,AI29+AH30-AQ29,IF(A30&lt;'Données projet'!$A$62,$AF$205^A30,IF(A30='Données projet'!$A$62,'Données projet'!$B$62,AI29+AH30-AQ29)))</f>
        <v>81</v>
      </c>
      <c r="AJ30" s="13">
        <f>AI30*VLOOKUP('Données projet'!$B$10,Paramètres!$A$1:$I$89,3,0)*VLOOKUP('Données projet'!$B$10,Paramètres!$A$1:$I$89,5,0)</f>
        <v>73.288799999999995</v>
      </c>
      <c r="AK30" s="13">
        <f t="shared" si="35"/>
        <v>20.487987371563225</v>
      </c>
      <c r="AL30" s="20">
        <f t="shared" si="4"/>
        <v>163.32790467213928</v>
      </c>
      <c r="AM30" s="59">
        <f t="shared" si="5"/>
        <v>456.66123800547257</v>
      </c>
      <c r="AN30" s="59">
        <f ca="1">AVERAGE(OFFSET($AM$3,0,0,'Données projet'!$E$10+1,1))-AVERAGE(OFFSET($H$3,0,0,'Données projet'!$E$10+1,1))</f>
        <v>297.90790572649428</v>
      </c>
      <c r="AO30" s="59">
        <f t="shared" si="36"/>
        <v>142.96889776844506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</v>
      </c>
      <c r="BD30" s="12">
        <f>IF('Données projet'!$A$88&gt;35,BD29+BC30-BL29,IF(A30&lt;'Données projet'!$A$88,$BA$205^A30,IF(A30='Données projet'!$A$88,'Données projet'!$B$88,BD29+BC30-BL29)))</f>
        <v>81</v>
      </c>
      <c r="BE30" s="13">
        <f>BD30*VLOOKUP('Données projet'!$B$11,Paramètres!$A$1:$I$89,3,0)*VLOOKUP('Données projet'!$B$11,Paramètres!$A$1:$I$89,5,0)</f>
        <v>82.134</v>
      </c>
      <c r="BF30" s="13">
        <f t="shared" si="37"/>
        <v>22.658156105651742</v>
      </c>
      <c r="BG30" s="20">
        <f t="shared" si="7"/>
        <v>182.51300521734345</v>
      </c>
      <c r="BH30" s="59">
        <f t="shared" si="8"/>
        <v>475.84633855067676</v>
      </c>
      <c r="BI30" s="59">
        <f ca="1">AVERAGE(OFFSET($BH$3,0,0,'Données projet'!$E$11+1,1))-AVERAGE(OFFSET($H$3,0,0,'Données projet'!$E$11+1,1))</f>
        <v>345.3294887586967</v>
      </c>
      <c r="BJ30" s="59">
        <f t="shared" si="38"/>
        <v>164.23448598618114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13.4</v>
      </c>
      <c r="BY30" s="12">
        <f>IF('Données projet'!$A$114&gt;35,BY29+BX30-CG29,IF(A30&lt;'Données projet'!$A$114,$BV$205^A30,IF(A30='Données projet'!$A$114,'Données projet'!$B$114,BY29+BX30-CG29)))</f>
        <v>153.80000000000004</v>
      </c>
      <c r="BZ30" s="13">
        <f>BY30*VLOOKUP('Données projet'!$B$12,Paramètres!$A$1:$I$89,3,0)*VLOOKUP('Données projet'!$B$12,Paramètres!$A$1:$I$89,5,0)</f>
        <v>91.972400000000022</v>
      </c>
      <c r="CA30" s="13">
        <f t="shared" si="39"/>
        <v>25.040318527820091</v>
      </c>
      <c r="CB30" s="20">
        <f t="shared" si="10"/>
        <v>203.79715143595334</v>
      </c>
      <c r="CC30" s="59">
        <f t="shared" si="11"/>
        <v>497.13048476928668</v>
      </c>
      <c r="CD30" s="59">
        <f ca="1">AVERAGE(OFFSET($CC$3,0,0,'Données projet'!$E$12+1,1))-AVERAGE(OFFSET($H$3,0,0,'Données projet'!$E$12+1,1))</f>
        <v>289.07218105343333</v>
      </c>
      <c r="CE30" s="59">
        <f t="shared" si="40"/>
        <v>217.57508587672368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6.4028279339884699</v>
      </c>
      <c r="CM30" s="21">
        <f>EXP(-LN(2)/2)*CM29+(1-EXP(-LN(2)/2))/(LN(2)/2)*CG30*CJ30*VLOOKUP('Données projet'!$B$12,Paramètres!$A$1:$I$89,3,0)*0.475*44/12</f>
        <v>3.0680775281383541</v>
      </c>
      <c r="CN30" s="22">
        <f t="shared" si="12"/>
        <v>9.470905462126824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</v>
      </c>
      <c r="CT30" s="12">
        <f>IF('Données projet'!$A$140&gt;35,CT29+CS30-DB29,IF(A30&lt;'Données projet'!$A$140,$CQ$205^A30,IF(A30='Données projet'!$A$140,'Données projet'!$B$140,CT29+CS30-DB29)))</f>
        <v>157</v>
      </c>
      <c r="CU30" s="17">
        <f>CT30*VLOOKUP('Données projet'!$B$13,Paramètres!$A$1:$I$89,3,0)*VLOOKUP('Données projet'!$B$13,Paramètres!$A$1:$I$89,5,0)</f>
        <v>137.15520000000001</v>
      </c>
      <c r="CV30" s="13">
        <f t="shared" si="41"/>
        <v>35.644525151069693</v>
      </c>
      <c r="CW30" s="20">
        <f t="shared" si="13"/>
        <v>300.95952130477974</v>
      </c>
      <c r="CX30" s="59">
        <f t="shared" si="14"/>
        <v>594.29285463811311</v>
      </c>
      <c r="CY30" s="59">
        <f ca="1">AVERAGE(OFFSET($CX$3,0,0,'Données projet'!$E$13+1,1))-AVERAGE(OFFSET($H$3,0,0,'Données projet'!$E$13+1,1))</f>
        <v>237.8483058552178</v>
      </c>
      <c r="CZ30" s="59">
        <f t="shared" si="42"/>
        <v>313.36201272119723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</v>
      </c>
      <c r="DO30" s="12">
        <f>IF('Données projet'!$A$166&gt;35,DO29+DN30-DW29,IF(A30&lt;'Données projet'!$A$166,$DL$205^A30,IF(A30='Données projet'!$A$166,'Données projet'!$B$166,DO29+DN30-DW29)))</f>
        <v>81</v>
      </c>
      <c r="DP30" s="17">
        <f>DO30*VLOOKUP('Données projet'!$B$14,Paramètres!$A$1:$I$89,3,0)*VLOOKUP('Données projet'!$B$14,Paramètres!$A$1:$I$89,5,0)</f>
        <v>78.343199999999996</v>
      </c>
      <c r="DQ30" s="13">
        <f t="shared" si="43"/>
        <v>21.731595839251796</v>
      </c>
      <c r="DR30" s="20">
        <f t="shared" si="16"/>
        <v>174.29693608669686</v>
      </c>
      <c r="DS30" s="59">
        <f t="shared" si="17"/>
        <v>467.63026942003017</v>
      </c>
      <c r="DT30" s="59">
        <f ca="1">AVERAGE(OFFSET($DS$3,0,0,'Données projet'!$E$14+1,1))-AVERAGE(OFFSET($H$3,0,0,'Données projet'!$E$14+1,1))</f>
        <v>325.01961068962373</v>
      </c>
      <c r="DU30" s="59">
        <f t="shared" si="44"/>
        <v>155.12737608540039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11.8</v>
      </c>
      <c r="EJ30" s="12">
        <f>IF('Données projet'!$A$192&gt;35,EJ29+EI30-ER29,IF(A30&lt;'Données projet'!$A$192,$EG$205^A30,IF(A30='Données projet'!$A$192,'Données projet'!$B$192,EJ29+EI30-ER29)))</f>
        <v>110.59999999999997</v>
      </c>
      <c r="EK30" s="17">
        <f>EJ30*VLOOKUP('Données projet'!$B$15,Paramètres!$A$1:$I$89,3,0)*VLOOKUP('Données projet'!$B$15,Paramètres!$A$1:$I$89,5,0)</f>
        <v>74.19047999999998</v>
      </c>
      <c r="EL30" s="13">
        <f t="shared" si="45"/>
        <v>20.710554059250395</v>
      </c>
      <c r="EM30" s="20">
        <f t="shared" si="19"/>
        <v>165.28596765319438</v>
      </c>
      <c r="EN30" s="59">
        <f t="shared" si="20"/>
        <v>458.61930098652772</v>
      </c>
      <c r="EO30" s="59">
        <f ca="1">AVERAGE(OFFSET($EN$3,0,0,'Données projet'!$E$15+1,1))-AVERAGE(OFFSET($H$3,0,0,'Données projet'!$E$15+1,1))</f>
        <v>178.09619481964575</v>
      </c>
      <c r="EP30" s="59">
        <f t="shared" si="46"/>
        <v>178.65167777495174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11.8</v>
      </c>
      <c r="FE30" s="12">
        <f>IF('Données projet'!$A$218&gt;35,FE29+FD30-FM29,IF(A30&lt;'Données projet'!$A$218,$FB$205^A30,IF(A30='Données projet'!$A$218,'Données projet'!$B$218,FE29+FD30-FM29)))</f>
        <v>110.59999999999997</v>
      </c>
      <c r="FF30" s="17">
        <f>FE30*VLOOKUP('Données projet'!$B$16,Paramètres!$A$1:$I$89,3,0)*VLOOKUP('Données projet'!$B$16,Paramètres!$A$1:$I$89,5,0)</f>
        <v>87.993359999999981</v>
      </c>
      <c r="FG30" s="13">
        <f t="shared" si="47"/>
        <v>24.080638481970816</v>
      </c>
      <c r="FH30" s="20">
        <f t="shared" si="22"/>
        <v>195.19554735609913</v>
      </c>
      <c r="FI30" s="59">
        <f t="shared" si="23"/>
        <v>488.52888068943241</v>
      </c>
      <c r="FJ30" s="59">
        <f ca="1">AVERAGE(OFFSET($FI$3,0,0,'Données projet'!$E$16+1,1))-AVERAGE(OFFSET($H$3,0,0,'Données projet'!$E$16+1,1))</f>
        <v>219.43439115440339</v>
      </c>
      <c r="FK30" s="59">
        <f t="shared" si="48"/>
        <v>217.8880462742099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16</v>
      </c>
      <c r="FZ30" s="12">
        <f>IF('Données projet'!$A$244&gt;35,FZ29+FY30-GH29,IF(A30&lt;'Données projet'!$A$244,$FW$205^A30,IF(A30='Données projet'!$A$244,'Données projet'!$B$244,FZ29+FY30-GH29)))</f>
        <v>174</v>
      </c>
      <c r="GA30" s="17">
        <f>FZ30*VLOOKUP('Données projet'!$B$17,Paramètres!$A$1:$I$89,3,0)*VLOOKUP('Données projet'!$B$17,Paramètres!$A$1:$I$89,5,0)</f>
        <v>104.05200000000001</v>
      </c>
      <c r="GB30" s="13">
        <f t="shared" si="49"/>
        <v>27.925087771564417</v>
      </c>
      <c r="GC30" s="20">
        <f t="shared" si="25"/>
        <v>229.86009453547467</v>
      </c>
      <c r="GD30" s="59">
        <f t="shared" si="26"/>
        <v>523.19342786880793</v>
      </c>
      <c r="GE30" s="59">
        <f ca="1">AVERAGE(OFFSET($GD$3,0,0,'Données projet'!$E$17+1,1))-AVERAGE(OFFSET($H$3,0,0,'Données projet'!$E$17+1,1))</f>
        <v>191.77102466144095</v>
      </c>
      <c r="GF30" s="59">
        <f t="shared" si="50"/>
        <v>205.57161411620217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2.0856007418683506</v>
      </c>
      <c r="GM30" s="21">
        <f>EXP(-LN(2)/25)*GM29+(1-EXP(-LN(2)/25))/(LN(2)/25)*Calculateur!GH30*Calculateur!GJ30*VLOOKUP('Données projet'!$B$17,Paramètres!$A$1:$I$89,3,0)*0.475*44/12</f>
        <v>10.281725562111498</v>
      </c>
      <c r="GN30" s="21">
        <f>EXP(-LN(2)/2)*GN29+(1-EXP(-LN(2)/2))/(LN(2)/2)*GH30*GK30*VLOOKUP('Données projet'!$B$17,Paramètres!$A$1:$I$89,3,0)*0.475*44/12</f>
        <v>3.5847474192478002</v>
      </c>
      <c r="GO30" s="21">
        <f t="shared" si="27"/>
        <v>15.952073723227649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84.31577618130467</v>
      </c>
      <c r="T31" s="59">
        <f t="shared" si="34"/>
        <v>527.2140904310653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127.22136042401307</v>
      </c>
      <c r="AA31" s="21">
        <f>EXP(-LN(2)/25)*AA30+(1-EXP(-LN(2)/25))/(LN(2)/25)*Calculateur!V31*Calculateur!X31*VLOOKUP('Données projet'!$B$9,Paramètres!$A$1:$I$89,3,0)*0.475*44/12</f>
        <v>37.256589991279633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164.4779504152927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</v>
      </c>
      <c r="AI31" s="13">
        <f>IF('Données projet'!$A$62&gt;35,AI30+AH31-AQ30,IF(A31&lt;'Données projet'!$A$62,$AF$205^A31,IF(A31='Données projet'!$A$62,'Données projet'!$B$62,AI30+AH31-AQ30)))</f>
        <v>84</v>
      </c>
      <c r="AJ31" s="13">
        <f>AI31*VLOOKUP('Données projet'!$B$10,Paramètres!$A$1:$I$89,3,0)*VLOOKUP('Données projet'!$B$10,Paramètres!$A$1:$I$89,5,0)</f>
        <v>76.003200000000007</v>
      </c>
      <c r="AK31" s="13">
        <f t="shared" si="35"/>
        <v>21.157049992000456</v>
      </c>
      <c r="AL31" s="20">
        <f t="shared" si="4"/>
        <v>169.22076873606747</v>
      </c>
      <c r="AM31" s="59">
        <f t="shared" si="5"/>
        <v>462.55410206940076</v>
      </c>
      <c r="AN31" s="59">
        <f ca="1">AVERAGE(OFFSET($AM$3,0,0,'Données projet'!$E$10+1,1))-AVERAGE(OFFSET($H$3,0,0,'Données projet'!$E$10+1,1))</f>
        <v>297.90790572649428</v>
      </c>
      <c r="AO31" s="59">
        <f t="shared" si="36"/>
        <v>142.96889776844506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</v>
      </c>
      <c r="BD31" s="12">
        <f>IF('Données projet'!$A$88&gt;35,BD30+BC31-BL30,IF(A31&lt;'Données projet'!$A$88,$BA$205^A31,IF(A31='Données projet'!$A$88,'Données projet'!$B$88,BD30+BC31-BL30)))</f>
        <v>84</v>
      </c>
      <c r="BE31" s="13">
        <f>BD31*VLOOKUP('Données projet'!$B$11,Paramètres!$A$1:$I$89,3,0)*VLOOKUP('Données projet'!$B$11,Paramètres!$A$1:$I$89,5,0)</f>
        <v>85.176000000000002</v>
      </c>
      <c r="BF31" s="13">
        <f t="shared" si="37"/>
        <v>23.398088487656441</v>
      </c>
      <c r="BG31" s="20">
        <f t="shared" si="7"/>
        <v>189.09987078266829</v>
      </c>
      <c r="BH31" s="59">
        <f t="shared" si="8"/>
        <v>482.4332041160016</v>
      </c>
      <c r="BI31" s="59">
        <f ca="1">AVERAGE(OFFSET($BH$3,0,0,'Données projet'!$E$11+1,1))-AVERAGE(OFFSET($H$3,0,0,'Données projet'!$E$11+1,1))</f>
        <v>345.3294887586967</v>
      </c>
      <c r="BJ31" s="59">
        <f t="shared" si="38"/>
        <v>164.23448598618114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13.4</v>
      </c>
      <c r="BY31" s="12">
        <f>IF('Données projet'!$A$114&gt;35,BY30+BX31-CG30,IF(A31&lt;'Données projet'!$A$114,$BV$205^A31,IF(A31='Données projet'!$A$114,'Données projet'!$B$114,BY30+BX31-CG30)))</f>
        <v>167.20000000000005</v>
      </c>
      <c r="BZ31" s="13">
        <f>BY31*VLOOKUP('Données projet'!$B$12,Paramètres!$A$1:$I$89,3,0)*VLOOKUP('Données projet'!$B$12,Paramètres!$A$1:$I$89,5,0)</f>
        <v>99.985600000000034</v>
      </c>
      <c r="CA31" s="13">
        <f t="shared" si="39"/>
        <v>26.958566918169435</v>
      </c>
      <c r="CB31" s="20">
        <f t="shared" si="10"/>
        <v>221.09442404914515</v>
      </c>
      <c r="CC31" s="59">
        <f t="shared" si="11"/>
        <v>514.42775738247849</v>
      </c>
      <c r="CD31" s="59">
        <f ca="1">AVERAGE(OFFSET($CC$3,0,0,'Données projet'!$E$12+1,1))-AVERAGE(OFFSET($H$3,0,0,'Données projet'!$E$12+1,1))</f>
        <v>289.07218105343333</v>
      </c>
      <c r="CE31" s="59">
        <f t="shared" si="40"/>
        <v>217.57508587672368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6.2277422674234684</v>
      </c>
      <c r="CM31" s="21">
        <f>EXP(-LN(2)/2)*CM30+(1-EXP(-LN(2)/2))/(LN(2)/2)*CG31*CJ31*VLOOKUP('Données projet'!$B$12,Paramètres!$A$1:$I$89,3,0)*0.475*44/12</f>
        <v>2.169458425352691</v>
      </c>
      <c r="CN31" s="22">
        <f t="shared" si="12"/>
        <v>8.3972006927761598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</v>
      </c>
      <c r="CT31" s="12">
        <f>IF('Données projet'!$A$140&gt;35,CT30+CS31-DB30,IF(A31&lt;'Données projet'!$A$140,$CQ$205^A31,IF(A31='Données projet'!$A$140,'Données projet'!$B$140,CT30+CS31-DB30)))</f>
        <v>166</v>
      </c>
      <c r="CU31" s="17">
        <f>CT31*VLOOKUP('Données projet'!$B$13,Paramètres!$A$1:$I$89,3,0)*VLOOKUP('Données projet'!$B$13,Paramètres!$A$1:$I$89,5,0)</f>
        <v>145.01760000000002</v>
      </c>
      <c r="CV31" s="13">
        <f t="shared" si="41"/>
        <v>37.444100932065233</v>
      </c>
      <c r="CW31" s="20">
        <f t="shared" si="13"/>
        <v>317.78746245668026</v>
      </c>
      <c r="CX31" s="59">
        <f t="shared" si="14"/>
        <v>611.12079579001352</v>
      </c>
      <c r="CY31" s="59">
        <f ca="1">AVERAGE(OFFSET($CX$3,0,0,'Données projet'!$E$13+1,1))-AVERAGE(OFFSET($H$3,0,0,'Données projet'!$E$13+1,1))</f>
        <v>237.8483058552178</v>
      </c>
      <c r="CZ31" s="59">
        <f t="shared" si="42"/>
        <v>313.36201272119723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</v>
      </c>
      <c r="DO31" s="12">
        <f>IF('Données projet'!$A$166&gt;35,DO30+DN31-DW30,IF(A31&lt;'Données projet'!$A$166,$DL$205^A31,IF(A31='Données projet'!$A$166,'Données projet'!$B$166,DO30+DN31-DW30)))</f>
        <v>84</v>
      </c>
      <c r="DP31" s="17">
        <f>DO31*VLOOKUP('Données projet'!$B$14,Paramètres!$A$1:$I$89,3,0)*VLOOKUP('Données projet'!$B$14,Paramètres!$A$1:$I$89,5,0)</f>
        <v>81.244799999999998</v>
      </c>
      <c r="DQ31" s="13">
        <f t="shared" si="43"/>
        <v>22.441270156928962</v>
      </c>
      <c r="DR31" s="20">
        <f t="shared" si="16"/>
        <v>180.58657218998462</v>
      </c>
      <c r="DS31" s="59">
        <f t="shared" si="17"/>
        <v>473.91990552331794</v>
      </c>
      <c r="DT31" s="59">
        <f ca="1">AVERAGE(OFFSET($DS$3,0,0,'Données projet'!$E$14+1,1))-AVERAGE(OFFSET($H$3,0,0,'Données projet'!$E$14+1,1))</f>
        <v>325.01961068962373</v>
      </c>
      <c r="DU31" s="59">
        <f t="shared" si="44"/>
        <v>155.12737608540039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11.8</v>
      </c>
      <c r="EJ31" s="12">
        <f>IF('Données projet'!$A$192&gt;35,EJ30+EI31-ER30,IF(A31&lt;'Données projet'!$A$192,$EG$205^A31,IF(A31='Données projet'!$A$192,'Données projet'!$B$192,EJ30+EI31-ER30)))</f>
        <v>122.39999999999996</v>
      </c>
      <c r="EK31" s="17">
        <f>EJ31*VLOOKUP('Données projet'!$B$15,Paramètres!$A$1:$I$89,3,0)*VLOOKUP('Données projet'!$B$15,Paramètres!$A$1:$I$89,5,0)</f>
        <v>82.105919999999983</v>
      </c>
      <c r="EL31" s="13">
        <f t="shared" si="45"/>
        <v>22.651311269703978</v>
      </c>
      <c r="EM31" s="20">
        <f t="shared" si="19"/>
        <v>182.45217779473441</v>
      </c>
      <c r="EN31" s="59">
        <f t="shared" si="20"/>
        <v>475.7855111280677</v>
      </c>
      <c r="EO31" s="59">
        <f ca="1">AVERAGE(OFFSET($EN$3,0,0,'Données projet'!$E$15+1,1))-AVERAGE(OFFSET($H$3,0,0,'Données projet'!$E$15+1,1))</f>
        <v>178.09619481964575</v>
      </c>
      <c r="EP31" s="59">
        <f t="shared" si="46"/>
        <v>178.65167777495174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11.8</v>
      </c>
      <c r="FE31" s="12">
        <f>IF('Données projet'!$A$218&gt;35,FE30+FD31-FM30,IF(A31&lt;'Données projet'!$A$218,$FB$205^A31,IF(A31='Données projet'!$A$218,'Données projet'!$B$218,FE30+FD31-FM30)))</f>
        <v>122.39999999999996</v>
      </c>
      <c r="FF31" s="17">
        <f>FE31*VLOOKUP('Données projet'!$B$16,Paramètres!$A$1:$I$89,3,0)*VLOOKUP('Données projet'!$B$16,Paramètres!$A$1:$I$89,5,0)</f>
        <v>97.381439999999984</v>
      </c>
      <c r="FG31" s="13">
        <f t="shared" si="47"/>
        <v>26.337201615555198</v>
      </c>
      <c r="FH31" s="20">
        <f t="shared" si="22"/>
        <v>215.47663414709197</v>
      </c>
      <c r="FI31" s="59">
        <f t="shared" si="23"/>
        <v>508.80996748042526</v>
      </c>
      <c r="FJ31" s="59">
        <f ca="1">AVERAGE(OFFSET($FI$3,0,0,'Données projet'!$E$16+1,1))-AVERAGE(OFFSET($H$3,0,0,'Données projet'!$E$16+1,1))</f>
        <v>219.43439115440339</v>
      </c>
      <c r="FK31" s="59">
        <f t="shared" si="48"/>
        <v>217.8880462742099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>
        <f>VLOOKUP(A31,'Données projet'!$A$243:$I$263,2,0)</f>
        <v>190</v>
      </c>
      <c r="FX31" s="12">
        <f>VLOOKUP(A31,'Données projet'!$A$243:$I$263,9,0)</f>
        <v>16</v>
      </c>
      <c r="FY31" s="12">
        <f t="array" ref="FY31">INDEX(FX:FX,MIN(IF(ISNUMBER(FX31:FX227),ROW(FX31:FX227),"")))</f>
        <v>16</v>
      </c>
      <c r="FZ31" s="12">
        <f>IF('Données projet'!$A$244&gt;35,FZ30+FY31-GH30,IF(A31&lt;'Données projet'!$A$244,$FW$205^A31,IF(A31='Données projet'!$A$244,'Données projet'!$B$244,FZ30+FY31-GH30)))</f>
        <v>190</v>
      </c>
      <c r="GA31" s="17">
        <f>FZ31*VLOOKUP('Données projet'!$B$17,Paramètres!$A$1:$I$89,3,0)*VLOOKUP('Données projet'!$B$17,Paramètres!$A$1:$I$89,5,0)</f>
        <v>113.62</v>
      </c>
      <c r="GB31" s="13">
        <f t="shared" si="49"/>
        <v>30.182270904187739</v>
      </c>
      <c r="GC31" s="20">
        <f t="shared" si="25"/>
        <v>250.45562182479364</v>
      </c>
      <c r="GD31" s="59">
        <f t="shared" si="26"/>
        <v>543.78895515812701</v>
      </c>
      <c r="GE31" s="59">
        <f ca="1">AVERAGE(OFFSET($GD$3,0,0,'Données projet'!$E$17+1,1))-AVERAGE(OFFSET($H$3,0,0,'Données projet'!$E$17+1,1))</f>
        <v>191.77102466144095</v>
      </c>
      <c r="GF31" s="59">
        <f t="shared" si="50"/>
        <v>205.57161411620217</v>
      </c>
      <c r="GG31" s="15">
        <f>IF(ISNA(VLOOKUP(A31,'Données projet'!$A$243:$I$263,3,0)),0,VLOOKUP(A31,'Données projet'!$A$243:$I$263,3,0))</f>
        <v>5</v>
      </c>
      <c r="GH31" s="15">
        <f>IF(ISNA(VLOOKUP(A31,'Données projet'!$A$243:$I$263,4,0)),0,VLOOKUP(A31,'Données projet'!$A$243:$I$263,4,0))</f>
        <v>35</v>
      </c>
      <c r="GI31" s="16">
        <f>IF(ISNA(VLOOKUP(A31,'Données projet'!$A$243:$I$263,5,0)),0%,VLOOKUP(A31,'Données projet'!$A$243:$I$263,5,0)*VLOOKUP('Données projet'!$B$17,Paramètres!$A$1:$I$89,7,0))</f>
        <v>0.18000000000000002</v>
      </c>
      <c r="GJ31" s="16">
        <f>IF(ISNA(VLOOKUP(A31,'Données projet'!$A$243:$I$263,6,0)),0%,VLOOKUP(A31,'Données projet'!$A$243:$I$263,6,0)*VLOOKUP('Données projet'!$B$17,Paramètres!$A$1:$I$89,7,0))</f>
        <v>0.13500000000000001</v>
      </c>
      <c r="GK31" s="16">
        <f>IF(ISNA(VLOOKUP(A31,'Données projet'!$A$243:$I$263,7,0)),0%,VLOOKUP(A31,'Données projet'!$A$243:$I$263,7,0))</f>
        <v>0.3</v>
      </c>
      <c r="GL31" s="21">
        <f>EXP(-LN(2)/35)*GL30+(1-EXP(-LN(2)/35))/(LN(2)/35)*GH31*GI31*VLOOKUP('Données projet'!$B$17,Paramètres!$A$1:$I$89,3,0)*0.475*44/12</f>
        <v>7.0424023128340814</v>
      </c>
      <c r="GM31" s="21">
        <f>EXP(-LN(2)/25)*GM30+(1-EXP(-LN(2)/25))/(LN(2)/25)*Calculateur!GH31*Calculateur!GJ31*VLOOKUP('Données projet'!$B$17,Paramètres!$A$1:$I$89,3,0)*0.475*44/12</f>
        <v>13.734087049272013</v>
      </c>
      <c r="GN31" s="21">
        <f>EXP(-LN(2)/2)*GN30+(1-EXP(-LN(2)/2))/(LN(2)/2)*GH31*GK31*VLOOKUP('Données projet'!$B$17,Paramètres!$A$1:$I$89,3,0)*0.475*44/12</f>
        <v>9.6440858051597758</v>
      </c>
      <c r="GO31" s="21">
        <f t="shared" si="27"/>
        <v>30.42057516726587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84.31577618130467</v>
      </c>
      <c r="T32" s="59">
        <f t="shared" si="34"/>
        <v>527.2140904310653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124.72662714346593</v>
      </c>
      <c r="AA32" s="21">
        <f>EXP(-LN(2)/25)*AA31+(1-EXP(-LN(2)/25))/(LN(2)/25)*Calculateur!V32*Calculateur!X32*VLOOKUP('Données projet'!$B$9,Paramètres!$A$1:$I$89,3,0)*0.475*44/12</f>
        <v>36.237806578729177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160.96443372219511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</v>
      </c>
      <c r="AI32" s="13">
        <f>IF('Données projet'!$A$62&gt;35,AI31+AH32-AQ31,IF(A32&lt;'Données projet'!$A$62,$AF$205^A32,IF(A32='Données projet'!$A$62,'Données projet'!$B$62,AI31+AH32-AQ31)))</f>
        <v>87</v>
      </c>
      <c r="AJ32" s="13">
        <f>AI32*VLOOKUP('Données projet'!$B$10,Paramètres!$A$1:$I$89,3,0)*VLOOKUP('Données projet'!$B$10,Paramètres!$A$1:$I$89,5,0)</f>
        <v>78.71759999999999</v>
      </c>
      <c r="AK32" s="13">
        <f t="shared" si="35"/>
        <v>21.823336373425391</v>
      </c>
      <c r="AL32" s="20">
        <f t="shared" si="4"/>
        <v>175.1087975170492</v>
      </c>
      <c r="AM32" s="59">
        <f t="shared" si="5"/>
        <v>468.44213085038251</v>
      </c>
      <c r="AN32" s="59">
        <f ca="1">AVERAGE(OFFSET($AM$3,0,0,'Données projet'!$E$10+1,1))-AVERAGE(OFFSET($H$3,0,0,'Données projet'!$E$10+1,1))</f>
        <v>297.90790572649428</v>
      </c>
      <c r="AO32" s="59">
        <f t="shared" si="36"/>
        <v>142.96889776844506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</v>
      </c>
      <c r="BD32" s="12">
        <f>IF('Données projet'!$A$88&gt;35,BD31+BC32-BL31,IF(A32&lt;'Données projet'!$A$88,$BA$205^A32,IF(A32='Données projet'!$A$88,'Données projet'!$B$88,BD31+BC32-BL31)))</f>
        <v>87</v>
      </c>
      <c r="BE32" s="13">
        <f>BD32*VLOOKUP('Données projet'!$B$11,Paramètres!$A$1:$I$89,3,0)*VLOOKUP('Données projet'!$B$11,Paramètres!$A$1:$I$89,5,0)</f>
        <v>88.218000000000004</v>
      </c>
      <c r="BF32" s="13">
        <f t="shared" si="37"/>
        <v>24.134950560421586</v>
      </c>
      <c r="BG32" s="20">
        <f t="shared" si="7"/>
        <v>195.68138889273428</v>
      </c>
      <c r="BH32" s="59">
        <f t="shared" si="8"/>
        <v>489.01472222606759</v>
      </c>
      <c r="BI32" s="59">
        <f ca="1">AVERAGE(OFFSET($BH$3,0,0,'Données projet'!$E$11+1,1))-AVERAGE(OFFSET($H$3,0,0,'Données projet'!$E$11+1,1))</f>
        <v>345.3294887586967</v>
      </c>
      <c r="BJ32" s="59">
        <f t="shared" si="38"/>
        <v>164.23448598618114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13.4</v>
      </c>
      <c r="BY32" s="12">
        <f>IF('Données projet'!$A$114&gt;35,BY31+BX32-CG31,IF(A32&lt;'Données projet'!$A$114,$BV$205^A32,IF(A32='Données projet'!$A$114,'Données projet'!$B$114,BY31+BX32-CG31)))</f>
        <v>180.60000000000005</v>
      </c>
      <c r="BZ32" s="13">
        <f>BY32*VLOOKUP('Données projet'!$B$12,Paramètres!$A$1:$I$89,3,0)*VLOOKUP('Données projet'!$B$12,Paramètres!$A$1:$I$89,5,0)</f>
        <v>107.99880000000003</v>
      </c>
      <c r="CA32" s="13">
        <f t="shared" si="39"/>
        <v>28.85898360070161</v>
      </c>
      <c r="CB32" s="20">
        <f t="shared" si="10"/>
        <v>238.36063977122203</v>
      </c>
      <c r="CC32" s="59">
        <f t="shared" si="11"/>
        <v>531.69397310455531</v>
      </c>
      <c r="CD32" s="59">
        <f ca="1">AVERAGE(OFFSET($CC$3,0,0,'Données projet'!$E$12+1,1))-AVERAGE(OFFSET($H$3,0,0,'Données projet'!$E$12+1,1))</f>
        <v>289.07218105343333</v>
      </c>
      <c r="CE32" s="59">
        <f t="shared" si="40"/>
        <v>217.57508587672368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6.0574443276180414</v>
      </c>
      <c r="CM32" s="21">
        <f>EXP(-LN(2)/2)*CM31+(1-EXP(-LN(2)/2))/(LN(2)/2)*CG32*CJ32*VLOOKUP('Données projet'!$B$12,Paramètres!$A$1:$I$89,3,0)*0.475*44/12</f>
        <v>1.5340387640691773</v>
      </c>
      <c r="CN32" s="22">
        <f t="shared" si="12"/>
        <v>7.5914830916872189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</v>
      </c>
      <c r="CT32" s="12">
        <f>IF('Données projet'!$A$140&gt;35,CT31+CS32-DB31,IF(A32&lt;'Données projet'!$A$140,$CQ$205^A32,IF(A32='Données projet'!$A$140,'Données projet'!$B$140,CT31+CS32-DB31)))</f>
        <v>175</v>
      </c>
      <c r="CU32" s="17">
        <f>CT32*VLOOKUP('Données projet'!$B$13,Paramètres!$A$1:$I$89,3,0)*VLOOKUP('Données projet'!$B$13,Paramètres!$A$1:$I$89,5,0)</f>
        <v>152.88000000000002</v>
      </c>
      <c r="CV32" s="13">
        <f t="shared" si="41"/>
        <v>39.232349774697852</v>
      </c>
      <c r="CW32" s="20">
        <f t="shared" si="13"/>
        <v>334.59567585759874</v>
      </c>
      <c r="CX32" s="59">
        <f t="shared" si="14"/>
        <v>627.92900919093199</v>
      </c>
      <c r="CY32" s="59">
        <f ca="1">AVERAGE(OFFSET($CX$3,0,0,'Données projet'!$E$13+1,1))-AVERAGE(OFFSET($H$3,0,0,'Données projet'!$E$13+1,1))</f>
        <v>237.8483058552178</v>
      </c>
      <c r="CZ32" s="59">
        <f t="shared" si="42"/>
        <v>313.36201272119723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</v>
      </c>
      <c r="DO32" s="12">
        <f>IF('Données projet'!$A$166&gt;35,DO31+DN32-DW31,IF(A32&lt;'Données projet'!$A$166,$DL$205^A32,IF(A32='Données projet'!$A$166,'Données projet'!$B$166,DO31+DN32-DW31)))</f>
        <v>87</v>
      </c>
      <c r="DP32" s="17">
        <f>DO32*VLOOKUP('Données projet'!$B$14,Paramètres!$A$1:$I$89,3,0)*VLOOKUP('Données projet'!$B$14,Paramètres!$A$1:$I$89,5,0)</f>
        <v>84.1464</v>
      </c>
      <c r="DQ32" s="13">
        <f t="shared" si="43"/>
        <v>23.14799971956144</v>
      </c>
      <c r="DR32" s="20">
        <f t="shared" si="16"/>
        <v>186.87107951156952</v>
      </c>
      <c r="DS32" s="59">
        <f t="shared" si="17"/>
        <v>480.20441284490283</v>
      </c>
      <c r="DT32" s="59">
        <f ca="1">AVERAGE(OFFSET($DS$3,0,0,'Données projet'!$E$14+1,1))-AVERAGE(OFFSET($H$3,0,0,'Données projet'!$E$14+1,1))</f>
        <v>325.01961068962373</v>
      </c>
      <c r="DU32" s="59">
        <f t="shared" si="44"/>
        <v>155.12737608540039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11.8</v>
      </c>
      <c r="EJ32" s="12">
        <f>IF('Données projet'!$A$192&gt;35,EJ31+EI32-ER31,IF(A32&lt;'Données projet'!$A$192,$EG$205^A32,IF(A32='Données projet'!$A$192,'Données projet'!$B$192,EJ31+EI32-ER31)))</f>
        <v>134.19999999999996</v>
      </c>
      <c r="EK32" s="17">
        <f>EJ32*VLOOKUP('Données projet'!$B$15,Paramètres!$A$1:$I$89,3,0)*VLOOKUP('Données projet'!$B$15,Paramètres!$A$1:$I$89,5,0)</f>
        <v>90.021359999999973</v>
      </c>
      <c r="EL32" s="13">
        <f t="shared" si="45"/>
        <v>24.570376440411131</v>
      </c>
      <c r="EM32" s="20">
        <f t="shared" si="19"/>
        <v>199.58060763371597</v>
      </c>
      <c r="EN32" s="59">
        <f t="shared" si="20"/>
        <v>492.91394096704926</v>
      </c>
      <c r="EO32" s="59">
        <f ca="1">AVERAGE(OFFSET($EN$3,0,0,'Données projet'!$E$15+1,1))-AVERAGE(OFFSET($H$3,0,0,'Données projet'!$E$15+1,1))</f>
        <v>178.09619481964575</v>
      </c>
      <c r="EP32" s="59">
        <f t="shared" si="46"/>
        <v>178.65167777495174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11.8</v>
      </c>
      <c r="FE32" s="12">
        <f>IF('Données projet'!$A$218&gt;35,FE31+FD32-FM31,IF(A32&lt;'Données projet'!$A$218,$FB$205^A32,IF(A32='Données projet'!$A$218,'Données projet'!$B$218,FE31+FD32-FM31)))</f>
        <v>134.19999999999996</v>
      </c>
      <c r="FF32" s="17">
        <f>FE32*VLOOKUP('Données projet'!$B$16,Paramètres!$A$1:$I$89,3,0)*VLOOKUP('Données projet'!$B$16,Paramètres!$A$1:$I$89,5,0)</f>
        <v>106.76951999999997</v>
      </c>
      <c r="FG32" s="13">
        <f t="shared" si="47"/>
        <v>28.568542914630683</v>
      </c>
      <c r="FH32" s="20">
        <f t="shared" si="22"/>
        <v>235.71379290964839</v>
      </c>
      <c r="FI32" s="59">
        <f t="shared" si="23"/>
        <v>529.04712624298168</v>
      </c>
      <c r="FJ32" s="59">
        <f ca="1">AVERAGE(OFFSET($FI$3,0,0,'Données projet'!$E$16+1,1))-AVERAGE(OFFSET($H$3,0,0,'Données projet'!$E$16+1,1))</f>
        <v>219.43439115440339</v>
      </c>
      <c r="FK32" s="59">
        <f t="shared" si="48"/>
        <v>217.8880462742099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14.833333333333334</v>
      </c>
      <c r="FZ32" s="12">
        <f>IF('Données projet'!$A$244&gt;35,FZ31+FY32-GH31,IF(A32&lt;'Données projet'!$A$244,$FW$205^A32,IF(A32='Données projet'!$A$244,'Données projet'!$B$244,FZ31+FY32-GH31)))</f>
        <v>169.83333333333334</v>
      </c>
      <c r="GA32" s="17">
        <f>FZ32*VLOOKUP('Données projet'!$B$17,Paramètres!$A$1:$I$89,3,0)*VLOOKUP('Données projet'!$B$17,Paramètres!$A$1:$I$89,5,0)</f>
        <v>101.56033333333333</v>
      </c>
      <c r="GB32" s="13">
        <f t="shared" si="49"/>
        <v>27.333389821325063</v>
      </c>
      <c r="GC32" s="20">
        <f t="shared" si="25"/>
        <v>224.48990116103005</v>
      </c>
      <c r="GD32" s="59">
        <f t="shared" si="26"/>
        <v>517.82323449436331</v>
      </c>
      <c r="GE32" s="59">
        <f ca="1">AVERAGE(OFFSET($GD$3,0,0,'Données projet'!$E$17+1,1))-AVERAGE(OFFSET($H$3,0,0,'Données projet'!$E$17+1,1))</f>
        <v>191.77102466144095</v>
      </c>
      <c r="GF32" s="59">
        <f t="shared" si="50"/>
        <v>205.57161411620217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6.904305098920676</v>
      </c>
      <c r="GM32" s="21">
        <f>EXP(-LN(2)/25)*GM31+(1-EXP(-LN(2)/25))/(LN(2)/25)*Calculateur!GH32*Calculateur!GJ32*VLOOKUP('Données projet'!$B$17,Paramètres!$A$1:$I$89,3,0)*0.475*44/12</f>
        <v>13.358527716665421</v>
      </c>
      <c r="GN32" s="21">
        <f>EXP(-LN(2)/2)*GN31+(1-EXP(-LN(2)/2))/(LN(2)/2)*GH32*GK32*VLOOKUP('Données projet'!$B$17,Paramètres!$A$1:$I$89,3,0)*0.475*44/12</f>
        <v>6.819398471173403</v>
      </c>
      <c r="GO32" s="21">
        <f t="shared" si="27"/>
        <v>27.082231286759502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84.31577618130467</v>
      </c>
      <c r="T33" s="59">
        <f t="shared" si="34"/>
        <v>527.2140904310653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122.28081406091327</v>
      </c>
      <c r="AA33" s="21">
        <f>EXP(-LN(2)/25)*AA32+(1-EXP(-LN(2)/25))/(LN(2)/25)*Calculateur!V33*Calculateur!X33*VLOOKUP('Données projet'!$B$9,Paramètres!$A$1:$I$89,3,0)*0.475*44/12</f>
        <v>35.246881852170404</v>
      </c>
      <c r="AB33" s="21">
        <f>EXP(-LN(2)/2)*AB32+(1-EXP(-LN(2)/2))/(LN(2)/2)*V33*Y33*VLOOKUP('Données projet'!$B$9,Paramètres!$A$1:$I$89,3,0)*0.475*44/12</f>
        <v>0</v>
      </c>
      <c r="AC33" s="22">
        <f t="shared" si="3"/>
        <v>157.52769591308368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</v>
      </c>
      <c r="AI33" s="13">
        <f>IF('Données projet'!$A$62&gt;35,AI32+AH33-AQ32,IF(A33&lt;'Données projet'!$A$62,$AF$205^A33,IF(A33='Données projet'!$A$62,'Données projet'!$B$62,AI32+AH33-AQ32)))</f>
        <v>90</v>
      </c>
      <c r="AJ33" s="13">
        <f>AI33*VLOOKUP('Données projet'!$B$10,Paramètres!$A$1:$I$89,3,0)*VLOOKUP('Données projet'!$B$10,Paramètres!$A$1:$I$89,5,0)</f>
        <v>81.432000000000002</v>
      </c>
      <c r="AK33" s="13">
        <f t="shared" si="35"/>
        <v>22.486953220240881</v>
      </c>
      <c r="AL33" s="20">
        <f t="shared" si="4"/>
        <v>180.99217685858619</v>
      </c>
      <c r="AM33" s="59">
        <f t="shared" si="5"/>
        <v>474.32551019191953</v>
      </c>
      <c r="AN33" s="59">
        <f ca="1">AVERAGE(OFFSET($AM$3,0,0,'Données projet'!$E$10+1,1))-AVERAGE(OFFSET($H$3,0,0,'Données projet'!$E$10+1,1))</f>
        <v>297.90790572649428</v>
      </c>
      <c r="AO33" s="59">
        <f t="shared" si="36"/>
        <v>142.96889776844506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</v>
      </c>
      <c r="BD33" s="12">
        <f>IF('Données projet'!$A$88&gt;35,BD32+BC33-BL32,IF(A33&lt;'Données projet'!$A$88,$BA$205^A33,IF(A33='Données projet'!$A$88,'Données projet'!$B$88,BD32+BC33-BL32)))</f>
        <v>90</v>
      </c>
      <c r="BE33" s="13">
        <f>BD33*VLOOKUP('Données projet'!$B$11,Paramètres!$A$1:$I$89,3,0)*VLOOKUP('Données projet'!$B$11,Paramètres!$A$1:$I$89,5,0)</f>
        <v>91.26</v>
      </c>
      <c r="BF33" s="13">
        <f t="shared" si="37"/>
        <v>24.868860330902777</v>
      </c>
      <c r="BG33" s="20">
        <f t="shared" si="7"/>
        <v>202.25776507632233</v>
      </c>
      <c r="BH33" s="59">
        <f t="shared" si="8"/>
        <v>495.59109840965561</v>
      </c>
      <c r="BI33" s="59">
        <f ca="1">AVERAGE(OFFSET($BH$3,0,0,'Données projet'!$E$11+1,1))-AVERAGE(OFFSET($H$3,0,0,'Données projet'!$E$11+1,1))</f>
        <v>345.3294887586967</v>
      </c>
      <c r="BJ33" s="59">
        <f t="shared" si="38"/>
        <v>164.23448598618114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194</v>
      </c>
      <c r="BW33" s="12">
        <f>VLOOKUP(A33,'Données projet'!$A$113:$I$133,9,0)</f>
        <v>13.4</v>
      </c>
      <c r="BX33" s="12">
        <f t="array" ref="BX33">INDEX(BW:BW,MIN(IF(ISNUMBER(BW33:BW229),ROW(BW33:BW229),"")))</f>
        <v>13.4</v>
      </c>
      <c r="BY33" s="12">
        <f>IF('Données projet'!$A$114&gt;35,BY32+BX33-CG32,IF(A33&lt;'Données projet'!$A$114,$BV$205^A33,IF(A33='Données projet'!$A$114,'Données projet'!$B$114,BY32+BX33-CG32)))</f>
        <v>194.00000000000006</v>
      </c>
      <c r="BZ33" s="13">
        <f>BY33*VLOOKUP('Données projet'!$B$12,Paramètres!$A$1:$I$89,3,0)*VLOOKUP('Données projet'!$B$12,Paramètres!$A$1:$I$89,5,0)</f>
        <v>116.01200000000003</v>
      </c>
      <c r="CA33" s="13">
        <f t="shared" si="39"/>
        <v>30.743042086238173</v>
      </c>
      <c r="CB33" s="20">
        <f t="shared" si="10"/>
        <v>255.59836496686489</v>
      </c>
      <c r="CC33" s="59">
        <f t="shared" si="11"/>
        <v>548.93169830019815</v>
      </c>
      <c r="CD33" s="59">
        <f ca="1">AVERAGE(OFFSET($CC$3,0,0,'Données projet'!$E$12+1,1))-AVERAGE(OFFSET($H$3,0,0,'Données projet'!$E$12+1,1))</f>
        <v>289.07218105343333</v>
      </c>
      <c r="CE33" s="59">
        <f t="shared" si="40"/>
        <v>217.57508587672368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34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0.27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13.145491059867183</v>
      </c>
      <c r="CM33" s="21">
        <f>EXP(-LN(2)/2)*CM32+(1-EXP(-LN(2)/2))/(LN(2)/2)*CG33*CJ33*VLOOKUP('Données projet'!$B$12,Paramètres!$A$1:$I$89,3,0)*0.475*44/12</f>
        <v>10.292948041999587</v>
      </c>
      <c r="CN33" s="22">
        <f t="shared" si="12"/>
        <v>23.43843910186677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184</v>
      </c>
      <c r="CR33" s="12">
        <f>VLOOKUP(A33,'Données projet'!$A$139:$I$159,9,0)</f>
        <v>9</v>
      </c>
      <c r="CS33" s="12">
        <f t="array" ref="CS33">INDEX(CR:CR,MIN(IF(ISNUMBER(CR33:CR229),ROW(CR33:CR229),"")))</f>
        <v>9</v>
      </c>
      <c r="CT33" s="12">
        <f>IF('Données projet'!$A$140&gt;35,CT32+CS33-DB32,IF(A33&lt;'Données projet'!$A$140,$CQ$205^A33,IF(A33='Données projet'!$A$140,'Données projet'!$B$140,CT32+CS33-DB32)))</f>
        <v>184</v>
      </c>
      <c r="CU33" s="17">
        <f>CT33*VLOOKUP('Données projet'!$B$13,Paramètres!$A$1:$I$89,3,0)*VLOOKUP('Données projet'!$B$13,Paramètres!$A$1:$I$89,5,0)</f>
        <v>160.7424</v>
      </c>
      <c r="CV33" s="13">
        <f t="shared" si="41"/>
        <v>41.009920657227809</v>
      </c>
      <c r="CW33" s="20">
        <f t="shared" si="13"/>
        <v>351.38529181133845</v>
      </c>
      <c r="CX33" s="59">
        <f t="shared" si="14"/>
        <v>644.71862514467171</v>
      </c>
      <c r="CY33" s="59">
        <f ca="1">AVERAGE(OFFSET($CX$3,0,0,'Données projet'!$E$13+1,1))-AVERAGE(OFFSET($H$3,0,0,'Données projet'!$E$13+1,1))</f>
        <v>237.8483058552178</v>
      </c>
      <c r="CZ33" s="59">
        <f t="shared" si="42"/>
        <v>313.36201272119723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44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</v>
      </c>
      <c r="DO33" s="12">
        <f>IF('Données projet'!$A$166&gt;35,DO32+DN33-DW32,IF(A33&lt;'Données projet'!$A$166,$DL$205^A33,IF(A33='Données projet'!$A$166,'Données projet'!$B$166,DO32+DN33-DW32)))</f>
        <v>90</v>
      </c>
      <c r="DP33" s="17">
        <f>DO33*VLOOKUP('Données projet'!$B$14,Paramètres!$A$1:$I$89,3,0)*VLOOKUP('Données projet'!$B$14,Paramètres!$A$1:$I$89,5,0)</f>
        <v>87.048000000000002</v>
      </c>
      <c r="DQ33" s="13">
        <f t="shared" si="43"/>
        <v>23.851897708444891</v>
      </c>
      <c r="DR33" s="20">
        <f t="shared" si="16"/>
        <v>193.15065517554152</v>
      </c>
      <c r="DS33" s="59">
        <f t="shared" si="17"/>
        <v>486.48398850887486</v>
      </c>
      <c r="DT33" s="59">
        <f ca="1">AVERAGE(OFFSET($DS$3,0,0,'Données projet'!$E$14+1,1))-AVERAGE(OFFSET($H$3,0,0,'Données projet'!$E$14+1,1))</f>
        <v>325.01961068962373</v>
      </c>
      <c r="DU33" s="59">
        <f t="shared" si="44"/>
        <v>155.12737608540039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146</v>
      </c>
      <c r="EH33" s="12">
        <f>VLOOKUP(A33,'Données projet'!$A$191:$I$211,9,0)</f>
        <v>11.8</v>
      </c>
      <c r="EI33" s="12">
        <f t="array" ref="EI33">INDEX(EH:EH,MIN(IF(ISNUMBER(EH33:EH229),ROW(EH33:EH229),"")))</f>
        <v>11.8</v>
      </c>
      <c r="EJ33" s="12">
        <f>IF('Données projet'!$A$192&gt;35,EJ32+EI33-ER32,IF(A33&lt;'Données projet'!$A$192,$EG$205^A33,IF(A33='Données projet'!$A$192,'Données projet'!$B$192,EJ32+EI33-ER32)))</f>
        <v>145.99999999999997</v>
      </c>
      <c r="EK33" s="17">
        <f>EJ33*VLOOKUP('Données projet'!$B$15,Paramètres!$A$1:$I$89,3,0)*VLOOKUP('Données projet'!$B$15,Paramètres!$A$1:$I$89,5,0)</f>
        <v>97.936799999999977</v>
      </c>
      <c r="EL33" s="13">
        <f t="shared" si="45"/>
        <v>26.469873798139488</v>
      </c>
      <c r="EM33" s="20">
        <f t="shared" si="19"/>
        <v>216.67495686509289</v>
      </c>
      <c r="EN33" s="59">
        <f t="shared" si="20"/>
        <v>510.00829019842621</v>
      </c>
      <c r="EO33" s="59">
        <f ca="1">AVERAGE(OFFSET($EN$3,0,0,'Données projet'!$E$15+1,1))-AVERAGE(OFFSET($H$3,0,0,'Données projet'!$E$15+1,1))</f>
        <v>178.09619481964575</v>
      </c>
      <c r="EP33" s="59">
        <f t="shared" si="46"/>
        <v>178.65167777495174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146</v>
      </c>
      <c r="FC33" s="12">
        <f>VLOOKUP(A33,'Données projet'!$A$217:$I$237,9,0)</f>
        <v>11.8</v>
      </c>
      <c r="FD33" s="12">
        <f t="array" ref="FD33">INDEX(FC:FC,MIN(IF(ISNUMBER(FC33:FC229),ROW(FC33:FC229),"")))</f>
        <v>11.8</v>
      </c>
      <c r="FE33" s="12">
        <f>IF('Données projet'!$A$218&gt;35,FE32+FD33-FM32,IF(A33&lt;'Données projet'!$A$218,$FB$205^A33,IF(A33='Données projet'!$A$218,'Données projet'!$B$218,FE32+FD33-FM32)))</f>
        <v>145.99999999999997</v>
      </c>
      <c r="FF33" s="17">
        <f>FE33*VLOOKUP('Données projet'!$B$16,Paramètres!$A$1:$I$89,3,0)*VLOOKUP('Données projet'!$B$16,Paramètres!$A$1:$I$89,5,0)</f>
        <v>116.15759999999999</v>
      </c>
      <c r="FG33" s="13">
        <f t="shared" si="47"/>
        <v>30.777132266613055</v>
      </c>
      <c r="FH33" s="20">
        <f t="shared" si="22"/>
        <v>255.91132536435109</v>
      </c>
      <c r="FI33" s="59">
        <f t="shared" si="23"/>
        <v>549.24465869768437</v>
      </c>
      <c r="FJ33" s="59">
        <f ca="1">AVERAGE(OFFSET($FI$3,0,0,'Données projet'!$E$16+1,1))-AVERAGE(OFFSET($H$3,0,0,'Données projet'!$E$16+1,1))</f>
        <v>219.43439115440339</v>
      </c>
      <c r="FK33" s="59">
        <f t="shared" si="48"/>
        <v>217.8880462742099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14.833333333333334</v>
      </c>
      <c r="FZ33" s="12">
        <f>IF('Données projet'!$A$244&gt;35,FZ32+FY33-GH32,IF(A33&lt;'Données projet'!$A$244,$FW$205^A33,IF(A33='Données projet'!$A$244,'Données projet'!$B$244,FZ32+FY33-GH32)))</f>
        <v>184.66666666666669</v>
      </c>
      <c r="GA33" s="17">
        <f>FZ33*VLOOKUP('Données projet'!$B$17,Paramètres!$A$1:$I$89,3,0)*VLOOKUP('Données projet'!$B$17,Paramètres!$A$1:$I$89,5,0)</f>
        <v>110.43066666666668</v>
      </c>
      <c r="GB33" s="13">
        <f t="shared" si="49"/>
        <v>29.43242991113809</v>
      </c>
      <c r="GC33" s="20">
        <f t="shared" si="25"/>
        <v>243.5948932063433</v>
      </c>
      <c r="GD33" s="59">
        <f t="shared" si="26"/>
        <v>536.92822653967664</v>
      </c>
      <c r="GE33" s="59">
        <f ca="1">AVERAGE(OFFSET($GD$3,0,0,'Données projet'!$E$17+1,1))-AVERAGE(OFFSET($H$3,0,0,'Données projet'!$E$17+1,1))</f>
        <v>191.77102466144095</v>
      </c>
      <c r="GF33" s="59">
        <f t="shared" si="50"/>
        <v>205.57161411620217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6.7689158871411292</v>
      </c>
      <c r="GM33" s="21">
        <f>EXP(-LN(2)/25)*GM32+(1-EXP(-LN(2)/25))/(LN(2)/25)*Calculateur!GH33*Calculateur!GJ33*VLOOKUP('Données projet'!$B$17,Paramètres!$A$1:$I$89,3,0)*0.475*44/12</f>
        <v>12.993238073758764</v>
      </c>
      <c r="GN33" s="21">
        <f>EXP(-LN(2)/2)*GN32+(1-EXP(-LN(2)/2))/(LN(2)/2)*GH33*GK33*VLOOKUP('Données projet'!$B$17,Paramètres!$A$1:$I$89,3,0)*0.475*44/12</f>
        <v>4.8220429025798888</v>
      </c>
      <c r="GO33" s="21">
        <f t="shared" si="27"/>
        <v>24.584196863479782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84.31577618130467</v>
      </c>
      <c r="T34" s="59">
        <f t="shared" si="34"/>
        <v>527.2140904310653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119.88296188111079</v>
      </c>
      <c r="AA34" s="21">
        <f>EXP(-LN(2)/25)*AA33+(1-EXP(-LN(2)/25))/(LN(2)/25)*Calculateur!V34*Calculateur!X34*VLOOKUP('Données projet'!$B$9,Paramètres!$A$1:$I$89,3,0)*0.475*44/12</f>
        <v>34.283054014369846</v>
      </c>
      <c r="AB34" s="21">
        <f>EXP(-LN(2)/2)*AB33+(1-EXP(-LN(2)/2))/(LN(2)/2)*V34*Y34*VLOOKUP('Données projet'!$B$9,Paramètres!$A$1:$I$89,3,0)*0.475*44/12</f>
        <v>0</v>
      </c>
      <c r="AC34" s="22">
        <f t="shared" si="3"/>
        <v>154.16601589548063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</v>
      </c>
      <c r="AI34" s="13">
        <f>IF('Données projet'!$A$62&gt;35,AI33+AH34-AQ33,IF(A34&lt;'Données projet'!$A$62,$AF$205^A34,IF(A34='Données projet'!$A$62,'Données projet'!$B$62,AI33+AH34-AQ33)))</f>
        <v>93</v>
      </c>
      <c r="AJ34" s="13">
        <f>AI34*VLOOKUP('Données projet'!$B$10,Paramètres!$A$1:$I$89,3,0)*VLOOKUP('Données projet'!$B$10,Paramètres!$A$1:$I$89,5,0)</f>
        <v>84.1464</v>
      </c>
      <c r="AK34" s="13">
        <f t="shared" si="35"/>
        <v>23.14799971956144</v>
      </c>
      <c r="AL34" s="20">
        <f t="shared" si="4"/>
        <v>186.87107951156952</v>
      </c>
      <c r="AM34" s="59">
        <f t="shared" si="5"/>
        <v>480.20441284490283</v>
      </c>
      <c r="AN34" s="59">
        <f ca="1">AVERAGE(OFFSET($AM$3,0,0,'Données projet'!$E$10+1,1))-AVERAGE(OFFSET($H$3,0,0,'Données projet'!$E$10+1,1))</f>
        <v>297.90790572649428</v>
      </c>
      <c r="AO34" s="59">
        <f t="shared" si="36"/>
        <v>142.96889776844506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</v>
      </c>
      <c r="BD34" s="12">
        <f>IF('Données projet'!$A$88&gt;35,BD33+BC34-BL33,IF(A34&lt;'Données projet'!$A$88,$BA$205^A34,IF(A34='Données projet'!$A$88,'Données projet'!$B$88,BD33+BC34-BL33)))</f>
        <v>93</v>
      </c>
      <c r="BE34" s="13">
        <f>BD34*VLOOKUP('Données projet'!$B$11,Paramètres!$A$1:$I$89,3,0)*VLOOKUP('Données projet'!$B$11,Paramètres!$A$1:$I$89,5,0)</f>
        <v>94.302000000000007</v>
      </c>
      <c r="BF34" s="13">
        <f t="shared" si="37"/>
        <v>25.599927492506424</v>
      </c>
      <c r="BG34" s="20">
        <f t="shared" si="7"/>
        <v>208.829190382782</v>
      </c>
      <c r="BH34" s="59">
        <f t="shared" si="8"/>
        <v>502.16252371611529</v>
      </c>
      <c r="BI34" s="59">
        <f ca="1">AVERAGE(OFFSET($BH$3,0,0,'Données projet'!$E$11+1,1))-AVERAGE(OFFSET($H$3,0,0,'Données projet'!$E$11+1,1))</f>
        <v>345.3294887586967</v>
      </c>
      <c r="BJ34" s="59">
        <f t="shared" si="38"/>
        <v>164.23448598618114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14.6</v>
      </c>
      <c r="BY34" s="12">
        <f>IF('Données projet'!$A$114&gt;35,BY33+BX34-CG33,IF(A34&lt;'Données projet'!$A$114,$BV$205^A34,IF(A34='Données projet'!$A$114,'Données projet'!$B$114,BY33+BX34-CG33)))</f>
        <v>174.60000000000005</v>
      </c>
      <c r="BZ34" s="13">
        <f>BY34*VLOOKUP('Données projet'!$B$12,Paramètres!$A$1:$I$89,3,0)*VLOOKUP('Données projet'!$B$12,Paramètres!$A$1:$I$89,5,0)</f>
        <v>104.41080000000004</v>
      </c>
      <c r="CA34" s="13">
        <f t="shared" si="39"/>
        <v>28.010155571424168</v>
      </c>
      <c r="CB34" s="20">
        <f t="shared" si="10"/>
        <v>230.63316428689714</v>
      </c>
      <c r="CC34" s="59">
        <f t="shared" si="11"/>
        <v>523.96649762023048</v>
      </c>
      <c r="CD34" s="59">
        <f ca="1">AVERAGE(OFFSET($CC$3,0,0,'Données projet'!$E$12+1,1))-AVERAGE(OFFSET($H$3,0,0,'Données projet'!$E$12+1,1))</f>
        <v>289.07218105343333</v>
      </c>
      <c r="CE34" s="59">
        <f t="shared" si="40"/>
        <v>217.57508587672368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12.786026915543784</v>
      </c>
      <c r="CM34" s="21">
        <f>EXP(-LN(2)/2)*CM33+(1-EXP(-LN(2)/2))/(LN(2)/2)*CG34*CJ34*VLOOKUP('Données projet'!$B$12,Paramètres!$A$1:$I$89,3,0)*0.475*44/12</f>
        <v>7.2782133588987055</v>
      </c>
      <c r="CN34" s="22">
        <f t="shared" si="12"/>
        <v>20.06424027444249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7.3</v>
      </c>
      <c r="CT34" s="12">
        <f>IF('Données projet'!$A$140&gt;35,CT33+CS34-DB33,IF(A34&lt;'Données projet'!$A$140,$CQ$205^A34,IF(A34='Données projet'!$A$140,'Données projet'!$B$140,CT33+CS34-DB33)))</f>
        <v>147.30000000000001</v>
      </c>
      <c r="CU34" s="17">
        <f>CT34*VLOOKUP('Données projet'!$B$13,Paramètres!$A$1:$I$89,3,0)*VLOOKUP('Données projet'!$B$13,Paramètres!$A$1:$I$89,5,0)</f>
        <v>128.68128000000002</v>
      </c>
      <c r="CV34" s="13">
        <f t="shared" si="41"/>
        <v>33.691461276802286</v>
      </c>
      <c r="CW34" s="20">
        <f t="shared" si="13"/>
        <v>282.79919105709729</v>
      </c>
      <c r="CX34" s="59">
        <f t="shared" si="14"/>
        <v>576.1325243904306</v>
      </c>
      <c r="CY34" s="59">
        <f ca="1">AVERAGE(OFFSET($CX$3,0,0,'Données projet'!$E$13+1,1))-AVERAGE(OFFSET($H$3,0,0,'Données projet'!$E$13+1,1))</f>
        <v>237.8483058552178</v>
      </c>
      <c r="CZ34" s="59">
        <f t="shared" si="42"/>
        <v>313.36201272119723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</v>
      </c>
      <c r="DO34" s="12">
        <f>IF('Données projet'!$A$166&gt;35,DO33+DN34-DW33,IF(A34&lt;'Données projet'!$A$166,$DL$205^A34,IF(A34='Données projet'!$A$166,'Données projet'!$B$166,DO33+DN34-DW33)))</f>
        <v>93</v>
      </c>
      <c r="DP34" s="17">
        <f>DO34*VLOOKUP('Données projet'!$B$14,Paramètres!$A$1:$I$89,3,0)*VLOOKUP('Données projet'!$B$14,Paramètres!$A$1:$I$89,5,0)</f>
        <v>89.949600000000004</v>
      </c>
      <c r="DQ34" s="13">
        <f t="shared" si="43"/>
        <v>24.553069331291823</v>
      </c>
      <c r="DR34" s="20">
        <f t="shared" si="16"/>
        <v>199.42548241866658</v>
      </c>
      <c r="DS34" s="59">
        <f t="shared" si="17"/>
        <v>492.75881575199992</v>
      </c>
      <c r="DT34" s="59">
        <f ca="1">AVERAGE(OFFSET($DS$3,0,0,'Données projet'!$E$14+1,1))-AVERAGE(OFFSET($H$3,0,0,'Données projet'!$E$14+1,1))</f>
        <v>325.01961068962373</v>
      </c>
      <c r="DU34" s="59">
        <f t="shared" si="44"/>
        <v>155.12737608540039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10.8</v>
      </c>
      <c r="EJ34" s="12">
        <f>IF('Données projet'!$A$192&gt;35,EJ33+EI34-ER33,IF(A34&lt;'Données projet'!$A$192,$EG$205^A34,IF(A34='Données projet'!$A$192,'Données projet'!$B$192,EJ33+EI34-ER33)))</f>
        <v>128.79999999999998</v>
      </c>
      <c r="EK34" s="17">
        <f>EJ34*VLOOKUP('Données projet'!$B$15,Paramètres!$A$1:$I$89,3,0)*VLOOKUP('Données projet'!$B$15,Paramètres!$A$1:$I$89,5,0)</f>
        <v>86.399039999999999</v>
      </c>
      <c r="EL34" s="13">
        <f t="shared" si="45"/>
        <v>23.694707062749593</v>
      </c>
      <c r="EM34" s="20">
        <f t="shared" si="19"/>
        <v>191.74660946762219</v>
      </c>
      <c r="EN34" s="59">
        <f t="shared" si="20"/>
        <v>485.07994280095551</v>
      </c>
      <c r="EO34" s="59">
        <f ca="1">AVERAGE(OFFSET($EN$3,0,0,'Données projet'!$E$15+1,1))-AVERAGE(OFFSET($H$3,0,0,'Données projet'!$E$15+1,1))</f>
        <v>178.09619481964575</v>
      </c>
      <c r="EP34" s="59">
        <f t="shared" si="46"/>
        <v>178.65167777495174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128.79999999999998</v>
      </c>
      <c r="FF34" s="17">
        <f>FE34*VLOOKUP('Données projet'!$B$16,Paramètres!$A$1:$I$89,3,0)*VLOOKUP('Données projet'!$B$16,Paramètres!$A$1:$I$89,5,0)</f>
        <v>102.47327999999999</v>
      </c>
      <c r="FG34" s="13">
        <f t="shared" si="47"/>
        <v>27.550381949314474</v>
      </c>
      <c r="FH34" s="20">
        <f t="shared" si="22"/>
        <v>226.45787789505599</v>
      </c>
      <c r="FI34" s="59">
        <f t="shared" si="23"/>
        <v>519.79121122838933</v>
      </c>
      <c r="FJ34" s="59">
        <f ca="1">AVERAGE(OFFSET($FI$3,0,0,'Données projet'!$E$16+1,1))-AVERAGE(OFFSET($H$3,0,0,'Données projet'!$E$16+1,1))</f>
        <v>219.43439115440339</v>
      </c>
      <c r="FK34" s="59">
        <f t="shared" si="48"/>
        <v>217.8880462742099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14.833333333333334</v>
      </c>
      <c r="FZ34" s="12">
        <f>IF('Données projet'!$A$244&gt;35,FZ33+FY34-GH33,IF(A34&lt;'Données projet'!$A$244,$FW$205^A34,IF(A34='Données projet'!$A$244,'Données projet'!$B$244,FZ33+FY34-GH33)))</f>
        <v>199.50000000000003</v>
      </c>
      <c r="GA34" s="17">
        <f>FZ34*VLOOKUP('Données projet'!$B$17,Paramètres!$A$1:$I$89,3,0)*VLOOKUP('Données projet'!$B$17,Paramètres!$A$1:$I$89,5,0)</f>
        <v>119.30100000000002</v>
      </c>
      <c r="GB34" s="13">
        <f t="shared" si="49"/>
        <v>31.51191363312137</v>
      </c>
      <c r="GC34" s="20">
        <f t="shared" si="25"/>
        <v>262.66582457768635</v>
      </c>
      <c r="GD34" s="59">
        <f t="shared" si="26"/>
        <v>555.99915791101967</v>
      </c>
      <c r="GE34" s="59">
        <f ca="1">AVERAGE(OFFSET($GD$3,0,0,'Données projet'!$E$17+1,1))-AVERAGE(OFFSET($H$3,0,0,'Données projet'!$E$17+1,1))</f>
        <v>191.77102466144095</v>
      </c>
      <c r="GF34" s="59">
        <f t="shared" si="50"/>
        <v>205.57161411620217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6.6361815752253142</v>
      </c>
      <c r="GM34" s="21">
        <f>EXP(-LN(2)/25)*GM33+(1-EXP(-LN(2)/25))/(LN(2)/25)*Calculateur!GH34*Calculateur!GJ34*VLOOKUP('Données projet'!$B$17,Paramètres!$A$1:$I$89,3,0)*0.475*44/12</f>
        <v>12.637937295347138</v>
      </c>
      <c r="GN34" s="21">
        <f>EXP(-LN(2)/2)*GN33+(1-EXP(-LN(2)/2))/(LN(2)/2)*GH34*GK34*VLOOKUP('Données projet'!$B$17,Paramètres!$A$1:$I$89,3,0)*0.475*44/12</f>
        <v>3.409699235586702</v>
      </c>
      <c r="GO34" s="21">
        <f t="shared" si="27"/>
        <v>22.683818106159151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84.31577618130467</v>
      </c>
      <c r="T35" s="59">
        <f t="shared" si="34"/>
        <v>527.2140904310653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117.53213012000882</v>
      </c>
      <c r="AA35" s="21">
        <f>EXP(-LN(2)/25)*AA34+(1-EXP(-LN(2)/25))/(LN(2)/25)*Calculateur!V35*Calculateur!X35*VLOOKUP('Données projet'!$B$9,Paramètres!$A$1:$I$89,3,0)*0.475*44/12</f>
        <v>33.345582099479444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150.87771221948827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</v>
      </c>
      <c r="AI35" s="13">
        <f>IF('Données projet'!$A$62&gt;35,AI34+AH35-AQ34,IF(A35&lt;'Données projet'!$A$62,$AF$205^A35,IF(A35='Données projet'!$A$62,'Données projet'!$B$62,AI34+AH35-AQ34)))</f>
        <v>96</v>
      </c>
      <c r="AJ35" s="13">
        <f>AI35*VLOOKUP('Données projet'!$B$10,Paramètres!$A$1:$I$89,3,0)*VLOOKUP('Données projet'!$B$10,Paramètres!$A$1:$I$89,5,0)</f>
        <v>86.860799999999998</v>
      </c>
      <c r="AK35" s="13">
        <f t="shared" si="35"/>
        <v>23.806568296036275</v>
      </c>
      <c r="AL35" s="20">
        <f t="shared" si="4"/>
        <v>192.74566644892982</v>
      </c>
      <c r="AM35" s="59">
        <f t="shared" si="5"/>
        <v>486.07899978226317</v>
      </c>
      <c r="AN35" s="59">
        <f ca="1">AVERAGE(OFFSET($AM$3,0,0,'Données projet'!$E$10+1,1))-AVERAGE(OFFSET($H$3,0,0,'Données projet'!$E$10+1,1))</f>
        <v>297.90790572649428</v>
      </c>
      <c r="AO35" s="59">
        <f t="shared" si="36"/>
        <v>142.96889776844506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</v>
      </c>
      <c r="BD35" s="12">
        <f>IF('Données projet'!$A$88&gt;35,BD34+BC35-BL34,IF(A35&lt;'Données projet'!$A$88,$BA$205^A35,IF(A35='Données projet'!$A$88,'Données projet'!$B$88,BD34+BC35-BL34)))</f>
        <v>96</v>
      </c>
      <c r="BE35" s="13">
        <f>BD35*VLOOKUP('Données projet'!$B$11,Paramètres!$A$1:$I$89,3,0)*VLOOKUP('Données projet'!$B$11,Paramètres!$A$1:$I$89,5,0)</f>
        <v>97.344000000000008</v>
      </c>
      <c r="BF35" s="13">
        <f t="shared" si="37"/>
        <v>26.328254259866473</v>
      </c>
      <c r="BG35" s="20">
        <f t="shared" si="7"/>
        <v>215.3958428359341</v>
      </c>
      <c r="BH35" s="59">
        <f t="shared" si="8"/>
        <v>508.72917616926742</v>
      </c>
      <c r="BI35" s="59">
        <f ca="1">AVERAGE(OFFSET($BH$3,0,0,'Données projet'!$E$11+1,1))-AVERAGE(OFFSET($H$3,0,0,'Données projet'!$E$11+1,1))</f>
        <v>345.3294887586967</v>
      </c>
      <c r="BJ35" s="59">
        <f t="shared" si="38"/>
        <v>164.23448598618114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14.6</v>
      </c>
      <c r="BY35" s="12">
        <f>IF('Données projet'!$A$114&gt;35,BY34+BX35-CG34,IF(A35&lt;'Données projet'!$A$114,$BV$205^A35,IF(A35='Données projet'!$A$114,'Données projet'!$B$114,BY34+BX35-CG34)))</f>
        <v>189.20000000000005</v>
      </c>
      <c r="BZ35" s="13">
        <f>BY35*VLOOKUP('Données projet'!$B$12,Paramètres!$A$1:$I$89,3,0)*VLOOKUP('Données projet'!$B$12,Paramètres!$A$1:$I$89,5,0)</f>
        <v>113.14160000000004</v>
      </c>
      <c r="CA35" s="13">
        <f t="shared" si="39"/>
        <v>30.069952587742019</v>
      </c>
      <c r="CB35" s="20">
        <f t="shared" si="10"/>
        <v>249.42678742365072</v>
      </c>
      <c r="CC35" s="59">
        <f t="shared" si="11"/>
        <v>542.76012075698407</v>
      </c>
      <c r="CD35" s="59">
        <f ca="1">AVERAGE(OFFSET($CC$3,0,0,'Données projet'!$E$12+1,1))-AVERAGE(OFFSET($H$3,0,0,'Données projet'!$E$12+1,1))</f>
        <v>289.07218105343333</v>
      </c>
      <c r="CE35" s="59">
        <f t="shared" si="40"/>
        <v>217.57508587672368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12.436392337150307</v>
      </c>
      <c r="CM35" s="21">
        <f>EXP(-LN(2)/2)*CM34+(1-EXP(-LN(2)/2))/(LN(2)/2)*CG35*CJ35*VLOOKUP('Données projet'!$B$12,Paramètres!$A$1:$I$89,3,0)*0.475*44/12</f>
        <v>5.1464740209997943</v>
      </c>
      <c r="CN35" s="22">
        <f t="shared" si="12"/>
        <v>17.582866358150103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7.3</v>
      </c>
      <c r="CT35" s="12">
        <f>IF('Données projet'!$A$140&gt;35,CT34+CS35-DB34,IF(A35&lt;'Données projet'!$A$140,$CQ$205^A35,IF(A35='Données projet'!$A$140,'Données projet'!$B$140,CT34+CS35-DB34)))</f>
        <v>154.60000000000002</v>
      </c>
      <c r="CU35" s="17">
        <f>CT35*VLOOKUP('Données projet'!$B$13,Paramètres!$A$1:$I$89,3,0)*VLOOKUP('Données projet'!$B$13,Paramètres!$A$1:$I$89,5,0)</f>
        <v>135.05856000000003</v>
      </c>
      <c r="CV35" s="13">
        <f t="shared" si="41"/>
        <v>35.16263443880888</v>
      </c>
      <c r="CW35" s="20">
        <f t="shared" si="13"/>
        <v>296.46858031425882</v>
      </c>
      <c r="CX35" s="59">
        <f t="shared" si="14"/>
        <v>589.80191364759207</v>
      </c>
      <c r="CY35" s="59">
        <f ca="1">AVERAGE(OFFSET($CX$3,0,0,'Données projet'!$E$13+1,1))-AVERAGE(OFFSET($H$3,0,0,'Données projet'!$E$13+1,1))</f>
        <v>237.8483058552178</v>
      </c>
      <c r="CZ35" s="59">
        <f t="shared" si="42"/>
        <v>313.36201272119723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</v>
      </c>
      <c r="DO35" s="12">
        <f>IF('Données projet'!$A$166&gt;35,DO34+DN35-DW34,IF(A35&lt;'Données projet'!$A$166,$DL$205^A35,IF(A35='Données projet'!$A$166,'Données projet'!$B$166,DO34+DN35-DW34)))</f>
        <v>96</v>
      </c>
      <c r="DP35" s="17">
        <f>DO35*VLOOKUP('Données projet'!$B$14,Paramètres!$A$1:$I$89,3,0)*VLOOKUP('Données projet'!$B$14,Paramètres!$A$1:$I$89,5,0)</f>
        <v>92.851199999999992</v>
      </c>
      <c r="DQ35" s="13">
        <f t="shared" si="43"/>
        <v>25.251612622871896</v>
      </c>
      <c r="DR35" s="20">
        <f t="shared" si="16"/>
        <v>205.69573198483519</v>
      </c>
      <c r="DS35" s="59">
        <f t="shared" si="17"/>
        <v>499.02906531816848</v>
      </c>
      <c r="DT35" s="59">
        <f ca="1">AVERAGE(OFFSET($DS$3,0,0,'Données projet'!$E$14+1,1))-AVERAGE(OFFSET($H$3,0,0,'Données projet'!$E$14+1,1))</f>
        <v>325.01961068962373</v>
      </c>
      <c r="DU35" s="59">
        <f t="shared" si="44"/>
        <v>155.12737608540039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10.8</v>
      </c>
      <c r="EJ35" s="12">
        <f>IF('Données projet'!$A$192&gt;35,EJ34+EI35-ER34,IF(A35&lt;'Données projet'!$A$192,$EG$205^A35,IF(A35='Données projet'!$A$192,'Données projet'!$B$192,EJ34+EI35-ER34)))</f>
        <v>139.6</v>
      </c>
      <c r="EK35" s="17">
        <f>EJ35*VLOOKUP('Données projet'!$B$15,Paramètres!$A$1:$I$89,3,0)*VLOOKUP('Données projet'!$B$15,Paramètres!$A$1:$I$89,5,0)</f>
        <v>93.643680000000003</v>
      </c>
      <c r="EL35" s="13">
        <f t="shared" si="45"/>
        <v>25.441952820256734</v>
      </c>
      <c r="EM35" s="20">
        <f t="shared" si="19"/>
        <v>207.40747716194713</v>
      </c>
      <c r="EN35" s="59">
        <f t="shared" si="20"/>
        <v>500.74081049528047</v>
      </c>
      <c r="EO35" s="59">
        <f ca="1">AVERAGE(OFFSET($EN$3,0,0,'Données projet'!$E$15+1,1))-AVERAGE(OFFSET($H$3,0,0,'Données projet'!$E$15+1,1))</f>
        <v>178.09619481964575</v>
      </c>
      <c r="EP35" s="59">
        <f t="shared" si="46"/>
        <v>178.65167777495174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139.6</v>
      </c>
      <c r="FF35" s="17">
        <f>FE35*VLOOKUP('Données projet'!$B$16,Paramètres!$A$1:$I$89,3,0)*VLOOKUP('Données projet'!$B$16,Paramètres!$A$1:$I$89,5,0)</f>
        <v>111.06576</v>
      </c>
      <c r="FG35" s="13">
        <f t="shared" si="47"/>
        <v>29.581944857062648</v>
      </c>
      <c r="FH35" s="20">
        <f t="shared" si="22"/>
        <v>244.96141929271744</v>
      </c>
      <c r="FI35" s="59">
        <f t="shared" si="23"/>
        <v>538.29475262605069</v>
      </c>
      <c r="FJ35" s="59">
        <f ca="1">AVERAGE(OFFSET($FI$3,0,0,'Données projet'!$E$16+1,1))-AVERAGE(OFFSET($H$3,0,0,'Données projet'!$E$16+1,1))</f>
        <v>219.43439115440339</v>
      </c>
      <c r="FK35" s="59">
        <f t="shared" si="48"/>
        <v>217.8880462742099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14.833333333333334</v>
      </c>
      <c r="FZ35" s="12">
        <f>IF('Données projet'!$A$244&gt;35,FZ34+FY35-GH34,IF(A35&lt;'Données projet'!$A$244,$FW$205^A35,IF(A35='Données projet'!$A$244,'Données projet'!$B$244,FZ34+FY35-GH34)))</f>
        <v>214.33333333333337</v>
      </c>
      <c r="GA35" s="17">
        <f>FZ35*VLOOKUP('Données projet'!$B$17,Paramètres!$A$1:$I$89,3,0)*VLOOKUP('Données projet'!$B$17,Paramètres!$A$1:$I$89,5,0)</f>
        <v>128.17133333333337</v>
      </c>
      <c r="GB35" s="13">
        <f t="shared" si="49"/>
        <v>33.5734603980111</v>
      </c>
      <c r="GC35" s="20">
        <f t="shared" si="25"/>
        <v>281.70551574875822</v>
      </c>
      <c r="GD35" s="59">
        <f t="shared" si="26"/>
        <v>575.03884908209147</v>
      </c>
      <c r="GE35" s="59">
        <f ca="1">AVERAGE(OFFSET($GD$3,0,0,'Données projet'!$E$17+1,1))-AVERAGE(OFFSET($H$3,0,0,'Données projet'!$E$17+1,1))</f>
        <v>191.77102466144095</v>
      </c>
      <c r="GF35" s="59">
        <f t="shared" si="50"/>
        <v>205.57161411620217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6.506050102206232</v>
      </c>
      <c r="GM35" s="21">
        <f>EXP(-LN(2)/25)*GM34+(1-EXP(-LN(2)/25))/(LN(2)/25)*Calculateur!GH35*Calculateur!GJ35*VLOOKUP('Données projet'!$B$17,Paramètres!$A$1:$I$89,3,0)*0.475*44/12</f>
        <v>12.292352235405632</v>
      </c>
      <c r="GN35" s="21">
        <f>EXP(-LN(2)/2)*GN34+(1-EXP(-LN(2)/2))/(LN(2)/2)*GH35*GK35*VLOOKUP('Données projet'!$B$17,Paramètres!$A$1:$I$89,3,0)*0.475*44/12</f>
        <v>2.4110214512899444</v>
      </c>
      <c r="GO35" s="21">
        <f t="shared" si="27"/>
        <v>21.209423788901809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84.31577618130467</v>
      </c>
      <c r="T36" s="59">
        <f t="shared" si="34"/>
        <v>527.2140904310653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115.22739673587625</v>
      </c>
      <c r="AA36" s="21">
        <f>EXP(-LN(2)/25)*AA35+(1-EXP(-LN(2)/25))/(LN(2)/25)*Calculateur!V36*Calculateur!X36*VLOOKUP('Données projet'!$B$9,Paramètres!$A$1:$I$89,3,0)*0.475*44/12</f>
        <v>32.433745403401225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147.66114213927747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</v>
      </c>
      <c r="AI36" s="13">
        <f>IF('Données projet'!$A$62&gt;35,AI35+AH36-AQ35,IF(A36&lt;'Données projet'!$A$62,$AF$205^A36,IF(A36='Données projet'!$A$62,'Données projet'!$B$62,AI35+AH36-AQ35)))</f>
        <v>99</v>
      </c>
      <c r="AJ36" s="13">
        <f>AI36*VLOOKUP('Données projet'!$B$10,Paramètres!$A$1:$I$89,3,0)*VLOOKUP('Données projet'!$B$10,Paramètres!$A$1:$I$89,5,0)</f>
        <v>89.575199999999995</v>
      </c>
      <c r="AK36" s="13">
        <f t="shared" si="35"/>
        <v>24.462745269668691</v>
      </c>
      <c r="AL36" s="20">
        <f t="shared" si="4"/>
        <v>198.6160880113396</v>
      </c>
      <c r="AM36" s="59">
        <f t="shared" si="5"/>
        <v>491.94942134467294</v>
      </c>
      <c r="AN36" s="59">
        <f ca="1">AVERAGE(OFFSET($AM$3,0,0,'Données projet'!$E$10+1,1))-AVERAGE(OFFSET($H$3,0,0,'Données projet'!$E$10+1,1))</f>
        <v>297.90790572649428</v>
      </c>
      <c r="AO36" s="59">
        <f t="shared" si="36"/>
        <v>142.96889776844506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</v>
      </c>
      <c r="BD36" s="12">
        <f>IF('Données projet'!$A$88&gt;35,BD35+BC36-BL35,IF(A36&lt;'Données projet'!$A$88,$BA$205^A36,IF(A36='Données projet'!$A$88,'Données projet'!$B$88,BD35+BC36-BL35)))</f>
        <v>99</v>
      </c>
      <c r="BE36" s="13">
        <f>BD36*VLOOKUP('Données projet'!$B$11,Paramètres!$A$1:$I$89,3,0)*VLOOKUP('Données projet'!$B$11,Paramètres!$A$1:$I$89,5,0)</f>
        <v>100.38600000000001</v>
      </c>
      <c r="BF36" s="13">
        <f t="shared" si="37"/>
        <v>27.05393609634266</v>
      </c>
      <c r="BG36" s="20">
        <f t="shared" si="7"/>
        <v>221.95788870113014</v>
      </c>
      <c r="BH36" s="59">
        <f t="shared" si="8"/>
        <v>515.29122203446343</v>
      </c>
      <c r="BI36" s="59">
        <f ca="1">AVERAGE(OFFSET($BH$3,0,0,'Données projet'!$E$11+1,1))-AVERAGE(OFFSET($H$3,0,0,'Données projet'!$E$11+1,1))</f>
        <v>345.3294887586967</v>
      </c>
      <c r="BJ36" s="59">
        <f t="shared" si="38"/>
        <v>164.23448598618114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14.6</v>
      </c>
      <c r="BY36" s="12">
        <f>IF('Données projet'!$A$114&gt;35,BY35+BX36-CG35,IF(A36&lt;'Données projet'!$A$114,$BV$205^A36,IF(A36='Données projet'!$A$114,'Données projet'!$B$114,BY35+BX36-CG35)))</f>
        <v>203.80000000000004</v>
      </c>
      <c r="BZ36" s="13">
        <f>BY36*VLOOKUP('Données projet'!$B$12,Paramètres!$A$1:$I$89,3,0)*VLOOKUP('Données projet'!$B$12,Paramètres!$A$1:$I$89,5,0)</f>
        <v>121.87240000000003</v>
      </c>
      <c r="CA36" s="13">
        <f t="shared" si="39"/>
        <v>32.111311550408985</v>
      </c>
      <c r="CB36" s="20">
        <f t="shared" si="10"/>
        <v>268.1882976169623</v>
      </c>
      <c r="CC36" s="59">
        <f t="shared" si="11"/>
        <v>561.52163095029562</v>
      </c>
      <c r="CD36" s="59">
        <f ca="1">AVERAGE(OFFSET($CC$3,0,0,'Données projet'!$E$12+1,1))-AVERAGE(OFFSET($H$3,0,0,'Données projet'!$E$12+1,1))</f>
        <v>289.07218105343333</v>
      </c>
      <c r="CE36" s="59">
        <f t="shared" si="40"/>
        <v>217.57508587672368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12.096318534689482</v>
      </c>
      <c r="CM36" s="21">
        <f>EXP(-LN(2)/2)*CM35+(1-EXP(-LN(2)/2))/(LN(2)/2)*CG36*CJ36*VLOOKUP('Données projet'!$B$12,Paramètres!$A$1:$I$89,3,0)*0.475*44/12</f>
        <v>3.6391066794493532</v>
      </c>
      <c r="CN36" s="22">
        <f t="shared" si="12"/>
        <v>15.735425214138836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7.3</v>
      </c>
      <c r="CT36" s="12">
        <f>IF('Données projet'!$A$140&gt;35,CT35+CS36-DB35,IF(A36&lt;'Données projet'!$A$140,$CQ$205^A36,IF(A36='Données projet'!$A$140,'Données projet'!$B$140,CT35+CS36-DB35)))</f>
        <v>161.90000000000003</v>
      </c>
      <c r="CU36" s="17">
        <f>CT36*VLOOKUP('Données projet'!$B$13,Paramètres!$A$1:$I$89,3,0)*VLOOKUP('Données projet'!$B$13,Paramètres!$A$1:$I$89,5,0)</f>
        <v>141.43584000000004</v>
      </c>
      <c r="CV36" s="13">
        <f t="shared" si="41"/>
        <v>36.625740683064912</v>
      </c>
      <c r="CW36" s="20">
        <f t="shared" si="13"/>
        <v>310.12391968967148</v>
      </c>
      <c r="CX36" s="59">
        <f t="shared" si="14"/>
        <v>603.4572530230048</v>
      </c>
      <c r="CY36" s="59">
        <f ca="1">AVERAGE(OFFSET($CX$3,0,0,'Données projet'!$E$13+1,1))-AVERAGE(OFFSET($H$3,0,0,'Données projet'!$E$13+1,1))</f>
        <v>237.8483058552178</v>
      </c>
      <c r="CZ36" s="59">
        <f t="shared" si="42"/>
        <v>313.36201272119723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</v>
      </c>
      <c r="DO36" s="12">
        <f>IF('Données projet'!$A$166&gt;35,DO35+DN36-DW35,IF(A36&lt;'Données projet'!$A$166,$DL$205^A36,IF(A36='Données projet'!$A$166,'Données projet'!$B$166,DO35+DN36-DW35)))</f>
        <v>99</v>
      </c>
      <c r="DP36" s="17">
        <f>DO36*VLOOKUP('Données projet'!$B$14,Paramètres!$A$1:$I$89,3,0)*VLOOKUP('Données projet'!$B$14,Paramètres!$A$1:$I$89,5,0)</f>
        <v>95.752800000000008</v>
      </c>
      <c r="DQ36" s="13">
        <f t="shared" si="43"/>
        <v>25.94761914276048</v>
      </c>
      <c r="DR36" s="20">
        <f t="shared" si="16"/>
        <v>211.96156334030786</v>
      </c>
      <c r="DS36" s="59">
        <f t="shared" si="17"/>
        <v>505.29489667364118</v>
      </c>
      <c r="DT36" s="59">
        <f ca="1">AVERAGE(OFFSET($DS$3,0,0,'Données projet'!$E$14+1,1))-AVERAGE(OFFSET($H$3,0,0,'Données projet'!$E$14+1,1))</f>
        <v>325.01961068962373</v>
      </c>
      <c r="DU36" s="59">
        <f t="shared" si="44"/>
        <v>155.12737608540039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10.8</v>
      </c>
      <c r="EJ36" s="12">
        <f>IF('Données projet'!$A$192&gt;35,EJ35+EI36-ER35,IF(A36&lt;'Données projet'!$A$192,$EG$205^A36,IF(A36='Données projet'!$A$192,'Données projet'!$B$192,EJ35+EI36-ER35)))</f>
        <v>150.4</v>
      </c>
      <c r="EK36" s="17">
        <f>EJ36*VLOOKUP('Données projet'!$B$15,Paramètres!$A$1:$I$89,3,0)*VLOOKUP('Données projet'!$B$15,Paramètres!$A$1:$I$89,5,0)</f>
        <v>100.88831999999999</v>
      </c>
      <c r="EL36" s="13">
        <f t="shared" si="45"/>
        <v>27.173518485539002</v>
      </c>
      <c r="EM36" s="20">
        <f t="shared" si="19"/>
        <v>223.04103536231375</v>
      </c>
      <c r="EN36" s="59">
        <f t="shared" si="20"/>
        <v>516.37436869564704</v>
      </c>
      <c r="EO36" s="59">
        <f ca="1">AVERAGE(OFFSET($EN$3,0,0,'Données projet'!$E$15+1,1))-AVERAGE(OFFSET($H$3,0,0,'Données projet'!$E$15+1,1))</f>
        <v>178.09619481964575</v>
      </c>
      <c r="EP36" s="59">
        <f t="shared" si="46"/>
        <v>178.65167777495174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150.4</v>
      </c>
      <c r="FF36" s="17">
        <f>FE36*VLOOKUP('Données projet'!$B$16,Paramètres!$A$1:$I$89,3,0)*VLOOKUP('Données projet'!$B$16,Paramètres!$A$1:$I$89,5,0)</f>
        <v>119.65824000000002</v>
      </c>
      <c r="FG36" s="13">
        <f t="shared" si="47"/>
        <v>31.595276160231336</v>
      </c>
      <c r="FH36" s="20">
        <f t="shared" si="22"/>
        <v>263.43320731240294</v>
      </c>
      <c r="FI36" s="59">
        <f t="shared" si="23"/>
        <v>556.76654064573631</v>
      </c>
      <c r="FJ36" s="59">
        <f ca="1">AVERAGE(OFFSET($FI$3,0,0,'Données projet'!$E$16+1,1))-AVERAGE(OFFSET($H$3,0,0,'Données projet'!$E$16+1,1))</f>
        <v>219.43439115440339</v>
      </c>
      <c r="FK36" s="59">
        <f t="shared" si="48"/>
        <v>217.8880462742099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14.833333333333334</v>
      </c>
      <c r="FZ36" s="12">
        <f>IF('Données projet'!$A$244&gt;35,FZ35+FY36-GH35,IF(A36&lt;'Données projet'!$A$244,$FW$205^A36,IF(A36='Données projet'!$A$244,'Données projet'!$B$244,FZ35+FY36-GH35)))</f>
        <v>229.16666666666671</v>
      </c>
      <c r="GA36" s="17">
        <f>FZ36*VLOOKUP('Données projet'!$B$17,Paramètres!$A$1:$I$89,3,0)*VLOOKUP('Données projet'!$B$17,Paramètres!$A$1:$I$89,5,0)</f>
        <v>137.04166666666671</v>
      </c>
      <c r="GB36" s="13">
        <f t="shared" si="49"/>
        <v>35.618452776877568</v>
      </c>
      <c r="GC36" s="20">
        <f t="shared" si="25"/>
        <v>300.7163746975063</v>
      </c>
      <c r="GD36" s="59">
        <f t="shared" si="26"/>
        <v>594.04970803083961</v>
      </c>
      <c r="GE36" s="59">
        <f ca="1">AVERAGE(OFFSET($GD$3,0,0,'Données projet'!$E$17+1,1))-AVERAGE(OFFSET($H$3,0,0,'Données projet'!$E$17+1,1))</f>
        <v>191.77102466144095</v>
      </c>
      <c r="GF36" s="59">
        <f t="shared" si="50"/>
        <v>205.57161411620217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6.3784704280006936</v>
      </c>
      <c r="GM36" s="21">
        <f>EXP(-LN(2)/25)*GM35+(1-EXP(-LN(2)/25))/(LN(2)/25)*Calculateur!GH36*Calculateur!GJ36*VLOOKUP('Données projet'!$B$17,Paramètres!$A$1:$I$89,3,0)*0.475*44/12</f>
        <v>11.956217217101756</v>
      </c>
      <c r="GN36" s="21">
        <f>EXP(-LN(2)/2)*GN35+(1-EXP(-LN(2)/2))/(LN(2)/2)*GH36*GK36*VLOOKUP('Données projet'!$B$17,Paramètres!$A$1:$I$89,3,0)*0.475*44/12</f>
        <v>1.704849617793351</v>
      </c>
      <c r="GO36" s="21">
        <f t="shared" si="27"/>
        <v>20.039537262895799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84.31577618130467</v>
      </c>
      <c r="T37" s="59">
        <f t="shared" si="34"/>
        <v>527.2140904310653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112.96785776765797</v>
      </c>
      <c r="AA37" s="21">
        <f>EXP(-LN(2)/25)*AA36+(1-EXP(-LN(2)/25))/(LN(2)/25)*Calculateur!V37*Calculateur!X37*VLOOKUP('Données projet'!$B$9,Paramètres!$A$1:$I$89,3,0)*0.475*44/12</f>
        <v>31.546842929728676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144.51470069738664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</v>
      </c>
      <c r="AI37" s="13">
        <f>IF('Données projet'!$A$62&gt;35,AI36+AH37-AQ36,IF(A37&lt;'Données projet'!$A$62,$AF$205^A37,IF(A37='Données projet'!$A$62,'Données projet'!$B$62,AI36+AH37-AQ36)))</f>
        <v>102</v>
      </c>
      <c r="AJ37" s="13">
        <f>AI37*VLOOKUP('Données projet'!$B$10,Paramètres!$A$1:$I$89,3,0)*VLOOKUP('Données projet'!$B$10,Paramètres!$A$1:$I$89,5,0)</f>
        <v>92.289599999999993</v>
      </c>
      <c r="AK37" s="13">
        <f t="shared" si="35"/>
        <v>25.116611431659546</v>
      </c>
      <c r="AL37" s="20">
        <f t="shared" si="4"/>
        <v>204.48248491014036</v>
      </c>
      <c r="AM37" s="59">
        <f t="shared" si="5"/>
        <v>497.8158182434737</v>
      </c>
      <c r="AN37" s="59">
        <f ca="1">AVERAGE(OFFSET($AM$3,0,0,'Données projet'!$E$10+1,1))-AVERAGE(OFFSET($H$3,0,0,'Données projet'!$E$10+1,1))</f>
        <v>297.90790572649428</v>
      </c>
      <c r="AO37" s="59">
        <f t="shared" si="36"/>
        <v>142.96889776844506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</v>
      </c>
      <c r="BD37" s="12">
        <f>IF('Données projet'!$A$88&gt;35,BD36+BC37-BL36,IF(A37&lt;'Données projet'!$A$88,$BA$205^A37,IF(A37='Données projet'!$A$88,'Données projet'!$B$88,BD36+BC37-BL36)))</f>
        <v>102</v>
      </c>
      <c r="BE37" s="13">
        <f>BD37*VLOOKUP('Données projet'!$B$11,Paramètres!$A$1:$I$89,3,0)*VLOOKUP('Données projet'!$B$11,Paramètres!$A$1:$I$89,5,0)</f>
        <v>103.428</v>
      </c>
      <c r="BF37" s="13">
        <f t="shared" si="37"/>
        <v>27.777062350859747</v>
      </c>
      <c r="BG37" s="20">
        <f t="shared" si="7"/>
        <v>228.51548359441404</v>
      </c>
      <c r="BH37" s="59">
        <f t="shared" si="8"/>
        <v>521.84881692774729</v>
      </c>
      <c r="BI37" s="59">
        <f ca="1">AVERAGE(OFFSET($BH$3,0,0,'Données projet'!$E$11+1,1))-AVERAGE(OFFSET($H$3,0,0,'Données projet'!$E$11+1,1))</f>
        <v>345.3294887586967</v>
      </c>
      <c r="BJ37" s="59">
        <f t="shared" si="38"/>
        <v>164.23448598618114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14.6</v>
      </c>
      <c r="BY37" s="12">
        <f>IF('Données projet'!$A$114&gt;35,BY36+BX37-CG36,IF(A37&lt;'Données projet'!$A$114,$BV$205^A37,IF(A37='Données projet'!$A$114,'Données projet'!$B$114,BY36+BX37-CG36)))</f>
        <v>218.40000000000003</v>
      </c>
      <c r="BZ37" s="13">
        <f>BY37*VLOOKUP('Données projet'!$B$12,Paramètres!$A$1:$I$89,3,0)*VLOOKUP('Données projet'!$B$12,Paramètres!$A$1:$I$89,5,0)</f>
        <v>130.60320000000004</v>
      </c>
      <c r="CA37" s="13">
        <f t="shared" si="39"/>
        <v>34.135703567016428</v>
      </c>
      <c r="CB37" s="20">
        <f t="shared" si="10"/>
        <v>286.92025704588701</v>
      </c>
      <c r="CC37" s="59">
        <f t="shared" si="11"/>
        <v>580.25359037922033</v>
      </c>
      <c r="CD37" s="59">
        <f ca="1">AVERAGE(OFFSET($CC$3,0,0,'Données projet'!$E$12+1,1))-AVERAGE(OFFSET($H$3,0,0,'Données projet'!$E$12+1,1))</f>
        <v>289.07218105343333</v>
      </c>
      <c r="CE37" s="59">
        <f t="shared" si="40"/>
        <v>217.57508587672368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11.765544068240652</v>
      </c>
      <c r="CM37" s="21">
        <f>EXP(-LN(2)/2)*CM36+(1-EXP(-LN(2)/2))/(LN(2)/2)*CG37*CJ37*VLOOKUP('Données projet'!$B$12,Paramètres!$A$1:$I$89,3,0)*0.475*44/12</f>
        <v>2.5732370104998976</v>
      </c>
      <c r="CN37" s="22">
        <f t="shared" si="12"/>
        <v>14.338781078740549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7.3</v>
      </c>
      <c r="CT37" s="12">
        <f>IF('Données projet'!$A$140&gt;35,CT36+CS37-DB36,IF(A37&lt;'Données projet'!$A$140,$CQ$205^A37,IF(A37='Données projet'!$A$140,'Données projet'!$B$140,CT36+CS37-DB36)))</f>
        <v>169.20000000000005</v>
      </c>
      <c r="CU37" s="17">
        <f>CT37*VLOOKUP('Données projet'!$B$13,Paramètres!$A$1:$I$89,3,0)*VLOOKUP('Données projet'!$B$13,Paramètres!$A$1:$I$89,5,0)</f>
        <v>147.81312000000005</v>
      </c>
      <c r="CV37" s="13">
        <f t="shared" si="41"/>
        <v>38.081185298782486</v>
      </c>
      <c r="CW37" s="20">
        <f t="shared" si="13"/>
        <v>323.76591506204625</v>
      </c>
      <c r="CX37" s="59">
        <f t="shared" si="14"/>
        <v>617.09924839537962</v>
      </c>
      <c r="CY37" s="59">
        <f ca="1">AVERAGE(OFFSET($CX$3,0,0,'Données projet'!$E$13+1,1))-AVERAGE(OFFSET($H$3,0,0,'Données projet'!$E$13+1,1))</f>
        <v>237.8483058552178</v>
      </c>
      <c r="CZ37" s="59">
        <f t="shared" si="42"/>
        <v>313.36201272119723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</v>
      </c>
      <c r="DO37" s="12">
        <f>IF('Données projet'!$A$166&gt;35,DO36+DN37-DW36,IF(A37&lt;'Données projet'!$A$166,$DL$205^A37,IF(A37='Données projet'!$A$166,'Données projet'!$B$166,DO36+DN37-DW36)))</f>
        <v>102</v>
      </c>
      <c r="DP37" s="17">
        <f>DO37*VLOOKUP('Données projet'!$B$14,Paramètres!$A$1:$I$89,3,0)*VLOOKUP('Données projet'!$B$14,Paramètres!$A$1:$I$89,5,0)</f>
        <v>98.65440000000001</v>
      </c>
      <c r="DQ37" s="13">
        <f t="shared" si="43"/>
        <v>26.641174586135573</v>
      </c>
      <c r="DR37" s="20">
        <f t="shared" si="16"/>
        <v>218.22312573751947</v>
      </c>
      <c r="DS37" s="59">
        <f t="shared" si="17"/>
        <v>511.55645907085278</v>
      </c>
      <c r="DT37" s="59">
        <f ca="1">AVERAGE(OFFSET($DS$3,0,0,'Données projet'!$E$14+1,1))-AVERAGE(OFFSET($H$3,0,0,'Données projet'!$E$14+1,1))</f>
        <v>325.01961068962373</v>
      </c>
      <c r="DU37" s="59">
        <f t="shared" si="44"/>
        <v>155.12737608540039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10.8</v>
      </c>
      <c r="EJ37" s="12">
        <f>IF('Données projet'!$A$192&gt;35,EJ36+EI37-ER36,IF(A37&lt;'Données projet'!$A$192,$EG$205^A37,IF(A37='Données projet'!$A$192,'Données projet'!$B$192,EJ36+EI37-ER36)))</f>
        <v>161.20000000000002</v>
      </c>
      <c r="EK37" s="17">
        <f>EJ37*VLOOKUP('Données projet'!$B$15,Paramètres!$A$1:$I$89,3,0)*VLOOKUP('Données projet'!$B$15,Paramètres!$A$1:$I$89,5,0)</f>
        <v>108.13296000000001</v>
      </c>
      <c r="EL37" s="13">
        <f t="shared" si="45"/>
        <v>28.890658079177882</v>
      </c>
      <c r="EM37" s="20">
        <f t="shared" si="19"/>
        <v>238.64946815456815</v>
      </c>
      <c r="EN37" s="59">
        <f t="shared" si="20"/>
        <v>531.9828014879015</v>
      </c>
      <c r="EO37" s="59">
        <f ca="1">AVERAGE(OFFSET($EN$3,0,0,'Données projet'!$E$15+1,1))-AVERAGE(OFFSET($H$3,0,0,'Données projet'!$E$15+1,1))</f>
        <v>178.09619481964575</v>
      </c>
      <c r="EP37" s="59">
        <f t="shared" si="46"/>
        <v>178.65167777495174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161.20000000000002</v>
      </c>
      <c r="FF37" s="17">
        <f>FE37*VLOOKUP('Données projet'!$B$16,Paramètres!$A$1:$I$89,3,0)*VLOOKUP('Données projet'!$B$16,Paramètres!$A$1:$I$89,5,0)</f>
        <v>128.25072</v>
      </c>
      <c r="FG37" s="13">
        <f t="shared" si="47"/>
        <v>33.591833937449593</v>
      </c>
      <c r="FH37" s="20">
        <f t="shared" si="22"/>
        <v>281.875781441058</v>
      </c>
      <c r="FI37" s="59">
        <f t="shared" si="23"/>
        <v>575.20911477439131</v>
      </c>
      <c r="FJ37" s="59">
        <f ca="1">AVERAGE(OFFSET($FI$3,0,0,'Données projet'!$E$16+1,1))-AVERAGE(OFFSET($H$3,0,0,'Données projet'!$E$16+1,1))</f>
        <v>219.43439115440339</v>
      </c>
      <c r="FK37" s="59">
        <f t="shared" si="48"/>
        <v>217.8880462742099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>
        <f>VLOOKUP(A37,'Données projet'!$A$243:$I$263,2,0)</f>
        <v>244</v>
      </c>
      <c r="FX37" s="12">
        <f>VLOOKUP(A37,'Données projet'!$A$243:$I$263,9,0)</f>
        <v>14.833333333333334</v>
      </c>
      <c r="FY37" s="12">
        <f t="array" ref="FY37">INDEX(FX:FX,MIN(IF(ISNUMBER(FX37:FX233),ROW(FX37:FX233),"")))</f>
        <v>14.833333333333334</v>
      </c>
      <c r="FZ37" s="12">
        <f>IF('Données projet'!$A$244&gt;35,FZ36+FY37-GH36,IF(A37&lt;'Données projet'!$A$244,$FW$205^A37,IF(A37='Données projet'!$A$244,'Données projet'!$B$244,FZ36+FY37-GH36)))</f>
        <v>244.00000000000006</v>
      </c>
      <c r="GA37" s="17">
        <f>FZ37*VLOOKUP('Données projet'!$B$17,Paramètres!$A$1:$I$89,3,0)*VLOOKUP('Données projet'!$B$17,Paramètres!$A$1:$I$89,5,0)</f>
        <v>145.91200000000006</v>
      </c>
      <c r="GB37" s="13">
        <f t="shared" si="49"/>
        <v>37.648084239987625</v>
      </c>
      <c r="GC37" s="20">
        <f t="shared" si="25"/>
        <v>319.7004800513119</v>
      </c>
      <c r="GD37" s="59">
        <f t="shared" si="26"/>
        <v>613.03381338464521</v>
      </c>
      <c r="GE37" s="59">
        <f ca="1">AVERAGE(OFFSET($GD$3,0,0,'Données projet'!$E$17+1,1))-AVERAGE(OFFSET($H$3,0,0,'Données projet'!$E$17+1,1))</f>
        <v>191.77102466144095</v>
      </c>
      <c r="GF37" s="59">
        <f t="shared" si="50"/>
        <v>205.57161411620217</v>
      </c>
      <c r="GG37" s="15">
        <f>IF(ISNA(VLOOKUP(A37,'Données projet'!$A$243:$I$263,3,0)),0,VLOOKUP(A37,'Données projet'!$A$243:$I$263,3,0))</f>
        <v>6</v>
      </c>
      <c r="GH37" s="15">
        <f>IF(ISNA(VLOOKUP(A37,'Données projet'!$A$243:$I$263,4,0)),0,VLOOKUP(A37,'Données projet'!$A$243:$I$263,4,0))</f>
        <v>46</v>
      </c>
      <c r="GI37" s="16">
        <f>IF(ISNA(VLOOKUP(A37,'Données projet'!$A$243:$I$263,5,0)),0%,VLOOKUP(A37,'Données projet'!$A$243:$I$263,5,0)*VLOOKUP('Données projet'!$B$17,Paramètres!$A$1:$I$89,7,0))</f>
        <v>0.22500000000000001</v>
      </c>
      <c r="GJ37" s="16">
        <f>IF(ISNA(VLOOKUP(A37,'Données projet'!$A$243:$I$263,6,0)),0%,VLOOKUP(A37,'Données projet'!$A$243:$I$263,6,0)*VLOOKUP('Données projet'!$B$17,Paramètres!$A$1:$I$89,7,0))</f>
        <v>0.13500000000000001</v>
      </c>
      <c r="GK37" s="16">
        <f>IF(ISNA(VLOOKUP(A37,'Données projet'!$A$243:$I$263,7,0)),0%,VLOOKUP(A37,'Données projet'!$A$243:$I$263,7,0))</f>
        <v>0.2</v>
      </c>
      <c r="GL37" s="21">
        <f>EXP(-LN(2)/35)*GL36+(1-EXP(-LN(2)/35))/(LN(2)/35)*GH37*GI37*VLOOKUP('Données projet'!$B$17,Paramètres!$A$1:$I$89,3,0)*0.475*44/12</f>
        <v>14.463897897442354</v>
      </c>
      <c r="GM37" s="21">
        <f>EXP(-LN(2)/25)*GM36+(1-EXP(-LN(2)/25))/(LN(2)/25)*Calculateur!GH37*Calculateur!GJ37*VLOOKUP('Données projet'!$B$17,Paramètres!$A$1:$I$89,3,0)*0.475*44/12</f>
        <v>16.536180326094239</v>
      </c>
      <c r="GN37" s="21">
        <f>EXP(-LN(2)/2)*GN36+(1-EXP(-LN(2)/2))/(LN(2)/2)*GH37*GK37*VLOOKUP('Données projet'!$B$17,Paramètres!$A$1:$I$89,3,0)*0.475*44/12</f>
        <v>7.4345999337165773</v>
      </c>
      <c r="GO37" s="21">
        <f t="shared" si="27"/>
        <v>38.434678157253174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84.31577618130467</v>
      </c>
      <c r="T38" s="59">
        <f t="shared" si="34"/>
        <v>527.2140904310653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110.75262698042377</v>
      </c>
      <c r="AA38" s="21">
        <f>EXP(-LN(2)/25)*AA37+(1-EXP(-LN(2)/25))/(LN(2)/25)*Calculateur!V38*Calculateur!X38*VLOOKUP('Données projet'!$B$9,Paramètres!$A$1:$I$89,3,0)*0.475*44/12</f>
        <v>30.684192850838876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141.43681983126265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</v>
      </c>
      <c r="AI38" s="13">
        <f>IF('Données projet'!$A$62&gt;35,AI37+AH38-AQ37,IF(A38&lt;'Données projet'!$A$62,$AF$205^A38,IF(A38='Données projet'!$A$62,'Données projet'!$B$62,AI37+AH38-AQ37)))</f>
        <v>105</v>
      </c>
      <c r="AJ38" s="13">
        <f>AI38*VLOOKUP('Données projet'!$B$10,Paramètres!$A$1:$I$89,3,0)*VLOOKUP('Données projet'!$B$10,Paramètres!$A$1:$I$89,5,0)</f>
        <v>95.004000000000005</v>
      </c>
      <c r="AK38" s="13">
        <f t="shared" si="35"/>
        <v>25.768242550600785</v>
      </c>
      <c r="AL38" s="20">
        <f t="shared" si="4"/>
        <v>210.34498910896306</v>
      </c>
      <c r="AM38" s="59">
        <f t="shared" si="5"/>
        <v>503.67832244229635</v>
      </c>
      <c r="AN38" s="59">
        <f ca="1">AVERAGE(OFFSET($AM$3,0,0,'Données projet'!$E$10+1,1))-AVERAGE(OFFSET($H$3,0,0,'Données projet'!$E$10+1,1))</f>
        <v>297.90790572649428</v>
      </c>
      <c r="AO38" s="59">
        <f t="shared" si="36"/>
        <v>142.96889776844506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</v>
      </c>
      <c r="BD38" s="12">
        <f>IF('Données projet'!$A$88&gt;35,BD37+BC38-BL37,IF(A38&lt;'Données projet'!$A$88,$BA$205^A38,IF(A38='Données projet'!$A$88,'Données projet'!$B$88,BD37+BC38-BL37)))</f>
        <v>105</v>
      </c>
      <c r="BE38" s="13">
        <f>BD38*VLOOKUP('Données projet'!$B$11,Paramètres!$A$1:$I$89,3,0)*VLOOKUP('Données projet'!$B$11,Paramètres!$A$1:$I$89,5,0)</f>
        <v>106.47</v>
      </c>
      <c r="BF38" s="13">
        <f t="shared" si="37"/>
        <v>28.49771681771891</v>
      </c>
      <c r="BG38" s="20">
        <f t="shared" si="7"/>
        <v>235.06877345752704</v>
      </c>
      <c r="BH38" s="59">
        <f t="shared" si="8"/>
        <v>528.40210679086033</v>
      </c>
      <c r="BI38" s="59">
        <f ca="1">AVERAGE(OFFSET($BH$3,0,0,'Données projet'!$E$11+1,1))-AVERAGE(OFFSET($H$3,0,0,'Données projet'!$E$11+1,1))</f>
        <v>345.3294887586967</v>
      </c>
      <c r="BJ38" s="59">
        <f t="shared" si="38"/>
        <v>164.23448598618114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233</v>
      </c>
      <c r="BW38" s="12">
        <f>VLOOKUP(A38,'Données projet'!$A$113:$I$133,9,0)</f>
        <v>14.6</v>
      </c>
      <c r="BX38" s="12">
        <f t="array" ref="BX38">INDEX(BW:BW,MIN(IF(ISNUMBER(BW38:BW234),ROW(BW38:BW234),"")))</f>
        <v>14.6</v>
      </c>
      <c r="BY38" s="12">
        <f>IF('Données projet'!$A$114&gt;35,BY37+BX38-CG37,IF(A38&lt;'Données projet'!$A$114,$BV$205^A38,IF(A38='Données projet'!$A$114,'Données projet'!$B$114,BY37+BX38-CG37)))</f>
        <v>233.00000000000003</v>
      </c>
      <c r="BZ38" s="13">
        <f>BY38*VLOOKUP('Données projet'!$B$12,Paramètres!$A$1:$I$89,3,0)*VLOOKUP('Données projet'!$B$12,Paramètres!$A$1:$I$89,5,0)</f>
        <v>139.33400000000003</v>
      </c>
      <c r="CA38" s="13">
        <f t="shared" si="39"/>
        <v>36.144391930570897</v>
      </c>
      <c r="CB38" s="20">
        <f t="shared" si="10"/>
        <v>305.62486594574438</v>
      </c>
      <c r="CC38" s="59">
        <f t="shared" si="11"/>
        <v>598.95819927907769</v>
      </c>
      <c r="CD38" s="59">
        <f ca="1">AVERAGE(OFFSET($CC$3,0,0,'Données projet'!$E$12+1,1))-AVERAGE(OFFSET($H$3,0,0,'Données projet'!$E$12+1,1))</f>
        <v>289.07218105343333</v>
      </c>
      <c r="CE38" s="59">
        <f t="shared" si="40"/>
        <v>217.57508587672368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41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0.27</v>
      </c>
      <c r="CJ38" s="16">
        <f>IF(ISNA(VLOOKUP(A38,'Données projet'!$A$113:$I$133,7,0)),0%,VLOOKUP(A38,'Données projet'!$A$113:$I$133,7,0))</f>
        <v>0.4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20.190908838246109</v>
      </c>
      <c r="CM38" s="21">
        <f>EXP(-LN(2)/2)*CM37+(1-EXP(-LN(2)/2))/(LN(2)/2)*CG38*CJ38*VLOOKUP('Données projet'!$B$12,Paramètres!$A$1:$I$89,3,0)*0.475*44/12</f>
        <v>12.923581928026236</v>
      </c>
      <c r="CN38" s="22">
        <f t="shared" si="12"/>
        <v>33.114490766272347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7.3</v>
      </c>
      <c r="CT38" s="12">
        <f>IF('Données projet'!$A$140&gt;35,CT37+CS38-DB37,IF(A38&lt;'Données projet'!$A$140,$CQ$205^A38,IF(A38='Données projet'!$A$140,'Données projet'!$B$140,CT37+CS38-DB37)))</f>
        <v>176.50000000000006</v>
      </c>
      <c r="CU38" s="17">
        <f>CT38*VLOOKUP('Données projet'!$B$13,Paramètres!$A$1:$I$89,3,0)*VLOOKUP('Données projet'!$B$13,Paramètres!$A$1:$I$89,5,0)</f>
        <v>154.19040000000007</v>
      </c>
      <c r="CV38" s="13">
        <f t="shared" si="41"/>
        <v>39.529336625598283</v>
      </c>
      <c r="CW38" s="20">
        <f t="shared" si="13"/>
        <v>337.39520795625043</v>
      </c>
      <c r="CX38" s="59">
        <f t="shared" si="14"/>
        <v>630.72854128958375</v>
      </c>
      <c r="CY38" s="59">
        <f ca="1">AVERAGE(OFFSET($CX$3,0,0,'Données projet'!$E$13+1,1))-AVERAGE(OFFSET($H$3,0,0,'Données projet'!$E$13+1,1))</f>
        <v>237.8483058552178</v>
      </c>
      <c r="CZ38" s="59">
        <f t="shared" si="42"/>
        <v>313.36201272119723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</v>
      </c>
      <c r="DO38" s="12">
        <f>IF('Données projet'!$A$166&gt;35,DO37+DN38-DW37,IF(A38&lt;'Données projet'!$A$166,$DL$205^A38,IF(A38='Données projet'!$A$166,'Données projet'!$B$166,DO37+DN38-DW37)))</f>
        <v>105</v>
      </c>
      <c r="DP38" s="17">
        <f>DO38*VLOOKUP('Données projet'!$B$14,Paramètres!$A$1:$I$89,3,0)*VLOOKUP('Données projet'!$B$14,Paramètres!$A$1:$I$89,5,0)</f>
        <v>101.556</v>
      </c>
      <c r="DQ38" s="13">
        <f t="shared" si="43"/>
        <v>27.332359320696909</v>
      </c>
      <c r="DR38" s="20">
        <f t="shared" si="16"/>
        <v>224.48055915021379</v>
      </c>
      <c r="DS38" s="59">
        <f t="shared" si="17"/>
        <v>517.81389248354708</v>
      </c>
      <c r="DT38" s="59">
        <f ca="1">AVERAGE(OFFSET($DS$3,0,0,'Données projet'!$E$14+1,1))-AVERAGE(OFFSET($H$3,0,0,'Données projet'!$E$14+1,1))</f>
        <v>325.01961068962373</v>
      </c>
      <c r="DU38" s="59">
        <f t="shared" si="44"/>
        <v>155.12737608540039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172</v>
      </c>
      <c r="EH38" s="12">
        <f>VLOOKUP(A38,'Données projet'!$A$191:$I$211,9,0)</f>
        <v>10.8</v>
      </c>
      <c r="EI38" s="12">
        <f t="array" ref="EI38">INDEX(EH:EH,MIN(IF(ISNUMBER(EH38:EH234),ROW(EH38:EH234),"")))</f>
        <v>10.8</v>
      </c>
      <c r="EJ38" s="12">
        <f>IF('Données projet'!$A$192&gt;35,EJ37+EI38-ER37,IF(A38&lt;'Données projet'!$A$192,$EG$205^A38,IF(A38='Données projet'!$A$192,'Données projet'!$B$192,EJ37+EI38-ER37)))</f>
        <v>172.00000000000003</v>
      </c>
      <c r="EK38" s="17">
        <f>EJ38*VLOOKUP('Données projet'!$B$15,Paramètres!$A$1:$I$89,3,0)*VLOOKUP('Données projet'!$B$15,Paramètres!$A$1:$I$89,5,0)</f>
        <v>115.37760000000002</v>
      </c>
      <c r="EL38" s="13">
        <f t="shared" si="45"/>
        <v>30.59444808195472</v>
      </c>
      <c r="EM38" s="20">
        <f t="shared" si="19"/>
        <v>254.23465040940448</v>
      </c>
      <c r="EN38" s="59">
        <f t="shared" si="20"/>
        <v>547.56798374273785</v>
      </c>
      <c r="EO38" s="59">
        <f ca="1">AVERAGE(OFFSET($EN$3,0,0,'Données projet'!$E$15+1,1))-AVERAGE(OFFSET($H$3,0,0,'Données projet'!$E$15+1,1))</f>
        <v>178.09619481964575</v>
      </c>
      <c r="EP38" s="59">
        <f t="shared" si="46"/>
        <v>178.65167777495174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0.159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0.4</v>
      </c>
      <c r="EV38" s="21">
        <f>EXP(-LN(2)/35)*EV37+(1-EXP(-LN(2)/35))/(LN(2)/35)*ER38*ES38*VLOOKUP('Données projet'!$B$15,Paramètres!$A$1:$I$89,3,0)*0.475*44/12</f>
        <v>3.3013785101898097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7.0886799683536976</v>
      </c>
      <c r="EY38" s="22">
        <f t="shared" si="21"/>
        <v>10.390058478543507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172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172.00000000000003</v>
      </c>
      <c r="FF38" s="17">
        <f>FE38*VLOOKUP('Données projet'!$B$16,Paramètres!$A$1:$I$89,3,0)*VLOOKUP('Données projet'!$B$16,Paramètres!$A$1:$I$89,5,0)</f>
        <v>136.84320000000002</v>
      </c>
      <c r="FG38" s="13">
        <f t="shared" si="47"/>
        <v>35.572869837729648</v>
      </c>
      <c r="FH38" s="20">
        <f t="shared" si="22"/>
        <v>300.2913216340458</v>
      </c>
      <c r="FI38" s="59">
        <f t="shared" si="23"/>
        <v>593.62465496737912</v>
      </c>
      <c r="FJ38" s="59">
        <f ca="1">AVERAGE(OFFSET($FI$3,0,0,'Données projet'!$E$16+1,1))-AVERAGE(OFFSET($H$3,0,0,'Données projet'!$E$16+1,1))</f>
        <v>219.43439115440339</v>
      </c>
      <c r="FK38" s="59">
        <f t="shared" si="48"/>
        <v>217.8880462742099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0.159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0.4</v>
      </c>
      <c r="FQ38" s="21">
        <f>EXP(-LN(2)/35)*FQ37+(1-EXP(-LN(2)/35))/(LN(2)/35)*FM38*FN38*VLOOKUP('Données projet'!$B$16,Paramètres!$A$1:$I$89,3,0)*0.475*44/12</f>
        <v>3.9155884655739599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8.4075041485125244</v>
      </c>
      <c r="FT38" s="22">
        <f t="shared" si="24"/>
        <v>12.323092614086484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12.833333333333334</v>
      </c>
      <c r="FZ38" s="12">
        <f>IF('Données projet'!$A$244&gt;35,FZ37+FY38-GH37,IF(A38&lt;'Données projet'!$A$244,$FW$205^A38,IF(A38='Données projet'!$A$244,'Données projet'!$B$244,FZ37+FY38-GH37)))</f>
        <v>210.83333333333337</v>
      </c>
      <c r="GA38" s="17">
        <f>FZ38*VLOOKUP('Données projet'!$B$17,Paramètres!$A$1:$I$89,3,0)*VLOOKUP('Données projet'!$B$17,Paramètres!$A$1:$I$89,5,0)</f>
        <v>126.07833333333336</v>
      </c>
      <c r="GB38" s="13">
        <f t="shared" si="49"/>
        <v>33.08856817390501</v>
      </c>
      <c r="GC38" s="20">
        <f t="shared" si="25"/>
        <v>277.21568679177352</v>
      </c>
      <c r="GD38" s="59">
        <f t="shared" si="26"/>
        <v>570.54902012510684</v>
      </c>
      <c r="GE38" s="59">
        <f ca="1">AVERAGE(OFFSET($GD$3,0,0,'Données projet'!$E$17+1,1))-AVERAGE(OFFSET($H$3,0,0,'Données projet'!$E$17+1,1))</f>
        <v>191.77102466144095</v>
      </c>
      <c r="GF38" s="59">
        <f t="shared" si="50"/>
        <v>205.57161411620217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14.180269681780116</v>
      </c>
      <c r="GM38" s="21">
        <f>EXP(-LN(2)/25)*GM37+(1-EXP(-LN(2)/25))/(LN(2)/25)*Calculateur!GH38*Calculateur!GJ38*VLOOKUP('Données projet'!$B$17,Paramètres!$A$1:$I$89,3,0)*0.475*44/12</f>
        <v>16.083997605477265</v>
      </c>
      <c r="GN38" s="21">
        <f>EXP(-LN(2)/2)*GN37+(1-EXP(-LN(2)/2))/(LN(2)/2)*GH38*GK38*VLOOKUP('Données projet'!$B$17,Paramètres!$A$1:$I$89,3,0)*0.475*44/12</f>
        <v>5.2570560285400489</v>
      </c>
      <c r="GO38" s="21">
        <f t="shared" si="27"/>
        <v>35.521323315797432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84.31577618130467</v>
      </c>
      <c r="T39" s="59">
        <f t="shared" si="34"/>
        <v>527.2140904310653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108.58083551776987</v>
      </c>
      <c r="AA39" s="21">
        <f>EXP(-LN(2)/25)*AA38+(1-EXP(-LN(2)/25))/(LN(2)/25)*Calculateur!V39*Calculateur!X39*VLOOKUP('Données projet'!$B$9,Paramètres!$A$1:$I$89,3,0)*0.475*44/12</f>
        <v>29.845131983721114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138.42596750149099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</v>
      </c>
      <c r="AI39" s="13">
        <f>IF('Données projet'!$A$62&gt;35,AI38+AH39-AQ38,IF(A39&lt;'Données projet'!$A$62,$AF$205^A39,IF(A39='Données projet'!$A$62,'Données projet'!$B$62,AI38+AH39-AQ38)))</f>
        <v>108</v>
      </c>
      <c r="AJ39" s="13">
        <f>AI39*VLOOKUP('Données projet'!$B$10,Paramètres!$A$1:$I$89,3,0)*VLOOKUP('Données projet'!$B$10,Paramètres!$A$1:$I$89,5,0)</f>
        <v>97.718399999999988</v>
      </c>
      <c r="AK39" s="13">
        <f t="shared" si="35"/>
        <v>26.417709819192194</v>
      </c>
      <c r="AL39" s="20">
        <f t="shared" si="4"/>
        <v>216.20372460175972</v>
      </c>
      <c r="AM39" s="59">
        <f t="shared" si="5"/>
        <v>509.537057935093</v>
      </c>
      <c r="AN39" s="59">
        <f ca="1">AVERAGE(OFFSET($AM$3,0,0,'Données projet'!$E$10+1,1))-AVERAGE(OFFSET($H$3,0,0,'Données projet'!$E$10+1,1))</f>
        <v>297.90790572649428</v>
      </c>
      <c r="AO39" s="59">
        <f t="shared" si="36"/>
        <v>142.96889776844506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</v>
      </c>
      <c r="BD39" s="12">
        <f>IF('Données projet'!$A$88&gt;35,BD38+BC39-BL38,IF(A39&lt;'Données projet'!$A$88,$BA$205^A39,IF(A39='Données projet'!$A$88,'Données projet'!$B$88,BD38+BC39-BL38)))</f>
        <v>108</v>
      </c>
      <c r="BE39" s="13">
        <f>BD39*VLOOKUP('Données projet'!$B$11,Paramètres!$A$1:$I$89,3,0)*VLOOKUP('Données projet'!$B$11,Paramètres!$A$1:$I$89,5,0)</f>
        <v>109.51200000000001</v>
      </c>
      <c r="BF39" s="13">
        <f t="shared" si="37"/>
        <v>29.215978230632555</v>
      </c>
      <c r="BG39" s="20">
        <f t="shared" si="7"/>
        <v>241.61789541835174</v>
      </c>
      <c r="BH39" s="59">
        <f t="shared" si="8"/>
        <v>534.95122875168499</v>
      </c>
      <c r="BI39" s="59">
        <f ca="1">AVERAGE(OFFSET($BH$3,0,0,'Données projet'!$E$11+1,1))-AVERAGE(OFFSET($H$3,0,0,'Données projet'!$E$11+1,1))</f>
        <v>345.3294887586967</v>
      </c>
      <c r="BJ39" s="59">
        <f t="shared" si="38"/>
        <v>164.23448598618114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14.4</v>
      </c>
      <c r="BY39" s="12">
        <f>IF('Données projet'!$A$114&gt;35,BY38+BX39-CG38,IF(A39&lt;'Données projet'!$A$114,$BV$205^A39,IF(A39='Données projet'!$A$114,'Données projet'!$B$114,BY38+BX39-CG38)))</f>
        <v>206.40000000000003</v>
      </c>
      <c r="BZ39" s="13">
        <f>BY39*VLOOKUP('Données projet'!$B$12,Paramètres!$A$1:$I$89,3,0)*VLOOKUP('Données projet'!$B$12,Paramètres!$A$1:$I$89,5,0)</f>
        <v>123.42720000000003</v>
      </c>
      <c r="CA39" s="13">
        <f t="shared" si="39"/>
        <v>32.473022671122074</v>
      </c>
      <c r="CB39" s="20">
        <f t="shared" si="10"/>
        <v>271.5262211522043</v>
      </c>
      <c r="CC39" s="59">
        <f t="shared" si="11"/>
        <v>564.85955448553761</v>
      </c>
      <c r="CD39" s="59">
        <f ca="1">AVERAGE(OFFSET($CC$3,0,0,'Données projet'!$E$12+1,1))-AVERAGE(OFFSET($H$3,0,0,'Données projet'!$E$12+1,1))</f>
        <v>289.07218105343333</v>
      </c>
      <c r="CE39" s="59">
        <f t="shared" si="40"/>
        <v>217.57508587672368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19.638787374270521</v>
      </c>
      <c r="CM39" s="21">
        <f>EXP(-LN(2)/2)*CM38+(1-EXP(-LN(2)/2))/(LN(2)/2)*CG39*CJ39*VLOOKUP('Données projet'!$B$12,Paramètres!$A$1:$I$89,3,0)*0.475*44/12</f>
        <v>9.1383524185272673</v>
      </c>
      <c r="CN39" s="22">
        <f t="shared" si="12"/>
        <v>28.77713979279779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7.3</v>
      </c>
      <c r="CT39" s="12">
        <f>IF('Données projet'!$A$140&gt;35,CT38+CS39-DB38,IF(A39&lt;'Données projet'!$A$140,$CQ$205^A39,IF(A39='Données projet'!$A$140,'Données projet'!$B$140,CT38+CS39-DB38)))</f>
        <v>183.80000000000007</v>
      </c>
      <c r="CU39" s="17">
        <f>CT39*VLOOKUP('Données projet'!$B$13,Paramètres!$A$1:$I$89,3,0)*VLOOKUP('Données projet'!$B$13,Paramètres!$A$1:$I$89,5,0)</f>
        <v>160.56768000000008</v>
      </c>
      <c r="CV39" s="13">
        <f t="shared" si="41"/>
        <v>40.970530810309882</v>
      </c>
      <c r="CW39" s="20">
        <f t="shared" si="13"/>
        <v>351.01238382795651</v>
      </c>
      <c r="CX39" s="59">
        <f t="shared" si="14"/>
        <v>644.34571716128983</v>
      </c>
      <c r="CY39" s="59">
        <f ca="1">AVERAGE(OFFSET($CX$3,0,0,'Données projet'!$E$13+1,1))-AVERAGE(OFFSET($H$3,0,0,'Données projet'!$E$13+1,1))</f>
        <v>237.8483058552178</v>
      </c>
      <c r="CZ39" s="59">
        <f t="shared" si="42"/>
        <v>313.36201272119723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</v>
      </c>
      <c r="DO39" s="12">
        <f>IF('Données projet'!$A$166&gt;35,DO38+DN39-DW38,IF(A39&lt;'Données projet'!$A$166,$DL$205^A39,IF(A39='Données projet'!$A$166,'Données projet'!$B$166,DO38+DN39-DW38)))</f>
        <v>108</v>
      </c>
      <c r="DP39" s="17">
        <f>DO39*VLOOKUP('Données projet'!$B$14,Paramètres!$A$1:$I$89,3,0)*VLOOKUP('Données projet'!$B$14,Paramètres!$A$1:$I$89,5,0)</f>
        <v>104.4576</v>
      </c>
      <c r="DQ39" s="13">
        <f t="shared" si="43"/>
        <v>28.021248860498272</v>
      </c>
      <c r="DR39" s="20">
        <f t="shared" si="16"/>
        <v>230.73399509870114</v>
      </c>
      <c r="DS39" s="59">
        <f t="shared" si="17"/>
        <v>524.0673284320344</v>
      </c>
      <c r="DT39" s="59">
        <f ca="1">AVERAGE(OFFSET($DS$3,0,0,'Données projet'!$E$14+1,1))-AVERAGE(OFFSET($H$3,0,0,'Données projet'!$E$14+1,1))</f>
        <v>325.01961068962373</v>
      </c>
      <c r="DU39" s="59">
        <f t="shared" si="44"/>
        <v>155.12737608540039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9.6</v>
      </c>
      <c r="EJ39" s="12">
        <f>IF('Données projet'!$A$192&gt;35,EJ38+EI39-ER38,IF(A39&lt;'Données projet'!$A$192,$EG$205^A39,IF(A39='Données projet'!$A$192,'Données projet'!$B$192,EJ38+EI39-ER38)))</f>
        <v>153.60000000000002</v>
      </c>
      <c r="EK39" s="17">
        <f>EJ39*VLOOKUP('Données projet'!$B$15,Paramètres!$A$1:$I$89,3,0)*VLOOKUP('Données projet'!$B$15,Paramètres!$A$1:$I$89,5,0)</f>
        <v>103.03488</v>
      </c>
      <c r="EL39" s="13">
        <f t="shared" si="45"/>
        <v>27.683752986660451</v>
      </c>
      <c r="EM39" s="20">
        <f t="shared" si="19"/>
        <v>227.66828578510027</v>
      </c>
      <c r="EN39" s="59">
        <f t="shared" si="20"/>
        <v>521.00161911843361</v>
      </c>
      <c r="EO39" s="59">
        <f ca="1">AVERAGE(OFFSET($EN$3,0,0,'Données projet'!$E$15+1,1))-AVERAGE(OFFSET($H$3,0,0,'Données projet'!$E$15+1,1))</f>
        <v>178.09619481964575</v>
      </c>
      <c r="EP39" s="59">
        <f t="shared" si="46"/>
        <v>178.65167777495174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3.2366404912470479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5.0124536752841413</v>
      </c>
      <c r="EY39" s="22">
        <f t="shared" si="21"/>
        <v>8.2490941665311901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9.6</v>
      </c>
      <c r="FE39" s="12">
        <f>IF('Données projet'!$A$218&gt;35,FE38+FD39-FM38,IF(A39&lt;'Données projet'!$A$218,$FB$205^A39,IF(A39='Données projet'!$A$218,'Données projet'!$B$218,FE38+FD39-FM38)))</f>
        <v>153.60000000000002</v>
      </c>
      <c r="FF39" s="17">
        <f>FE39*VLOOKUP('Données projet'!$B$16,Paramètres!$A$1:$I$89,3,0)*VLOOKUP('Données projet'!$B$16,Paramètres!$A$1:$I$89,5,0)</f>
        <v>122.20416000000003</v>
      </c>
      <c r="FG39" s="13">
        <f t="shared" si="47"/>
        <v>32.188537573102472</v>
      </c>
      <c r="FH39" s="20">
        <f t="shared" si="22"/>
        <v>268.90061493982017</v>
      </c>
      <c r="FI39" s="59">
        <f t="shared" si="23"/>
        <v>562.23394827315349</v>
      </c>
      <c r="FJ39" s="59">
        <f ca="1">AVERAGE(OFFSET($FI$3,0,0,'Données projet'!$E$16+1,1))-AVERAGE(OFFSET($H$3,0,0,'Données projet'!$E$16+1,1))</f>
        <v>219.43439115440339</v>
      </c>
      <c r="FK39" s="59">
        <f t="shared" si="48"/>
        <v>217.8880462742099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3.8388061640371962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5.9450031962672369</v>
      </c>
      <c r="FT39" s="22">
        <f t="shared" si="24"/>
        <v>9.7838093603044332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12.833333333333334</v>
      </c>
      <c r="FZ39" s="12">
        <f>IF('Données projet'!$A$244&gt;35,FZ38+FY39-GH38,IF(A39&lt;'Données projet'!$A$244,$FW$205^A39,IF(A39='Données projet'!$A$244,'Données projet'!$B$244,FZ38+FY39-GH38)))</f>
        <v>223.66666666666671</v>
      </c>
      <c r="GA39" s="17">
        <f>FZ39*VLOOKUP('Données projet'!$B$17,Paramètres!$A$1:$I$89,3,0)*VLOOKUP('Données projet'!$B$17,Paramètres!$A$1:$I$89,5,0)</f>
        <v>133.75266666666673</v>
      </c>
      <c r="GB39" s="13">
        <f t="shared" si="49"/>
        <v>34.86204901776788</v>
      </c>
      <c r="GC39" s="20">
        <f t="shared" si="25"/>
        <v>293.67062981705698</v>
      </c>
      <c r="GD39" s="59">
        <f t="shared" si="26"/>
        <v>587.00396315039029</v>
      </c>
      <c r="GE39" s="59">
        <f ca="1">AVERAGE(OFFSET($GD$3,0,0,'Données projet'!$E$17+1,1))-AVERAGE(OFFSET($H$3,0,0,'Données projet'!$E$17+1,1))</f>
        <v>191.77102466144095</v>
      </c>
      <c r="GF39" s="59">
        <f t="shared" si="50"/>
        <v>205.57161411620217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13.902203242430884</v>
      </c>
      <c r="GM39" s="21">
        <f>EXP(-LN(2)/25)*GM38+(1-EXP(-LN(2)/25))/(LN(2)/25)*Calculateur!GH39*Calculateur!GJ39*VLOOKUP('Données projet'!$B$17,Paramètres!$A$1:$I$89,3,0)*0.475*44/12</f>
        <v>15.644179845134815</v>
      </c>
      <c r="GN39" s="21">
        <f>EXP(-LN(2)/2)*GN38+(1-EXP(-LN(2)/2))/(LN(2)/2)*GH39*GK39*VLOOKUP('Données projet'!$B$17,Paramètres!$A$1:$I$89,3,0)*0.475*44/12</f>
        <v>3.7172999668582891</v>
      </c>
      <c r="GO39" s="21">
        <f t="shared" si="27"/>
        <v>33.263683054423993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84.31577618130467</v>
      </c>
      <c r="T40" s="59">
        <f t="shared" si="34"/>
        <v>527.2140904310653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106.45163156103662</v>
      </c>
      <c r="AA40" s="21">
        <f>EXP(-LN(2)/25)*AA39+(1-EXP(-LN(2)/25))/(LN(2)/25)*Calculateur!V40*Calculateur!X40*VLOOKUP('Données projet'!$B$9,Paramètres!$A$1:$I$89,3,0)*0.475*44/12</f>
        <v>29.029015280138982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135.4806468411756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</v>
      </c>
      <c r="AI40" s="13">
        <f>IF('Données projet'!$A$62&gt;35,AI39+AH40-AQ39,IF(A40&lt;'Données projet'!$A$62,$AF$205^A40,IF(A40='Données projet'!$A$62,'Données projet'!$B$62,AI39+AH40-AQ39)))</f>
        <v>111</v>
      </c>
      <c r="AJ40" s="13">
        <f>AI40*VLOOKUP('Données projet'!$B$10,Paramètres!$A$1:$I$89,3,0)*VLOOKUP('Données projet'!$B$10,Paramètres!$A$1:$I$89,5,0)</f>
        <v>100.4328</v>
      </c>
      <c r="AK40" s="13">
        <f t="shared" si="35"/>
        <v>27.065080249927675</v>
      </c>
      <c r="AL40" s="20">
        <f t="shared" si="4"/>
        <v>222.0588081019574</v>
      </c>
      <c r="AM40" s="59">
        <f t="shared" si="5"/>
        <v>515.39214143529068</v>
      </c>
      <c r="AN40" s="59">
        <f ca="1">AVERAGE(OFFSET($AM$3,0,0,'Données projet'!$E$10+1,1))-AVERAGE(OFFSET($H$3,0,0,'Données projet'!$E$10+1,1))</f>
        <v>297.90790572649428</v>
      </c>
      <c r="AO40" s="59">
        <f t="shared" si="36"/>
        <v>142.96889776844506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</v>
      </c>
      <c r="BD40" s="12">
        <f>IF('Données projet'!$A$88&gt;35,BD39+BC40-BL39,IF(A40&lt;'Données projet'!$A$88,$BA$205^A40,IF(A40='Données projet'!$A$88,'Données projet'!$B$88,BD39+BC40-BL39)))</f>
        <v>111</v>
      </c>
      <c r="BE40" s="13">
        <f>BD40*VLOOKUP('Données projet'!$B$11,Paramètres!$A$1:$I$89,3,0)*VLOOKUP('Données projet'!$B$11,Paramètres!$A$1:$I$89,5,0)</f>
        <v>112.55400000000002</v>
      </c>
      <c r="BF40" s="13">
        <f t="shared" si="37"/>
        <v>29.93192070032319</v>
      </c>
      <c r="BG40" s="20">
        <f t="shared" si="7"/>
        <v>248.16297855306297</v>
      </c>
      <c r="BH40" s="59">
        <f t="shared" si="8"/>
        <v>541.49631188639626</v>
      </c>
      <c r="BI40" s="59">
        <f ca="1">AVERAGE(OFFSET($BH$3,0,0,'Données projet'!$E$11+1,1))-AVERAGE(OFFSET($H$3,0,0,'Données projet'!$E$11+1,1))</f>
        <v>345.3294887586967</v>
      </c>
      <c r="BJ40" s="59">
        <f t="shared" si="38"/>
        <v>164.23448598618114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14.4</v>
      </c>
      <c r="BY40" s="12">
        <f>IF('Données projet'!$A$114&gt;35,BY39+BX40-CG39,IF(A40&lt;'Données projet'!$A$114,$BV$205^A40,IF(A40='Données projet'!$A$114,'Données projet'!$B$114,BY39+BX40-CG39)))</f>
        <v>220.80000000000004</v>
      </c>
      <c r="BZ40" s="13">
        <f>BY40*VLOOKUP('Données projet'!$B$12,Paramètres!$A$1:$I$89,3,0)*VLOOKUP('Données projet'!$B$12,Paramètres!$A$1:$I$89,5,0)</f>
        <v>132.03840000000005</v>
      </c>
      <c r="CA40" s="13">
        <f t="shared" si="39"/>
        <v>34.466946374534373</v>
      </c>
      <c r="CB40" s="20">
        <f t="shared" si="10"/>
        <v>289.99681160231415</v>
      </c>
      <c r="CC40" s="59">
        <f t="shared" si="11"/>
        <v>583.33014493564747</v>
      </c>
      <c r="CD40" s="59">
        <f ca="1">AVERAGE(OFFSET($CC$3,0,0,'Données projet'!$E$12+1,1))-AVERAGE(OFFSET($H$3,0,0,'Données projet'!$E$12+1,1))</f>
        <v>289.07218105343333</v>
      </c>
      <c r="CE40" s="59">
        <f t="shared" si="40"/>
        <v>217.57508587672368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19.101763700762152</v>
      </c>
      <c r="CM40" s="21">
        <f>EXP(-LN(2)/2)*CM39+(1-EXP(-LN(2)/2))/(LN(2)/2)*CG40*CJ40*VLOOKUP('Données projet'!$B$12,Paramètres!$A$1:$I$89,3,0)*0.475*44/12</f>
        <v>6.4617909640131179</v>
      </c>
      <c r="CN40" s="22">
        <f t="shared" si="12"/>
        <v>25.563554664775271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7.3</v>
      </c>
      <c r="CT40" s="12">
        <f>IF('Données projet'!$A$140&gt;35,CT39+CS40-DB39,IF(A40&lt;'Données projet'!$A$140,$CQ$205^A40,IF(A40='Données projet'!$A$140,'Données projet'!$B$140,CT39+CS40-DB39)))</f>
        <v>191.10000000000008</v>
      </c>
      <c r="CU40" s="17">
        <f>CT40*VLOOKUP('Données projet'!$B$13,Paramètres!$A$1:$I$89,3,0)*VLOOKUP('Données projet'!$B$13,Paramètres!$A$1:$I$89,5,0)</f>
        <v>166.94496000000009</v>
      </c>
      <c r="CV40" s="13">
        <f t="shared" si="41"/>
        <v>42.405075786649157</v>
      </c>
      <c r="CW40" s="20">
        <f t="shared" si="13"/>
        <v>364.61797899508082</v>
      </c>
      <c r="CX40" s="59">
        <f t="shared" si="14"/>
        <v>657.95131232841413</v>
      </c>
      <c r="CY40" s="59">
        <f ca="1">AVERAGE(OFFSET($CX$3,0,0,'Données projet'!$E$13+1,1))-AVERAGE(OFFSET($H$3,0,0,'Données projet'!$E$13+1,1))</f>
        <v>237.8483058552178</v>
      </c>
      <c r="CZ40" s="59">
        <f t="shared" si="42"/>
        <v>313.36201272119723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</v>
      </c>
      <c r="DO40" s="12">
        <f>IF('Données projet'!$A$166&gt;35,DO39+DN40-DW39,IF(A40&lt;'Données projet'!$A$166,$DL$205^A40,IF(A40='Données projet'!$A$166,'Données projet'!$B$166,DO39+DN40-DW39)))</f>
        <v>111</v>
      </c>
      <c r="DP40" s="17">
        <f>DO40*VLOOKUP('Données projet'!$B$14,Paramètres!$A$1:$I$89,3,0)*VLOOKUP('Données projet'!$B$14,Paramètres!$A$1:$I$89,5,0)</f>
        <v>107.35919999999999</v>
      </c>
      <c r="DQ40" s="13">
        <f t="shared" si="43"/>
        <v>28.707914285651373</v>
      </c>
      <c r="DR40" s="20">
        <f t="shared" si="16"/>
        <v>236.98355738084277</v>
      </c>
      <c r="DS40" s="59">
        <f t="shared" si="17"/>
        <v>530.31689071417611</v>
      </c>
      <c r="DT40" s="59">
        <f ca="1">AVERAGE(OFFSET($DS$3,0,0,'Données projet'!$E$14+1,1))-AVERAGE(OFFSET($H$3,0,0,'Données projet'!$E$14+1,1))</f>
        <v>325.01961068962373</v>
      </c>
      <c r="DU40" s="59">
        <f t="shared" si="44"/>
        <v>155.12737608540039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9.6</v>
      </c>
      <c r="EJ40" s="12">
        <f>IF('Données projet'!$A$192&gt;35,EJ39+EI40-ER39,IF(A40&lt;'Données projet'!$A$192,$EG$205^A40,IF(A40='Données projet'!$A$192,'Données projet'!$B$192,EJ39+EI40-ER39)))</f>
        <v>163.20000000000002</v>
      </c>
      <c r="EK40" s="17">
        <f>EJ40*VLOOKUP('Données projet'!$B$15,Paramètres!$A$1:$I$89,3,0)*VLOOKUP('Données projet'!$B$15,Paramètres!$A$1:$I$89,5,0)</f>
        <v>109.47456000000001</v>
      </c>
      <c r="EL40" s="13">
        <f t="shared" si="45"/>
        <v>29.207152332483151</v>
      </c>
      <c r="EM40" s="20">
        <f t="shared" si="19"/>
        <v>241.53731564574147</v>
      </c>
      <c r="EN40" s="59">
        <f t="shared" si="20"/>
        <v>534.87064897907476</v>
      </c>
      <c r="EO40" s="59">
        <f ca="1">AVERAGE(OFFSET($EN$3,0,0,'Données projet'!$E$15+1,1))-AVERAGE(OFFSET($H$3,0,0,'Données projet'!$E$15+1,1))</f>
        <v>178.09619481964575</v>
      </c>
      <c r="EP40" s="59">
        <f t="shared" si="46"/>
        <v>178.65167777495174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3.1731719453694613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3.5443399841768497</v>
      </c>
      <c r="EY40" s="22">
        <f t="shared" si="21"/>
        <v>6.717511929546311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9.6</v>
      </c>
      <c r="FE40" s="12">
        <f>IF('Données projet'!$A$218&gt;35,FE39+FD40-FM39,IF(A40&lt;'Données projet'!$A$218,$FB$205^A40,IF(A40='Données projet'!$A$218,'Données projet'!$B$218,FE39+FD40-FM39)))</f>
        <v>163.20000000000002</v>
      </c>
      <c r="FF40" s="17">
        <f>FE40*VLOOKUP('Données projet'!$B$16,Paramètres!$A$1:$I$89,3,0)*VLOOKUP('Données projet'!$B$16,Paramètres!$A$1:$I$89,5,0)</f>
        <v>129.84192000000002</v>
      </c>
      <c r="FG40" s="13">
        <f t="shared" si="47"/>
        <v>33.959829099416851</v>
      </c>
      <c r="FH40" s="20">
        <f t="shared" si="22"/>
        <v>285.288046348151</v>
      </c>
      <c r="FI40" s="59">
        <f t="shared" si="23"/>
        <v>578.62137968148431</v>
      </c>
      <c r="FJ40" s="59">
        <f ca="1">AVERAGE(OFFSET($FI$3,0,0,'Données projet'!$E$16+1,1))-AVERAGE(OFFSET($H$3,0,0,'Données projet'!$E$16+1,1))</f>
        <v>219.43439115440339</v>
      </c>
      <c r="FK40" s="59">
        <f t="shared" si="48"/>
        <v>217.8880462742099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3.7635295166009888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4.2037520742562631</v>
      </c>
      <c r="FT40" s="22">
        <f t="shared" si="24"/>
        <v>7.9672815908572518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12.833333333333334</v>
      </c>
      <c r="FZ40" s="12">
        <f>IF('Données projet'!$A$244&gt;35,FZ39+FY40-GH39,IF(A40&lt;'Données projet'!$A$244,$FW$205^A40,IF(A40='Données projet'!$A$244,'Données projet'!$B$244,FZ39+FY40-GH39)))</f>
        <v>236.50000000000006</v>
      </c>
      <c r="GA40" s="17">
        <f>FZ40*VLOOKUP('Données projet'!$B$17,Paramètres!$A$1:$I$89,3,0)*VLOOKUP('Données projet'!$B$17,Paramètres!$A$1:$I$89,5,0)</f>
        <v>141.42700000000005</v>
      </c>
      <c r="GB40" s="13">
        <f t="shared" si="49"/>
        <v>36.623717959686019</v>
      </c>
      <c r="GC40" s="20">
        <f t="shared" si="25"/>
        <v>310.10500044645323</v>
      </c>
      <c r="GD40" s="59">
        <f t="shared" si="26"/>
        <v>603.43833377978649</v>
      </c>
      <c r="GE40" s="59">
        <f ca="1">AVERAGE(OFFSET($GD$3,0,0,'Données projet'!$E$17+1,1))-AVERAGE(OFFSET($H$3,0,0,'Données projet'!$E$17+1,1))</f>
        <v>191.77102466144095</v>
      </c>
      <c r="GF40" s="59">
        <f t="shared" si="50"/>
        <v>205.57161411620217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13.62958951635351</v>
      </c>
      <c r="GM40" s="21">
        <f>EXP(-LN(2)/25)*GM39+(1-EXP(-LN(2)/25))/(LN(2)/25)*Calculateur!GH40*Calculateur!GJ40*VLOOKUP('Données projet'!$B$17,Paramètres!$A$1:$I$89,3,0)*0.475*44/12</f>
        <v>15.21638892457794</v>
      </c>
      <c r="GN40" s="21">
        <f>EXP(-LN(2)/2)*GN39+(1-EXP(-LN(2)/2))/(LN(2)/2)*GH40*GK40*VLOOKUP('Données projet'!$B$17,Paramètres!$A$1:$I$89,3,0)*0.475*44/12</f>
        <v>2.6285280142700249</v>
      </c>
      <c r="GO40" s="21">
        <f t="shared" si="27"/>
        <v>31.474506455201475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84.31577618130467</v>
      </c>
      <c r="T41" s="59">
        <f t="shared" si="34"/>
        <v>527.2140904310653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104.36417999520873</v>
      </c>
      <c r="AA41" s="21">
        <f>EXP(-LN(2)/25)*AA40+(1-EXP(-LN(2)/25))/(LN(2)/25)*Calculateur!V41*Calculateur!X41*VLOOKUP('Données projet'!$B$9,Paramètres!$A$1:$I$89,3,0)*0.475*44/12</f>
        <v>28.235215330734015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132.59939532594274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</v>
      </c>
      <c r="AI41" s="13">
        <f>IF('Données projet'!$A$62&gt;35,AI40+AH41-AQ40,IF(A41&lt;'Données projet'!$A$62,$AF$205^A41,IF(A41='Données projet'!$A$62,'Données projet'!$B$62,AI40+AH41-AQ40)))</f>
        <v>114</v>
      </c>
      <c r="AJ41" s="13">
        <f>AI41*VLOOKUP('Données projet'!$B$10,Paramètres!$A$1:$I$89,3,0)*VLOOKUP('Données projet'!$B$10,Paramètres!$A$1:$I$89,5,0)</f>
        <v>103.14719999999998</v>
      </c>
      <c r="AK41" s="13">
        <f t="shared" si="35"/>
        <v>27.710417026801451</v>
      </c>
      <c r="AL41" s="20">
        <f t="shared" si="4"/>
        <v>227.91034965501251</v>
      </c>
      <c r="AM41" s="59">
        <f t="shared" si="5"/>
        <v>521.24368298834588</v>
      </c>
      <c r="AN41" s="59">
        <f ca="1">AVERAGE(OFFSET($AM$3,0,0,'Données projet'!$E$10+1,1))-AVERAGE(OFFSET($H$3,0,0,'Données projet'!$E$10+1,1))</f>
        <v>297.90790572649428</v>
      </c>
      <c r="AO41" s="59">
        <f t="shared" si="36"/>
        <v>142.96889776844506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</v>
      </c>
      <c r="BD41" s="12">
        <f>IF('Données projet'!$A$88&gt;35,BD40+BC41-BL40,IF(A41&lt;'Données projet'!$A$88,$BA$205^A41,IF(A41='Données projet'!$A$88,'Données projet'!$B$88,BD40+BC41-BL40)))</f>
        <v>114</v>
      </c>
      <c r="BE41" s="13">
        <f>BD41*VLOOKUP('Données projet'!$B$11,Paramètres!$A$1:$I$89,3,0)*VLOOKUP('Données projet'!$B$11,Paramètres!$A$1:$I$89,5,0)</f>
        <v>115.59600000000002</v>
      </c>
      <c r="BF41" s="13">
        <f t="shared" si="37"/>
        <v>30.645614103483879</v>
      </c>
      <c r="BG41" s="20">
        <f t="shared" si="7"/>
        <v>254.70414456356778</v>
      </c>
      <c r="BH41" s="59">
        <f t="shared" si="8"/>
        <v>548.03747789690112</v>
      </c>
      <c r="BI41" s="59">
        <f ca="1">AVERAGE(OFFSET($BH$3,0,0,'Données projet'!$E$11+1,1))-AVERAGE(OFFSET($H$3,0,0,'Données projet'!$E$11+1,1))</f>
        <v>345.3294887586967</v>
      </c>
      <c r="BJ41" s="59">
        <f t="shared" si="38"/>
        <v>164.23448598618114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14.4</v>
      </c>
      <c r="BY41" s="12">
        <f>IF('Données projet'!$A$114&gt;35,BY40+BX41-CG40,IF(A41&lt;'Données projet'!$A$114,$BV$205^A41,IF(A41='Données projet'!$A$114,'Données projet'!$B$114,BY40+BX41-CG40)))</f>
        <v>235.20000000000005</v>
      </c>
      <c r="BZ41" s="13">
        <f>BY41*VLOOKUP('Données projet'!$B$12,Paramètres!$A$1:$I$89,3,0)*VLOOKUP('Données projet'!$B$12,Paramètres!$A$1:$I$89,5,0)</f>
        <v>140.64960000000002</v>
      </c>
      <c r="CA41" s="13">
        <f t="shared" si="39"/>
        <v>36.445779615258601</v>
      </c>
      <c r="CB41" s="20">
        <f t="shared" si="10"/>
        <v>308.44111949657542</v>
      </c>
      <c r="CC41" s="59">
        <f t="shared" si="11"/>
        <v>601.7744528299088</v>
      </c>
      <c r="CD41" s="59">
        <f ca="1">AVERAGE(OFFSET($CC$3,0,0,'Données projet'!$E$12+1,1))-AVERAGE(OFFSET($H$3,0,0,'Données projet'!$E$12+1,1))</f>
        <v>289.07218105343333</v>
      </c>
      <c r="CE41" s="59">
        <f t="shared" si="40"/>
        <v>217.57508587672368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18.579424967846716</v>
      </c>
      <c r="CM41" s="21">
        <f>EXP(-LN(2)/2)*CM40+(1-EXP(-LN(2)/2))/(LN(2)/2)*CG41*CJ41*VLOOKUP('Données projet'!$B$12,Paramètres!$A$1:$I$89,3,0)*0.475*44/12</f>
        <v>4.5691762092636337</v>
      </c>
      <c r="CN41" s="22">
        <f t="shared" si="12"/>
        <v>23.148601177110351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7.3</v>
      </c>
      <c r="CT41" s="12">
        <f>IF('Données projet'!$A$140&gt;35,CT40+CS41-DB40,IF(A41&lt;'Données projet'!$A$140,$CQ$205^A41,IF(A41='Données projet'!$A$140,'Données projet'!$B$140,CT40+CS41-DB40)))</f>
        <v>198.40000000000009</v>
      </c>
      <c r="CU41" s="17">
        <f>CT41*VLOOKUP('Données projet'!$B$13,Paramètres!$A$1:$I$89,3,0)*VLOOKUP('Données projet'!$B$13,Paramètres!$A$1:$I$89,5,0)</f>
        <v>173.32224000000011</v>
      </c>
      <c r="CV41" s="13">
        <f t="shared" si="41"/>
        <v>43.833254629845165</v>
      </c>
      <c r="CW41" s="20">
        <f t="shared" si="13"/>
        <v>378.21248648031383</v>
      </c>
      <c r="CX41" s="59">
        <f t="shared" si="14"/>
        <v>671.54581981364709</v>
      </c>
      <c r="CY41" s="59">
        <f ca="1">AVERAGE(OFFSET($CX$3,0,0,'Données projet'!$E$13+1,1))-AVERAGE(OFFSET($H$3,0,0,'Données projet'!$E$13+1,1))</f>
        <v>237.8483058552178</v>
      </c>
      <c r="CZ41" s="59">
        <f t="shared" si="42"/>
        <v>313.36201272119723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</v>
      </c>
      <c r="DO41" s="12">
        <f>IF('Données projet'!$A$166&gt;35,DO40+DN41-DW40,IF(A41&lt;'Données projet'!$A$166,$DL$205^A41,IF(A41='Données projet'!$A$166,'Données projet'!$B$166,DO40+DN41-DW40)))</f>
        <v>114</v>
      </c>
      <c r="DP41" s="17">
        <f>DO41*VLOOKUP('Données projet'!$B$14,Paramètres!$A$1:$I$89,3,0)*VLOOKUP('Données projet'!$B$14,Paramètres!$A$1:$I$89,5,0)</f>
        <v>110.26079999999999</v>
      </c>
      <c r="DQ41" s="13">
        <f t="shared" si="43"/>
        <v>29.392422615380774</v>
      </c>
      <c r="DR41" s="20">
        <f t="shared" si="16"/>
        <v>243.22936272178819</v>
      </c>
      <c r="DS41" s="59">
        <f t="shared" si="17"/>
        <v>536.56269605512148</v>
      </c>
      <c r="DT41" s="59">
        <f ca="1">AVERAGE(OFFSET($DS$3,0,0,'Données projet'!$E$14+1,1))-AVERAGE(OFFSET($H$3,0,0,'Données projet'!$E$14+1,1))</f>
        <v>325.01961068962373</v>
      </c>
      <c r="DU41" s="59">
        <f t="shared" si="44"/>
        <v>155.12737608540039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9.6</v>
      </c>
      <c r="EJ41" s="12">
        <f>IF('Données projet'!$A$192&gt;35,EJ40+EI41-ER40,IF(A41&lt;'Données projet'!$A$192,$EG$205^A41,IF(A41='Données projet'!$A$192,'Données projet'!$B$192,EJ40+EI41-ER40)))</f>
        <v>172.8</v>
      </c>
      <c r="EK41" s="17">
        <f>EJ41*VLOOKUP('Données projet'!$B$15,Paramètres!$A$1:$I$89,3,0)*VLOOKUP('Données projet'!$B$15,Paramètres!$A$1:$I$89,5,0)</f>
        <v>115.91424000000001</v>
      </c>
      <c r="EL41" s="13">
        <f t="shared" si="45"/>
        <v>30.720150170890342</v>
      </c>
      <c r="EM41" s="20">
        <f t="shared" si="19"/>
        <v>255.38822954763404</v>
      </c>
      <c r="EN41" s="59">
        <f t="shared" si="20"/>
        <v>548.72156288096733</v>
      </c>
      <c r="EO41" s="59">
        <f ca="1">AVERAGE(OFFSET($EN$3,0,0,'Données projet'!$E$15+1,1))-AVERAGE(OFFSET($H$3,0,0,'Données projet'!$E$15+1,1))</f>
        <v>178.09619481964575</v>
      </c>
      <c r="EP41" s="59">
        <f t="shared" si="46"/>
        <v>178.65167777495174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3.1109479789645436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2.5062268376420711</v>
      </c>
      <c r="EY41" s="22">
        <f t="shared" si="21"/>
        <v>5.6171748166066147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9.6</v>
      </c>
      <c r="FE41" s="12">
        <f>IF('Données projet'!$A$218&gt;35,FE40+FD41-FM40,IF(A41&lt;'Données projet'!$A$218,$FB$205^A41,IF(A41='Données projet'!$A$218,'Données projet'!$B$218,FE40+FD41-FM40)))</f>
        <v>172.8</v>
      </c>
      <c r="FF41" s="17">
        <f>FE41*VLOOKUP('Données projet'!$B$16,Paramètres!$A$1:$I$89,3,0)*VLOOKUP('Données projet'!$B$16,Paramètres!$A$1:$I$89,5,0)</f>
        <v>137.47968000000003</v>
      </c>
      <c r="FG41" s="13">
        <f t="shared" si="47"/>
        <v>35.719026553355249</v>
      </c>
      <c r="FH41" s="20">
        <f t="shared" si="22"/>
        <v>301.65441391376049</v>
      </c>
      <c r="FI41" s="59">
        <f t="shared" si="23"/>
        <v>594.98774724709381</v>
      </c>
      <c r="FJ41" s="59">
        <f ca="1">AVERAGE(OFFSET($FI$3,0,0,'Données projet'!$E$16+1,1))-AVERAGE(OFFSET($H$3,0,0,'Données projet'!$E$16+1,1))</f>
        <v>219.43439115440339</v>
      </c>
      <c r="FK41" s="59">
        <f t="shared" si="48"/>
        <v>217.8880462742099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3.689728998306784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2.9725015981336189</v>
      </c>
      <c r="FT41" s="22">
        <f t="shared" si="24"/>
        <v>6.6622305964404029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12.833333333333334</v>
      </c>
      <c r="FZ41" s="12">
        <f>IF('Données projet'!$A$244&gt;35,FZ40+FY41-GH40,IF(A41&lt;'Données projet'!$A$244,$FW$205^A41,IF(A41='Données projet'!$A$244,'Données projet'!$B$244,FZ40+FY41-GH40)))</f>
        <v>249.3333333333334</v>
      </c>
      <c r="GA41" s="17">
        <f>FZ41*VLOOKUP('Données projet'!$B$17,Paramètres!$A$1:$I$89,3,0)*VLOOKUP('Données projet'!$B$17,Paramètres!$A$1:$I$89,5,0)</f>
        <v>149.1013333333334</v>
      </c>
      <c r="GB41" s="13">
        <f t="shared" si="49"/>
        <v>38.37428902704788</v>
      </c>
      <c r="GC41" s="20">
        <f t="shared" si="25"/>
        <v>326.52004227766406</v>
      </c>
      <c r="GD41" s="59">
        <f t="shared" si="26"/>
        <v>619.85337561099732</v>
      </c>
      <c r="GE41" s="59">
        <f ca="1">AVERAGE(OFFSET($GD$3,0,0,'Données projet'!$E$17+1,1))-AVERAGE(OFFSET($H$3,0,0,'Données projet'!$E$17+1,1))</f>
        <v>191.77102466144095</v>
      </c>
      <c r="GF41" s="59">
        <f t="shared" si="50"/>
        <v>205.57161411620217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13.36232157916656</v>
      </c>
      <c r="GM41" s="21">
        <f>EXP(-LN(2)/25)*GM40+(1-EXP(-LN(2)/25))/(LN(2)/25)*Calculateur!GH41*Calculateur!GJ41*VLOOKUP('Données projet'!$B$17,Paramètres!$A$1:$I$89,3,0)*0.475*44/12</f>
        <v>14.80029596924024</v>
      </c>
      <c r="GN41" s="21">
        <f>EXP(-LN(2)/2)*GN40+(1-EXP(-LN(2)/2))/(LN(2)/2)*GH41*GK41*VLOOKUP('Données projet'!$B$17,Paramètres!$A$1:$I$89,3,0)*0.475*44/12</f>
        <v>1.858649983429145</v>
      </c>
      <c r="GO41" s="21">
        <f t="shared" si="27"/>
        <v>30.021267531835946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84.31577618130467</v>
      </c>
      <c r="T42" s="59">
        <f t="shared" si="34"/>
        <v>527.2140904310653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102.31766208136699</v>
      </c>
      <c r="AA42" s="21">
        <f>EXP(-LN(2)/25)*AA41+(1-EXP(-LN(2)/25))/(LN(2)/25)*Calculateur!V42*Calculateur!X42*VLOOKUP('Données projet'!$B$9,Paramètres!$A$1:$I$89,3,0)*0.475*44/12</f>
        <v>27.463121882689652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129.78078396405664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</v>
      </c>
      <c r="AI42" s="13">
        <f>IF('Données projet'!$A$62&gt;35,AI41+AH42-AQ41,IF(A42&lt;'Données projet'!$A$62,$AF$205^A42,IF(A42='Données projet'!$A$62,'Données projet'!$B$62,AI41+AH42-AQ41)))</f>
        <v>117</v>
      </c>
      <c r="AJ42" s="13">
        <f>AI42*VLOOKUP('Données projet'!$B$10,Paramètres!$A$1:$I$89,3,0)*VLOOKUP('Données projet'!$B$10,Paramètres!$A$1:$I$89,5,0)</f>
        <v>105.8616</v>
      </c>
      <c r="AK42" s="13">
        <f t="shared" si="35"/>
        <v>28.353779818951288</v>
      </c>
      <c r="AL42" s="20">
        <f t="shared" si="4"/>
        <v>233.75845318467347</v>
      </c>
      <c r="AM42" s="59">
        <f t="shared" si="5"/>
        <v>527.09178651800676</v>
      </c>
      <c r="AN42" s="59">
        <f ca="1">AVERAGE(OFFSET($AM$3,0,0,'Données projet'!$E$10+1,1))-AVERAGE(OFFSET($H$3,0,0,'Données projet'!$E$10+1,1))</f>
        <v>297.90790572649428</v>
      </c>
      <c r="AO42" s="59">
        <f t="shared" si="36"/>
        <v>142.96889776844506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</v>
      </c>
      <c r="BD42" s="12">
        <f>IF('Données projet'!$A$88&gt;35,BD41+BC42-BL41,IF(A42&lt;'Données projet'!$A$88,$BA$205^A42,IF(A42='Données projet'!$A$88,'Données projet'!$B$88,BD41+BC42-BL41)))</f>
        <v>117</v>
      </c>
      <c r="BE42" s="13">
        <f>BD42*VLOOKUP('Données projet'!$B$11,Paramètres!$A$1:$I$89,3,0)*VLOOKUP('Données projet'!$B$11,Paramètres!$A$1:$I$89,5,0)</f>
        <v>118.63800000000001</v>
      </c>
      <c r="BF42" s="13">
        <f t="shared" si="37"/>
        <v>31.357124429643687</v>
      </c>
      <c r="BG42" s="20">
        <f t="shared" si="7"/>
        <v>261.24150838162944</v>
      </c>
      <c r="BH42" s="59">
        <f t="shared" si="8"/>
        <v>554.57484171496276</v>
      </c>
      <c r="BI42" s="59">
        <f ca="1">AVERAGE(OFFSET($BH$3,0,0,'Données projet'!$E$11+1,1))-AVERAGE(OFFSET($H$3,0,0,'Données projet'!$E$11+1,1))</f>
        <v>345.3294887586967</v>
      </c>
      <c r="BJ42" s="59">
        <f t="shared" si="38"/>
        <v>164.23448598618114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14.4</v>
      </c>
      <c r="BY42" s="12">
        <f>IF('Données projet'!$A$114&gt;35,BY41+BX42-CG41,IF(A42&lt;'Données projet'!$A$114,$BV$205^A42,IF(A42='Données projet'!$A$114,'Données projet'!$B$114,BY41+BX42-CG41)))</f>
        <v>249.60000000000005</v>
      </c>
      <c r="BZ42" s="13">
        <f>BY42*VLOOKUP('Données projet'!$B$12,Paramètres!$A$1:$I$89,3,0)*VLOOKUP('Données projet'!$B$12,Paramètres!$A$1:$I$89,5,0)</f>
        <v>149.26080000000005</v>
      </c>
      <c r="CA42" s="13">
        <f t="shared" si="39"/>
        <v>38.410551499792909</v>
      </c>
      <c r="CB42" s="20">
        <f t="shared" si="10"/>
        <v>326.86093719547273</v>
      </c>
      <c r="CC42" s="59">
        <f t="shared" si="11"/>
        <v>620.1942705288061</v>
      </c>
      <c r="CD42" s="59">
        <f ca="1">AVERAGE(OFFSET($CC$3,0,0,'Données projet'!$E$12+1,1))-AVERAGE(OFFSET($H$3,0,0,'Données projet'!$E$12+1,1))</f>
        <v>289.07218105343333</v>
      </c>
      <c r="CE42" s="59">
        <f t="shared" si="40"/>
        <v>217.57508587672368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18.071369615051452</v>
      </c>
      <c r="CM42" s="21">
        <f>EXP(-LN(2)/2)*CM41+(1-EXP(-LN(2)/2))/(LN(2)/2)*CG42*CJ42*VLOOKUP('Données projet'!$B$12,Paramètres!$A$1:$I$89,3,0)*0.475*44/12</f>
        <v>3.230895482006559</v>
      </c>
      <c r="CN42" s="22">
        <f t="shared" si="12"/>
        <v>21.302265097058012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7.3</v>
      </c>
      <c r="CT42" s="12">
        <f>IF('Données projet'!$A$140&gt;35,CT41+CS42-DB41,IF(A42&lt;'Données projet'!$A$140,$CQ$205^A42,IF(A42='Données projet'!$A$140,'Données projet'!$B$140,CT41+CS42-DB41)))</f>
        <v>205.7000000000001</v>
      </c>
      <c r="CU42" s="17">
        <f>CT42*VLOOKUP('Données projet'!$B$13,Paramètres!$A$1:$I$89,3,0)*VLOOKUP('Données projet'!$B$13,Paramètres!$A$1:$I$89,5,0)</f>
        <v>179.69952000000009</v>
      </c>
      <c r="CV42" s="13">
        <f t="shared" si="41"/>
        <v>45.25532840359331</v>
      </c>
      <c r="CW42" s="20">
        <f t="shared" si="13"/>
        <v>391.79636096959183</v>
      </c>
      <c r="CX42" s="59">
        <f t="shared" si="14"/>
        <v>685.12969430292515</v>
      </c>
      <c r="CY42" s="59">
        <f ca="1">AVERAGE(OFFSET($CX$3,0,0,'Données projet'!$E$13+1,1))-AVERAGE(OFFSET($H$3,0,0,'Données projet'!$E$13+1,1))</f>
        <v>237.8483058552178</v>
      </c>
      <c r="CZ42" s="59">
        <f t="shared" si="42"/>
        <v>313.36201272119723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</v>
      </c>
      <c r="DO42" s="12">
        <f>IF('Données projet'!$A$166&gt;35,DO41+DN42-DW41,IF(A42&lt;'Données projet'!$A$166,$DL$205^A42,IF(A42='Données projet'!$A$166,'Données projet'!$B$166,DO41+DN42-DW41)))</f>
        <v>117</v>
      </c>
      <c r="DP42" s="17">
        <f>DO42*VLOOKUP('Données projet'!$B$14,Paramètres!$A$1:$I$89,3,0)*VLOOKUP('Données projet'!$B$14,Paramètres!$A$1:$I$89,5,0)</f>
        <v>113.16240000000002</v>
      </c>
      <c r="DQ42" s="13">
        <f t="shared" si="43"/>
        <v>30.074837140704965</v>
      </c>
      <c r="DR42" s="20">
        <f t="shared" si="16"/>
        <v>249.47152135339448</v>
      </c>
      <c r="DS42" s="59">
        <f t="shared" si="17"/>
        <v>542.80485468672782</v>
      </c>
      <c r="DT42" s="59">
        <f ca="1">AVERAGE(OFFSET($DS$3,0,0,'Données projet'!$E$14+1,1))-AVERAGE(OFFSET($H$3,0,0,'Données projet'!$E$14+1,1))</f>
        <v>325.01961068962373</v>
      </c>
      <c r="DU42" s="59">
        <f t="shared" si="44"/>
        <v>155.12737608540039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9.6</v>
      </c>
      <c r="EJ42" s="12">
        <f>IF('Données projet'!$A$192&gt;35,EJ41+EI42-ER41,IF(A42&lt;'Données projet'!$A$192,$EG$205^A42,IF(A42='Données projet'!$A$192,'Données projet'!$B$192,EJ41+EI42-ER41)))</f>
        <v>182.4</v>
      </c>
      <c r="EK42" s="17">
        <f>EJ42*VLOOKUP('Données projet'!$B$15,Paramètres!$A$1:$I$89,3,0)*VLOOKUP('Données projet'!$B$15,Paramètres!$A$1:$I$89,5,0)</f>
        <v>122.35392</v>
      </c>
      <c r="EL42" s="13">
        <f t="shared" si="45"/>
        <v>32.223390225253354</v>
      </c>
      <c r="EM42" s="20">
        <f t="shared" si="19"/>
        <v>269.22214864231626</v>
      </c>
      <c r="EN42" s="59">
        <f t="shared" si="20"/>
        <v>562.55548197564963</v>
      </c>
      <c r="EO42" s="59">
        <f ca="1">AVERAGE(OFFSET($EN$3,0,0,'Données projet'!$E$15+1,1))-AVERAGE(OFFSET($H$3,0,0,'Données projet'!$E$15+1,1))</f>
        <v>178.09619481964575</v>
      </c>
      <c r="EP42" s="59">
        <f t="shared" si="46"/>
        <v>178.65167777495174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3.0499441865879544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1.7721699920884251</v>
      </c>
      <c r="EY42" s="22">
        <f t="shared" si="21"/>
        <v>4.8221141786763795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9.6</v>
      </c>
      <c r="FE42" s="12">
        <f>IF('Données projet'!$A$218&gt;35,FE41+FD42-FM41,IF(A42&lt;'Données projet'!$A$218,$FB$205^A42,IF(A42='Données projet'!$A$218,'Données projet'!$B$218,FE41+FD42-FM41)))</f>
        <v>182.4</v>
      </c>
      <c r="FF42" s="17">
        <f>FE42*VLOOKUP('Données projet'!$B$16,Paramètres!$A$1:$I$89,3,0)*VLOOKUP('Données projet'!$B$16,Paramètres!$A$1:$I$89,5,0)</f>
        <v>145.11744000000002</v>
      </c>
      <c r="FG42" s="13">
        <f t="shared" si="47"/>
        <v>37.466878406916173</v>
      </c>
      <c r="FH42" s="20">
        <f t="shared" si="22"/>
        <v>318.00102122537902</v>
      </c>
      <c r="FI42" s="59">
        <f t="shared" si="23"/>
        <v>611.33435455871233</v>
      </c>
      <c r="FJ42" s="59">
        <f ca="1">AVERAGE(OFFSET($FI$3,0,0,'Données projet'!$E$16+1,1))-AVERAGE(OFFSET($H$3,0,0,'Données projet'!$E$16+1,1))</f>
        <v>219.43439115440339</v>
      </c>
      <c r="FK42" s="59">
        <f t="shared" si="48"/>
        <v>217.8880462742099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3.6173756631624574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2.101876037128132</v>
      </c>
      <c r="FT42" s="22">
        <f t="shared" si="24"/>
        <v>5.7192517002905898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12.833333333333334</v>
      </c>
      <c r="FZ42" s="12">
        <f>IF('Données projet'!$A$244&gt;35,FZ41+FY42-GH41,IF(A42&lt;'Données projet'!$A$244,$FW$205^A42,IF(A42='Données projet'!$A$244,'Données projet'!$B$244,FZ41+FY42-GH41)))</f>
        <v>262.16666666666674</v>
      </c>
      <c r="GA42" s="17">
        <f>FZ42*VLOOKUP('Données projet'!$B$17,Paramètres!$A$1:$I$89,3,0)*VLOOKUP('Données projet'!$B$17,Paramètres!$A$1:$I$89,5,0)</f>
        <v>156.77566666666672</v>
      </c>
      <c r="GB42" s="13">
        <f t="shared" si="49"/>
        <v>40.114398592763365</v>
      </c>
      <c r="GC42" s="20">
        <f t="shared" si="25"/>
        <v>342.9168636601741</v>
      </c>
      <c r="GD42" s="59">
        <f t="shared" si="26"/>
        <v>636.25019699350742</v>
      </c>
      <c r="GE42" s="59">
        <f ca="1">AVERAGE(OFFSET($GD$3,0,0,'Données projet'!$E$17+1,1))-AVERAGE(OFFSET($H$3,0,0,'Données projet'!$E$17+1,1))</f>
        <v>191.77102466144095</v>
      </c>
      <c r="GF42" s="59">
        <f t="shared" si="50"/>
        <v>205.57161411620217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13.1002946032105</v>
      </c>
      <c r="GM42" s="21">
        <f>EXP(-LN(2)/25)*GM41+(1-EXP(-LN(2)/25))/(LN(2)/25)*Calculateur!GH42*Calculateur!GJ42*VLOOKUP('Données projet'!$B$17,Paramètres!$A$1:$I$89,3,0)*0.475*44/12</f>
        <v>14.395581097647627</v>
      </c>
      <c r="GN42" s="21">
        <f>EXP(-LN(2)/2)*GN41+(1-EXP(-LN(2)/2))/(LN(2)/2)*GH42*GK42*VLOOKUP('Données projet'!$B$17,Paramètres!$A$1:$I$89,3,0)*0.475*44/12</f>
        <v>1.3142640071350127</v>
      </c>
      <c r="GO42" s="21">
        <f t="shared" si="27"/>
        <v>28.810139707993141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84.31577618130467</v>
      </c>
      <c r="T43" s="59">
        <f t="shared" si="34"/>
        <v>527.2140904310653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100.31127513556301</v>
      </c>
      <c r="AA43" s="21">
        <f>EXP(-LN(2)/25)*AA42+(1-EXP(-LN(2)/25))/(LN(2)/25)*Calculateur!V43*Calculateur!X43*VLOOKUP('Données projet'!$B$9,Paramètres!$A$1:$I$89,3,0)*0.475*44/12</f>
        <v>26.712141370584693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127.0234165061477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</v>
      </c>
      <c r="AI43" s="13">
        <f>IF('Données projet'!$A$62&gt;35,AI42+AH43-AQ42,IF(A43&lt;'Données projet'!$A$62,$AF$205^A43,IF(A43='Données projet'!$A$62,'Données projet'!$B$62,AI42+AH43-AQ42)))</f>
        <v>120</v>
      </c>
      <c r="AJ43" s="13">
        <f>AI43*VLOOKUP('Données projet'!$B$10,Paramètres!$A$1:$I$89,3,0)*VLOOKUP('Données projet'!$B$10,Paramètres!$A$1:$I$89,5,0)</f>
        <v>108.57599999999999</v>
      </c>
      <c r="AK43" s="13">
        <f t="shared" si="35"/>
        <v>28.995225061228002</v>
      </c>
      <c r="AL43" s="20">
        <f t="shared" si="4"/>
        <v>239.60321698163875</v>
      </c>
      <c r="AM43" s="59">
        <f t="shared" si="5"/>
        <v>532.93655031497201</v>
      </c>
      <c r="AN43" s="59">
        <f ca="1">AVERAGE(OFFSET($AM$3,0,0,'Données projet'!$E$10+1,1))-AVERAGE(OFFSET($H$3,0,0,'Données projet'!$E$10+1,1))</f>
        <v>297.90790572649428</v>
      </c>
      <c r="AO43" s="59">
        <f t="shared" si="36"/>
        <v>142.96889776844506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</v>
      </c>
      <c r="BD43" s="12">
        <f>IF('Données projet'!$A$88&gt;35,BD42+BC43-BL42,IF(A43&lt;'Données projet'!$A$88,$BA$205^A43,IF(A43='Données projet'!$A$88,'Données projet'!$B$88,BD42+BC43-BL42)))</f>
        <v>120</v>
      </c>
      <c r="BE43" s="13">
        <f>BD43*VLOOKUP('Données projet'!$B$11,Paramètres!$A$1:$I$89,3,0)*VLOOKUP('Données projet'!$B$11,Paramètres!$A$1:$I$89,5,0)</f>
        <v>121.68</v>
      </c>
      <c r="BF43" s="13">
        <f t="shared" si="37"/>
        <v>32.066514091456284</v>
      </c>
      <c r="BG43" s="20">
        <f t="shared" si="7"/>
        <v>267.77517870928631</v>
      </c>
      <c r="BH43" s="59">
        <f t="shared" si="8"/>
        <v>561.10851204261962</v>
      </c>
      <c r="BI43" s="59">
        <f ca="1">AVERAGE(OFFSET($BH$3,0,0,'Données projet'!$E$11+1,1))-AVERAGE(OFFSET($H$3,0,0,'Données projet'!$E$11+1,1))</f>
        <v>345.3294887586967</v>
      </c>
      <c r="BJ43" s="59">
        <f t="shared" si="38"/>
        <v>164.23448598618114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264</v>
      </c>
      <c r="BW43" s="12">
        <f>VLOOKUP(A43,'Données projet'!$A$113:$I$133,9,0)</f>
        <v>14.4</v>
      </c>
      <c r="BX43" s="12">
        <f t="array" ref="BX43">INDEX(BW:BW,MIN(IF(ISNUMBER(BW43:BW239),ROW(BW43:BW239),"")))</f>
        <v>14.4</v>
      </c>
      <c r="BY43" s="12">
        <f>IF('Données projet'!$A$114&gt;35,BY42+BX43-CG42,IF(A43&lt;'Données projet'!$A$114,$BV$205^A43,IF(A43='Données projet'!$A$114,'Données projet'!$B$114,BY42+BX43-CG42)))</f>
        <v>264.00000000000006</v>
      </c>
      <c r="BZ43" s="13">
        <f>BY43*VLOOKUP('Données projet'!$B$12,Paramètres!$A$1:$I$89,3,0)*VLOOKUP('Données projet'!$B$12,Paramètres!$A$1:$I$89,5,0)</f>
        <v>157.87200000000004</v>
      </c>
      <c r="CA43" s="13">
        <f t="shared" si="39"/>
        <v>40.362165684361159</v>
      </c>
      <c r="CB43" s="20">
        <f t="shared" si="10"/>
        <v>345.25783856692902</v>
      </c>
      <c r="CC43" s="59">
        <f t="shared" si="11"/>
        <v>638.59117190026234</v>
      </c>
      <c r="CD43" s="59">
        <f ca="1">AVERAGE(OFFSET($CC$3,0,0,'Données projet'!$E$12+1,1))-AVERAGE(OFFSET($H$3,0,0,'Données projet'!$E$12+1,1))</f>
        <v>289.07218105343333</v>
      </c>
      <c r="CE43" s="59">
        <f t="shared" si="40"/>
        <v>217.57508587672368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41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0.27</v>
      </c>
      <c r="CJ43" s="16">
        <f>IF(ISNA(VLOOKUP(A43,'Données projet'!$A$113:$I$133,7,0)),0%,VLOOKUP(A43,'Données projet'!$A$113:$I$133,7,0))</f>
        <v>0.4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26.324301253870416</v>
      </c>
      <c r="CM43" s="21">
        <f>EXP(-LN(2)/2)*CM42+(1-EXP(-LN(2)/2))/(LN(2)/2)*CG43*CJ43*VLOOKUP('Données projet'!$B$12,Paramètres!$A$1:$I$89,3,0)*0.475*44/12</f>
        <v>13.388616692933375</v>
      </c>
      <c r="CN43" s="22">
        <f t="shared" si="12"/>
        <v>39.712917946803792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213</v>
      </c>
      <c r="CR43" s="12">
        <f>VLOOKUP(A43,'Données projet'!$A$139:$I$159,9,0)</f>
        <v>7.3</v>
      </c>
      <c r="CS43" s="12">
        <f t="array" ref="CS43">INDEX(CR:CR,MIN(IF(ISNUMBER(CR43:CR239),ROW(CR43:CR239),"")))</f>
        <v>7.3</v>
      </c>
      <c r="CT43" s="12">
        <f>IF('Données projet'!$A$140&gt;35,CT42+CS43-DB42,IF(A43&lt;'Données projet'!$A$140,$CQ$205^A43,IF(A43='Données projet'!$A$140,'Données projet'!$B$140,CT42+CS43-DB42)))</f>
        <v>213.00000000000011</v>
      </c>
      <c r="CU43" s="17">
        <f>CT43*VLOOKUP('Données projet'!$B$13,Paramètres!$A$1:$I$89,3,0)*VLOOKUP('Données projet'!$B$13,Paramètres!$A$1:$I$89,5,0)</f>
        <v>186.07680000000011</v>
      </c>
      <c r="CV43" s="13">
        <f t="shared" si="41"/>
        <v>46.671538591528716</v>
      </c>
      <c r="CW43" s="20">
        <f t="shared" si="13"/>
        <v>405.37002304691265</v>
      </c>
      <c r="CX43" s="59">
        <f t="shared" si="14"/>
        <v>698.70335638024596</v>
      </c>
      <c r="CY43" s="59">
        <f ca="1">AVERAGE(OFFSET($CX$3,0,0,'Données projet'!$E$13+1,1))-AVERAGE(OFFSET($H$3,0,0,'Données projet'!$E$13+1,1))</f>
        <v>237.8483058552178</v>
      </c>
      <c r="CZ43" s="59">
        <f t="shared" si="42"/>
        <v>313.36201272119723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39</v>
      </c>
      <c r="DC43" s="16">
        <f>IF(ISNA(VLOOKUP(A43,'Données projet'!$A$139:$I$159,5,0)),0%,VLOOKUP(A43,'Données projet'!$A$139:$I$159,5,0)*VLOOKUP('Données projet'!$B$13,Paramètres!$A$1:$I$89,7,0))</f>
        <v>0.215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0.3</v>
      </c>
      <c r="DF43" s="21">
        <f>EXP(-LN(2)/35)*DF42+(1-EXP(-LN(2)/35))/(LN(2)/35)*DB43*DC43*VLOOKUP('Données projet'!$B$13,Paramètres!$A$1:$I$89,3,0)*0.475*44/12</f>
        <v>8.0977208740504789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9.643901817411427</v>
      </c>
      <c r="DI43" s="22">
        <f t="shared" si="15"/>
        <v>17.741622691461906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</v>
      </c>
      <c r="DO43" s="12">
        <f>IF('Données projet'!$A$166&gt;35,DO42+DN43-DW42,IF(A43&lt;'Données projet'!$A$166,$DL$205^A43,IF(A43='Données projet'!$A$166,'Données projet'!$B$166,DO42+DN43-DW42)))</f>
        <v>120</v>
      </c>
      <c r="DP43" s="17">
        <f>DO43*VLOOKUP('Données projet'!$B$14,Paramètres!$A$1:$I$89,3,0)*VLOOKUP('Données projet'!$B$14,Paramètres!$A$1:$I$89,5,0)</f>
        <v>116.06400000000001</v>
      </c>
      <c r="DQ43" s="13">
        <f t="shared" si="43"/>
        <v>30.755217722036068</v>
      </c>
      <c r="DR43" s="20">
        <f t="shared" si="16"/>
        <v>255.71013753254616</v>
      </c>
      <c r="DS43" s="59">
        <f t="shared" si="17"/>
        <v>549.0434708658795</v>
      </c>
      <c r="DT43" s="59">
        <f ca="1">AVERAGE(OFFSET($DS$3,0,0,'Données projet'!$E$14+1,1))-AVERAGE(OFFSET($H$3,0,0,'Données projet'!$E$14+1,1))</f>
        <v>325.01961068962373</v>
      </c>
      <c r="DU43" s="59">
        <f t="shared" si="44"/>
        <v>155.12737608540039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192</v>
      </c>
      <c r="EH43" s="12">
        <f>VLOOKUP(A43,'Données projet'!$A$191:$I$211,9,0)</f>
        <v>9.6</v>
      </c>
      <c r="EI43" s="12">
        <f t="array" ref="EI43">INDEX(EH:EH,MIN(IF(ISNUMBER(EH43:EH239),ROW(EH43:EH239),"")))</f>
        <v>9.6</v>
      </c>
      <c r="EJ43" s="12">
        <f>IF('Données projet'!$A$192&gt;35,EJ42+EI43-ER42,IF(A43&lt;'Données projet'!$A$192,$EG$205^A43,IF(A43='Données projet'!$A$192,'Données projet'!$B$192,EJ42+EI43-ER42)))</f>
        <v>192</v>
      </c>
      <c r="EK43" s="17">
        <f>EJ43*VLOOKUP('Données projet'!$B$15,Paramètres!$A$1:$I$89,3,0)*VLOOKUP('Données projet'!$B$15,Paramètres!$A$1:$I$89,5,0)</f>
        <v>128.7936</v>
      </c>
      <c r="EL43" s="13">
        <f t="shared" si="45"/>
        <v>33.717444631501564</v>
      </c>
      <c r="EM43" s="20">
        <f t="shared" si="19"/>
        <v>283.04006939986522</v>
      </c>
      <c r="EN43" s="59">
        <f t="shared" si="20"/>
        <v>576.37340273319853</v>
      </c>
      <c r="EO43" s="59">
        <f ca="1">AVERAGE(OFFSET($EN$3,0,0,'Données projet'!$E$15+1,1))-AVERAGE(OFFSET($H$3,0,0,'Données projet'!$E$15+1,1))</f>
        <v>178.09619481964575</v>
      </c>
      <c r="EP43" s="59">
        <f t="shared" si="46"/>
        <v>178.65167777495174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0.159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0.4</v>
      </c>
      <c r="EV43" s="21">
        <f>EXP(-LN(2)/35)*EV42+(1-EXP(-LN(2)/35))/(LN(2)/35)*ER43*ES43*VLOOKUP('Données projet'!$B$15,Paramètres!$A$1:$I$89,3,0)*0.475*44/12</f>
        <v>6.2915151515610406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8.3417933871747341</v>
      </c>
      <c r="EY43" s="22">
        <f t="shared" si="21"/>
        <v>14.633308538735776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192</v>
      </c>
      <c r="FC43" s="12">
        <f>VLOOKUP(A43,'Données projet'!$A$217:$I$237,9,0)</f>
        <v>9.6</v>
      </c>
      <c r="FD43" s="12">
        <f t="array" ref="FD43">INDEX(FC:FC,MIN(IF(ISNUMBER(FC43:FC239),ROW(FC43:FC239),"")))</f>
        <v>9.6</v>
      </c>
      <c r="FE43" s="12">
        <f>IF('Données projet'!$A$218&gt;35,FE42+FD43-FM42,IF(A43&lt;'Données projet'!$A$218,$FB$205^A43,IF(A43='Données projet'!$A$218,'Données projet'!$B$218,FE42+FD43-FM42)))</f>
        <v>192</v>
      </c>
      <c r="FF43" s="17">
        <f>FE43*VLOOKUP('Données projet'!$B$16,Paramètres!$A$1:$I$89,3,0)*VLOOKUP('Données projet'!$B$16,Paramètres!$A$1:$I$89,5,0)</f>
        <v>152.7552</v>
      </c>
      <c r="FG43" s="13">
        <f t="shared" si="47"/>
        <v>39.204049895729561</v>
      </c>
      <c r="FH43" s="20">
        <f t="shared" si="22"/>
        <v>334.32902690172892</v>
      </c>
      <c r="FI43" s="59">
        <f t="shared" si="23"/>
        <v>627.66236023506224</v>
      </c>
      <c r="FJ43" s="59">
        <f ca="1">AVERAGE(OFFSET($FI$3,0,0,'Données projet'!$E$16+1,1))-AVERAGE(OFFSET($H$3,0,0,'Données projet'!$E$16+1,1))</f>
        <v>219.43439115440339</v>
      </c>
      <c r="FK43" s="59">
        <f t="shared" si="48"/>
        <v>217.8880462742099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0.159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0.4</v>
      </c>
      <c r="FQ43" s="21">
        <f>EXP(-LN(2)/35)*FQ42+(1-EXP(-LN(2)/35))/(LN(2)/35)*FM43*FN43*VLOOKUP('Données projet'!$B$16,Paramètres!$A$1:$I$89,3,0)*0.475*44/12</f>
        <v>7.4620295983630935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9.8937549475793336</v>
      </c>
      <c r="FT43" s="22">
        <f t="shared" si="24"/>
        <v>17.355784545942427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275</v>
      </c>
      <c r="FX43" s="12">
        <f>VLOOKUP(A43,'Données projet'!$A$243:$I$263,9,0)</f>
        <v>12.833333333333334</v>
      </c>
      <c r="FY43" s="12">
        <f t="array" ref="FY43">INDEX(FX:FX,MIN(IF(ISNUMBER(FX43:FX239),ROW(FX43:FX239),"")))</f>
        <v>12.833333333333334</v>
      </c>
      <c r="FZ43" s="12">
        <f>IF('Données projet'!$A$244&gt;35,FZ42+FY43-GH42,IF(A43&lt;'Données projet'!$A$244,$FW$205^A43,IF(A43='Données projet'!$A$244,'Données projet'!$B$244,FZ42+FY43-GH42)))</f>
        <v>275.00000000000006</v>
      </c>
      <c r="GA43" s="17">
        <f>FZ43*VLOOKUP('Données projet'!$B$17,Paramètres!$A$1:$I$89,3,0)*VLOOKUP('Données projet'!$B$17,Paramètres!$A$1:$I$89,5,0)</f>
        <v>164.45000000000005</v>
      </c>
      <c r="GB43" s="13">
        <f t="shared" si="49"/>
        <v>41.844617207687371</v>
      </c>
      <c r="GC43" s="20">
        <f t="shared" si="25"/>
        <v>359.29645830338887</v>
      </c>
      <c r="GD43" s="59">
        <f t="shared" si="26"/>
        <v>652.62979163672219</v>
      </c>
      <c r="GE43" s="59">
        <f ca="1">AVERAGE(OFFSET($GD$3,0,0,'Données projet'!$E$17+1,1))-AVERAGE(OFFSET($H$3,0,0,'Données projet'!$E$17+1,1))</f>
        <v>191.77102466144095</v>
      </c>
      <c r="GF43" s="59">
        <f t="shared" si="50"/>
        <v>205.57161411620217</v>
      </c>
      <c r="GG43" s="15">
        <f>IF(ISNA(VLOOKUP(A43,'Données projet'!$A$243:$I$263,3,0)),0,VLOOKUP(A43,'Données projet'!$A$243:$I$263,3,0))</f>
        <v>7</v>
      </c>
      <c r="GH43" s="15">
        <f>IF(ISNA(VLOOKUP(A43,'Données projet'!$A$243:$I$263,4,0)),0,VLOOKUP(A43,'Données projet'!$A$243:$I$263,4,0))</f>
        <v>41</v>
      </c>
      <c r="GI43" s="16">
        <f>IF(ISNA(VLOOKUP(A43,'Données projet'!$A$243:$I$263,5,0)),0%,VLOOKUP(A43,'Données projet'!$A$243:$I$263,5,0)*VLOOKUP('Données projet'!$B$17,Paramètres!$A$1:$I$89,7,0))</f>
        <v>0.22500000000000001</v>
      </c>
      <c r="GJ43" s="16">
        <f>IF(ISNA(VLOOKUP(A43,'Données projet'!$A$243:$I$263,6,0)),0%,VLOOKUP(A43,'Données projet'!$A$243:$I$263,6,0)*VLOOKUP('Données projet'!$B$17,Paramètres!$A$1:$I$89,7,0))</f>
        <v>0.13500000000000001</v>
      </c>
      <c r="GK43" s="16">
        <f>IF(ISNA(VLOOKUP(A43,'Données projet'!$A$243:$I$263,7,0)),0%,VLOOKUP(A43,'Données projet'!$A$243:$I$263,7,0))</f>
        <v>0.2</v>
      </c>
      <c r="GL43" s="21">
        <f>EXP(-LN(2)/35)*GL42+(1-EXP(-LN(2)/35))/(LN(2)/35)*GH43*GI43*VLOOKUP('Données projet'!$B$17,Paramètres!$A$1:$I$89,3,0)*0.475*44/12</f>
        <v>20.161464963087262</v>
      </c>
      <c r="GM43" s="21">
        <f>EXP(-LN(2)/25)*GM42+(1-EXP(-LN(2)/25))/(LN(2)/25)*Calculateur!GH43*Calculateur!GJ43*VLOOKUP('Données projet'!$B$17,Paramètres!$A$1:$I$89,3,0)*0.475*44/12</f>
        <v>18.375480271139029</v>
      </c>
      <c r="GN43" s="21">
        <f>EXP(-LN(2)/2)*GN42+(1-EXP(-LN(2)/2))/(LN(2)/2)*GH43*GK43*VLOOKUP('Données projet'!$B$17,Paramètres!$A$1:$I$89,3,0)*0.475*44/12</f>
        <v>6.481339285865352</v>
      </c>
      <c r="GO43" s="21">
        <f t="shared" si="27"/>
        <v>45.018284520091647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84.31577618130467</v>
      </c>
      <c r="T44" s="59">
        <f t="shared" si="34"/>
        <v>527.2140904310653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98.344232213991049</v>
      </c>
      <c r="AA44" s="21">
        <f>EXP(-LN(2)/25)*AA43+(1-EXP(-LN(2)/25))/(LN(2)/25)*Calculateur!V44*Calculateur!X44*VLOOKUP('Données projet'!$B$9,Paramètres!$A$1:$I$89,3,0)*0.475*44/12</f>
        <v>25.98169646007559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124.32592867406663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</v>
      </c>
      <c r="AI44" s="13">
        <f>IF('Données projet'!$A$62&gt;35,AI43+AH44-AQ43,IF(A44&lt;'Données projet'!$A$62,$AF$205^A44,IF(A44='Données projet'!$A$62,'Données projet'!$B$62,AI43+AH44-AQ43)))</f>
        <v>123</v>
      </c>
      <c r="AJ44" s="13">
        <f>AI44*VLOOKUP('Données projet'!$B$10,Paramètres!$A$1:$I$89,3,0)*VLOOKUP('Données projet'!$B$10,Paramètres!$A$1:$I$89,5,0)</f>
        <v>111.29039999999999</v>
      </c>
      <c r="AK44" s="13">
        <f t="shared" si="35"/>
        <v>29.634806205918245</v>
      </c>
      <c r="AL44" s="20">
        <f t="shared" si="4"/>
        <v>245.44473414197429</v>
      </c>
      <c r="AM44" s="59">
        <f t="shared" si="5"/>
        <v>538.77806747530758</v>
      </c>
      <c r="AN44" s="59">
        <f ca="1">AVERAGE(OFFSET($AM$3,0,0,'Données projet'!$E$10+1,1))-AVERAGE(OFFSET($H$3,0,0,'Données projet'!$E$10+1,1))</f>
        <v>297.90790572649428</v>
      </c>
      <c r="AO44" s="59">
        <f t="shared" si="36"/>
        <v>142.96889776844506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</v>
      </c>
      <c r="BD44" s="12">
        <f>IF('Données projet'!$A$88&gt;35,BD43+BC44-BL43,IF(A44&lt;'Données projet'!$A$88,$BA$205^A44,IF(A44='Données projet'!$A$88,'Données projet'!$B$88,BD43+BC44-BL43)))</f>
        <v>123</v>
      </c>
      <c r="BE44" s="13">
        <f>BD44*VLOOKUP('Données projet'!$B$11,Paramètres!$A$1:$I$89,3,0)*VLOOKUP('Données projet'!$B$11,Paramètres!$A$1:$I$89,5,0)</f>
        <v>124.72200000000001</v>
      </c>
      <c r="BF44" s="13">
        <f t="shared" si="37"/>
        <v>32.773842203086019</v>
      </c>
      <c r="BG44" s="20">
        <f t="shared" si="7"/>
        <v>274.3052585037081</v>
      </c>
      <c r="BH44" s="59">
        <f t="shared" si="8"/>
        <v>567.63859183704142</v>
      </c>
      <c r="BI44" s="59">
        <f ca="1">AVERAGE(OFFSET($BH$3,0,0,'Données projet'!$E$11+1,1))-AVERAGE(OFFSET($H$3,0,0,'Données projet'!$E$11+1,1))</f>
        <v>345.3294887586967</v>
      </c>
      <c r="BJ44" s="59">
        <f t="shared" si="38"/>
        <v>164.23448598618114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19</v>
      </c>
      <c r="BY44" s="12">
        <f>IF('Données projet'!$A$114&gt;35,BY43+BX44-CG43,IF(A44&lt;'Données projet'!$A$114,$BV$205^A44,IF(A44='Données projet'!$A$114,'Données projet'!$B$114,BY43+BX44-CG43)))</f>
        <v>242.00000000000006</v>
      </c>
      <c r="BZ44" s="13">
        <f>BY44*VLOOKUP('Données projet'!$B$12,Paramètres!$A$1:$I$89,3,0)*VLOOKUP('Données projet'!$B$12,Paramètres!$A$1:$I$89,5,0)</f>
        <v>144.71600000000007</v>
      </c>
      <c r="CA44" s="13">
        <f t="shared" si="39"/>
        <v>37.375282885096105</v>
      </c>
      <c r="CB44" s="20">
        <f t="shared" si="10"/>
        <v>317.14231769154247</v>
      </c>
      <c r="CC44" s="59">
        <f t="shared" si="11"/>
        <v>610.47565102487579</v>
      </c>
      <c r="CD44" s="59">
        <f ca="1">AVERAGE(OFFSET($CC$3,0,0,'Données projet'!$E$12+1,1))-AVERAGE(OFFSET($H$3,0,0,'Données projet'!$E$12+1,1))</f>
        <v>289.07218105343333</v>
      </c>
      <c r="CE44" s="59">
        <f t="shared" si="40"/>
        <v>217.57508587672368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25.604461851748493</v>
      </c>
      <c r="CM44" s="21">
        <f>EXP(-LN(2)/2)*CM43+(1-EXP(-LN(2)/2))/(LN(2)/2)*CG44*CJ44*VLOOKUP('Données projet'!$B$12,Paramètres!$A$1:$I$89,3,0)*0.475*44/12</f>
        <v>9.4671816542805978</v>
      </c>
      <c r="CN44" s="22">
        <f t="shared" si="12"/>
        <v>35.071643506029091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5.7</v>
      </c>
      <c r="CT44" s="12">
        <f>IF('Données projet'!$A$140&gt;35,CT43+CS44-DB43,IF(A44&lt;'Données projet'!$A$140,$CQ$205^A44,IF(A44='Données projet'!$A$140,'Données projet'!$B$140,CT43+CS44-DB43)))</f>
        <v>179.7000000000001</v>
      </c>
      <c r="CU44" s="17">
        <f>CT44*VLOOKUP('Données projet'!$B$13,Paramètres!$A$1:$I$89,3,0)*VLOOKUP('Données projet'!$B$13,Paramètres!$A$1:$I$89,5,0)</f>
        <v>156.98592000000011</v>
      </c>
      <c r="CV44" s="13">
        <f t="shared" si="41"/>
        <v>40.1619306207375</v>
      </c>
      <c r="CW44" s="20">
        <f t="shared" si="13"/>
        <v>343.36583983111797</v>
      </c>
      <c r="CX44" s="59">
        <f t="shared" si="14"/>
        <v>636.69917316445128</v>
      </c>
      <c r="CY44" s="59">
        <f ca="1">AVERAGE(OFFSET($CX$3,0,0,'Données projet'!$E$13+1,1))-AVERAGE(OFFSET($H$3,0,0,'Données projet'!$E$13+1,1))</f>
        <v>237.8483058552178</v>
      </c>
      <c r="CZ44" s="59">
        <f t="shared" si="42"/>
        <v>313.36201272119723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7.938929506832384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6.8192683721888905</v>
      </c>
      <c r="DI44" s="22">
        <f t="shared" si="15"/>
        <v>14.758197879021274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</v>
      </c>
      <c r="DO44" s="12">
        <f>IF('Données projet'!$A$166&gt;35,DO43+DN44-DW43,IF(A44&lt;'Données projet'!$A$166,$DL$205^A44,IF(A44='Données projet'!$A$166,'Données projet'!$B$166,DO43+DN44-DW43)))</f>
        <v>123</v>
      </c>
      <c r="DP44" s="17">
        <f>DO44*VLOOKUP('Données projet'!$B$14,Paramètres!$A$1:$I$89,3,0)*VLOOKUP('Données projet'!$B$14,Paramètres!$A$1:$I$89,5,0)</f>
        <v>118.96560000000001</v>
      </c>
      <c r="DQ44" s="13">
        <f t="shared" si="43"/>
        <v>31.433621056182272</v>
      </c>
      <c r="DR44" s="20">
        <f t="shared" si="16"/>
        <v>261.94531000618412</v>
      </c>
      <c r="DS44" s="59">
        <f t="shared" si="17"/>
        <v>555.27864333951743</v>
      </c>
      <c r="DT44" s="59">
        <f ca="1">AVERAGE(OFFSET($DS$3,0,0,'Données projet'!$E$14+1,1))-AVERAGE(OFFSET($H$3,0,0,'Données projet'!$E$14+1,1))</f>
        <v>325.01961068962373</v>
      </c>
      <c r="DU44" s="59">
        <f t="shared" si="44"/>
        <v>155.12737608540039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8.1999999999999993</v>
      </c>
      <c r="EJ44" s="12">
        <f>IF('Données projet'!$A$192&gt;35,EJ43+EI44-ER43,IF(A44&lt;'Données projet'!$A$192,$EG$205^A44,IF(A44='Données projet'!$A$192,'Données projet'!$B$192,EJ43+EI44-ER43)))</f>
        <v>172.2</v>
      </c>
      <c r="EK44" s="17">
        <f>EJ44*VLOOKUP('Données projet'!$B$15,Paramètres!$A$1:$I$89,3,0)*VLOOKUP('Données projet'!$B$15,Paramètres!$A$1:$I$89,5,0)</f>
        <v>115.51176</v>
      </c>
      <c r="EL44" s="13">
        <f t="shared" si="45"/>
        <v>30.625879972253081</v>
      </c>
      <c r="EM44" s="20">
        <f t="shared" si="19"/>
        <v>254.52305628500744</v>
      </c>
      <c r="EN44" s="59">
        <f t="shared" si="20"/>
        <v>547.8563896183407</v>
      </c>
      <c r="EO44" s="59">
        <f ca="1">AVERAGE(OFFSET($EN$3,0,0,'Données projet'!$E$15+1,1))-AVERAGE(OFFSET($H$3,0,0,'Données projet'!$E$15+1,1))</f>
        <v>178.09619481964575</v>
      </c>
      <c r="EP44" s="59">
        <f t="shared" si="46"/>
        <v>178.65167777495174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6.1681423768842549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5.8985386713283541</v>
      </c>
      <c r="EY44" s="22">
        <f t="shared" si="21"/>
        <v>12.066681048212608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8.1999999999999993</v>
      </c>
      <c r="FE44" s="12">
        <f>IF('Données projet'!$A$218&gt;35,FE43+FD44-FM43,IF(A44&lt;'Données projet'!$A$218,$FB$205^A44,IF(A44='Données projet'!$A$218,'Données projet'!$B$218,FE43+FD44-FM43)))</f>
        <v>172.2</v>
      </c>
      <c r="FF44" s="17">
        <f>FE44*VLOOKUP('Données projet'!$B$16,Paramètres!$A$1:$I$89,3,0)*VLOOKUP('Données projet'!$B$16,Paramètres!$A$1:$I$89,5,0)</f>
        <v>137.00232</v>
      </c>
      <c r="FG44" s="13">
        <f t="shared" si="47"/>
        <v>35.609416420931346</v>
      </c>
      <c r="FH44" s="20">
        <f t="shared" si="22"/>
        <v>300.63210759978875</v>
      </c>
      <c r="FI44" s="59">
        <f t="shared" si="23"/>
        <v>593.96544093312207</v>
      </c>
      <c r="FJ44" s="59">
        <f ca="1">AVERAGE(OFFSET($FI$3,0,0,'Données projet'!$E$16+1,1))-AVERAGE(OFFSET($H$3,0,0,'Données projet'!$E$16+1,1))</f>
        <v>219.43439115440339</v>
      </c>
      <c r="FK44" s="59">
        <f t="shared" si="48"/>
        <v>217.8880462742099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7.3157037493278363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6.9959412148313023</v>
      </c>
      <c r="FT44" s="22">
        <f t="shared" si="24"/>
        <v>14.311644964159139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9.8333333333333339</v>
      </c>
      <c r="FZ44" s="12">
        <f>IF('Données projet'!$A$244&gt;35,FZ43+FY44-GH43,IF(A44&lt;'Données projet'!$A$244,$FW$205^A44,IF(A44='Données projet'!$A$244,'Données projet'!$B$244,FZ43+FY44-GH43)))</f>
        <v>243.83333333333337</v>
      </c>
      <c r="GA44" s="17">
        <f>FZ44*VLOOKUP('Données projet'!$B$17,Paramètres!$A$1:$I$89,3,0)*VLOOKUP('Données projet'!$B$17,Paramètres!$A$1:$I$89,5,0)</f>
        <v>145.81233333333336</v>
      </c>
      <c r="GB44" s="13">
        <f t="shared" si="49"/>
        <v>37.625360763194948</v>
      </c>
      <c r="GC44" s="20">
        <f t="shared" si="25"/>
        <v>319.4873172181201</v>
      </c>
      <c r="GD44" s="59">
        <f t="shared" si="26"/>
        <v>612.82065055145335</v>
      </c>
      <c r="GE44" s="59">
        <f ca="1">AVERAGE(OFFSET($GD$3,0,0,'Données projet'!$E$17+1,1))-AVERAGE(OFFSET($H$3,0,0,'Données projet'!$E$17+1,1))</f>
        <v>191.77102466144095</v>
      </c>
      <c r="GF44" s="59">
        <f t="shared" si="50"/>
        <v>205.57161411620217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19.766110932440494</v>
      </c>
      <c r="GM44" s="21">
        <f>EXP(-LN(2)/25)*GM43+(1-EXP(-LN(2)/25))/(LN(2)/25)*Calculateur!GH44*Calculateur!GJ44*VLOOKUP('Données projet'!$B$17,Paramètres!$A$1:$I$89,3,0)*0.475*44/12</f>
        <v>17.873001796800221</v>
      </c>
      <c r="GN44" s="21">
        <f>EXP(-LN(2)/2)*GN43+(1-EXP(-LN(2)/2))/(LN(2)/2)*GH44*GK44*VLOOKUP('Données projet'!$B$17,Paramètres!$A$1:$I$89,3,0)*0.475*44/12</f>
        <v>4.582998960206166</v>
      </c>
      <c r="GO44" s="21">
        <f t="shared" si="27"/>
        <v>42.222111689446884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84.31577618130467</v>
      </c>
      <c r="T45" s="59">
        <f t="shared" si="34"/>
        <v>527.2140904310653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96.4157618043334</v>
      </c>
      <c r="AA45" s="21">
        <f>EXP(-LN(2)/25)*AA44+(1-EXP(-LN(2)/25))/(LN(2)/25)*Calculateur!V45*Calculateur!X45*VLOOKUP('Données projet'!$B$9,Paramètres!$A$1:$I$89,3,0)*0.475*44/12</f>
        <v>25.271225604056788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121.68698740839019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126</v>
      </c>
      <c r="AG45" s="12">
        <f>VLOOKUP(A45,'Données projet'!$A$61:$I$81,9,0)</f>
        <v>3</v>
      </c>
      <c r="AH45" s="12">
        <f t="array" ref="AH45">INDEX(AG:AG,MIN(IF(ISNUMBER(AG45:AG241),ROW(AG45:AG241),"")))</f>
        <v>3</v>
      </c>
      <c r="AI45" s="13">
        <f>IF('Données projet'!$A$62&gt;35,AI44+AH45-AQ44,IF(A45&lt;'Données projet'!$A$62,$AF$205^A45,IF(A45='Données projet'!$A$62,'Données projet'!$B$62,AI44+AH45-AQ44)))</f>
        <v>126</v>
      </c>
      <c r="AJ45" s="13">
        <f>AI45*VLOOKUP('Données projet'!$B$10,Paramètres!$A$1:$I$89,3,0)*VLOOKUP('Données projet'!$B$10,Paramètres!$A$1:$I$89,5,0)</f>
        <v>114.0048</v>
      </c>
      <c r="AK45" s="13">
        <f t="shared" si="35"/>
        <v>30.272573949217303</v>
      </c>
      <c r="AL45" s="20">
        <f t="shared" si="4"/>
        <v>251.28309296155342</v>
      </c>
      <c r="AM45" s="59">
        <f t="shared" si="5"/>
        <v>544.61642629488676</v>
      </c>
      <c r="AN45" s="59">
        <f ca="1">AVERAGE(OFFSET($AM$3,0,0,'Données projet'!$E$10+1,1))-AVERAGE(OFFSET($H$3,0,0,'Données projet'!$E$10+1,1))</f>
        <v>297.90790572649428</v>
      </c>
      <c r="AO45" s="59">
        <f t="shared" si="36"/>
        <v>142.96889776844506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30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126</v>
      </c>
      <c r="BB45" s="12">
        <f>VLOOKUP(A45,'Données projet'!$A$87:$I$107,9,0)</f>
        <v>3</v>
      </c>
      <c r="BC45" s="12">
        <f t="array" ref="BC45">INDEX(BB:BB,MIN(IF(ISNUMBER(BB45:BB241),ROW(BB45:BB241),"")))</f>
        <v>3</v>
      </c>
      <c r="BD45" s="12">
        <f>IF('Données projet'!$A$88&gt;35,BD44+BC45-BL44,IF(A45&lt;'Données projet'!$A$88,$BA$205^A45,IF(A45='Données projet'!$A$88,'Données projet'!$B$88,BD44+BC45-BL44)))</f>
        <v>126</v>
      </c>
      <c r="BE45" s="13">
        <f>BD45*VLOOKUP('Données projet'!$B$11,Paramètres!$A$1:$I$89,3,0)*VLOOKUP('Données projet'!$B$11,Paramètres!$A$1:$I$89,5,0)</f>
        <v>127.76400000000001</v>
      </c>
      <c r="BF45" s="13">
        <f t="shared" si="37"/>
        <v>33.479164830670051</v>
      </c>
      <c r="BG45" s="20">
        <f t="shared" si="7"/>
        <v>280.83184541341694</v>
      </c>
      <c r="BH45" s="59">
        <f t="shared" si="8"/>
        <v>574.16517874675026</v>
      </c>
      <c r="BI45" s="59">
        <f ca="1">AVERAGE(OFFSET($BH$3,0,0,'Données projet'!$E$11+1,1))-AVERAGE(OFFSET($H$3,0,0,'Données projet'!$E$11+1,1))</f>
        <v>345.3294887586967</v>
      </c>
      <c r="BJ45" s="59">
        <f t="shared" si="38"/>
        <v>164.23448598618114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30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19</v>
      </c>
      <c r="BY45" s="12">
        <f>IF('Données projet'!$A$114&gt;35,BY44+BX45-CG44,IF(A45&lt;'Données projet'!$A$114,$BV$205^A45,IF(A45='Données projet'!$A$114,'Données projet'!$B$114,BY44+BX45-CG44)))</f>
        <v>261.00000000000006</v>
      </c>
      <c r="BZ45" s="13">
        <f>BY45*VLOOKUP('Données projet'!$B$12,Paramètres!$A$1:$I$89,3,0)*VLOOKUP('Données projet'!$B$12,Paramètres!$A$1:$I$89,5,0)</f>
        <v>156.07800000000003</v>
      </c>
      <c r="CA45" s="13">
        <f t="shared" si="39"/>
        <v>39.956623674978466</v>
      </c>
      <c r="CB45" s="20">
        <f t="shared" si="10"/>
        <v>341.42696956725422</v>
      </c>
      <c r="CC45" s="59">
        <f t="shared" si="11"/>
        <v>634.76030290058748</v>
      </c>
      <c r="CD45" s="59">
        <f ca="1">AVERAGE(OFFSET($CC$3,0,0,'Données projet'!$E$12+1,1))-AVERAGE(OFFSET($H$3,0,0,'Données projet'!$E$12+1,1))</f>
        <v>289.07218105343333</v>
      </c>
      <c r="CE45" s="59">
        <f t="shared" si="40"/>
        <v>217.57508587672368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24.9043064959323</v>
      </c>
      <c r="CM45" s="21">
        <f>EXP(-LN(2)/2)*CM44+(1-EXP(-LN(2)/2))/(LN(2)/2)*CG45*CJ45*VLOOKUP('Données projet'!$B$12,Paramètres!$A$1:$I$89,3,0)*0.475*44/12</f>
        <v>6.6943083464666877</v>
      </c>
      <c r="CN45" s="22">
        <f t="shared" si="12"/>
        <v>31.598614842398987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5.7</v>
      </c>
      <c r="CT45" s="12">
        <f>IF('Données projet'!$A$140&gt;35,CT44+CS45-DB44,IF(A45&lt;'Données projet'!$A$140,$CQ$205^A45,IF(A45='Données projet'!$A$140,'Données projet'!$B$140,CT44+CS45-DB44)))</f>
        <v>185.40000000000009</v>
      </c>
      <c r="CU45" s="17">
        <f>CT45*VLOOKUP('Données projet'!$B$13,Paramètres!$A$1:$I$89,3,0)*VLOOKUP('Données projet'!$B$13,Paramètres!$A$1:$I$89,5,0)</f>
        <v>161.96544000000009</v>
      </c>
      <c r="CV45" s="13">
        <f t="shared" si="41"/>
        <v>41.285510388923619</v>
      </c>
      <c r="CW45" s="20">
        <f t="shared" si="13"/>
        <v>353.99540526070876</v>
      </c>
      <c r="CX45" s="59">
        <f t="shared" si="14"/>
        <v>647.32873859404208</v>
      </c>
      <c r="CY45" s="59">
        <f ca="1">AVERAGE(OFFSET($CX$3,0,0,'Données projet'!$E$13+1,1))-AVERAGE(OFFSET($H$3,0,0,'Données projet'!$E$13+1,1))</f>
        <v>237.8483058552178</v>
      </c>
      <c r="CZ45" s="59">
        <f t="shared" si="42"/>
        <v>313.36201272119723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7.7832519414722654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4.8219509087057144</v>
      </c>
      <c r="DI45" s="22">
        <f t="shared" si="15"/>
        <v>12.60520285017798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126</v>
      </c>
      <c r="DM45" s="12">
        <f>VLOOKUP(A45,'Données projet'!$A$165:$I$185,9,0)</f>
        <v>3</v>
      </c>
      <c r="DN45" s="12">
        <f t="array" ref="DN45">INDEX(DM:DM,MIN(IF(ISNUMBER(DM45:DM241),ROW(DM45:DM241),"")))</f>
        <v>3</v>
      </c>
      <c r="DO45" s="12">
        <f>IF('Données projet'!$A$166&gt;35,DO44+DN45-DW44,IF(A45&lt;'Données projet'!$A$166,$DL$205^A45,IF(A45='Données projet'!$A$166,'Données projet'!$B$166,DO44+DN45-DW44)))</f>
        <v>126</v>
      </c>
      <c r="DP45" s="17">
        <f>DO45*VLOOKUP('Données projet'!$B$14,Paramètres!$A$1:$I$89,3,0)*VLOOKUP('Données projet'!$B$14,Paramètres!$A$1:$I$89,5,0)</f>
        <v>121.86720000000001</v>
      </c>
      <c r="DQ45" s="13">
        <f t="shared" si="43"/>
        <v>32.110100916567376</v>
      </c>
      <c r="DR45" s="20">
        <f t="shared" si="16"/>
        <v>268.17713242968824</v>
      </c>
      <c r="DS45" s="59">
        <f t="shared" si="17"/>
        <v>561.51046576302156</v>
      </c>
      <c r="DT45" s="59">
        <f ca="1">AVERAGE(OFFSET($DS$3,0,0,'Données projet'!$E$14+1,1))-AVERAGE(OFFSET($H$3,0,0,'Données projet'!$E$14+1,1))</f>
        <v>325.01961068962373</v>
      </c>
      <c r="DU45" s="59">
        <f t="shared" si="44"/>
        <v>155.12737608540039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30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8.1999999999999993</v>
      </c>
      <c r="EJ45" s="12">
        <f>IF('Données projet'!$A$192&gt;35,EJ44+EI45-ER44,IF(A45&lt;'Données projet'!$A$192,$EG$205^A45,IF(A45='Données projet'!$A$192,'Données projet'!$B$192,EJ44+EI45-ER44)))</f>
        <v>180.39999999999998</v>
      </c>
      <c r="EK45" s="17">
        <f>EJ45*VLOOKUP('Données projet'!$B$15,Paramètres!$A$1:$I$89,3,0)*VLOOKUP('Données projet'!$B$15,Paramètres!$A$1:$I$89,5,0)</f>
        <v>121.01231999999999</v>
      </c>
      <c r="EL45" s="13">
        <f t="shared" si="45"/>
        <v>31.910990749554291</v>
      </c>
      <c r="EM45" s="20">
        <f t="shared" si="19"/>
        <v>266.34143288880705</v>
      </c>
      <c r="EN45" s="59">
        <f t="shared" si="20"/>
        <v>559.67476622214031</v>
      </c>
      <c r="EO45" s="59">
        <f ca="1">AVERAGE(OFFSET($EN$3,0,0,'Données projet'!$E$15+1,1))-AVERAGE(OFFSET($H$3,0,0,'Données projet'!$E$15+1,1))</f>
        <v>178.09619481964575</v>
      </c>
      <c r="EP45" s="59">
        <f t="shared" si="46"/>
        <v>178.65167777495174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6.0471888670689182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4.1708966935873679</v>
      </c>
      <c r="EY45" s="22">
        <f t="shared" si="21"/>
        <v>10.218085560656286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8.1999999999999993</v>
      </c>
      <c r="FE45" s="12">
        <f>IF('Données projet'!$A$218&gt;35,FE44+FD45-FM44,IF(A45&lt;'Données projet'!$A$218,$FB$205^A45,IF(A45='Données projet'!$A$218,'Données projet'!$B$218,FE44+FD45-FM44)))</f>
        <v>180.39999999999998</v>
      </c>
      <c r="FF45" s="17">
        <f>FE45*VLOOKUP('Données projet'!$B$16,Paramètres!$A$1:$I$89,3,0)*VLOOKUP('Données projet'!$B$16,Paramètres!$A$1:$I$89,5,0)</f>
        <v>143.52624</v>
      </c>
      <c r="FG45" s="13">
        <f t="shared" si="47"/>
        <v>37.103644337236275</v>
      </c>
      <c r="FH45" s="20">
        <f t="shared" si="22"/>
        <v>314.59704855401981</v>
      </c>
      <c r="FI45" s="59">
        <f t="shared" si="23"/>
        <v>607.93038188735318</v>
      </c>
      <c r="FJ45" s="59">
        <f ca="1">AVERAGE(OFFSET($FI$3,0,0,'Données projet'!$E$16+1,1))-AVERAGE(OFFSET($H$3,0,0,'Données projet'!$E$16+1,1))</f>
        <v>219.43439115440339</v>
      </c>
      <c r="FK45" s="59">
        <f t="shared" si="48"/>
        <v>217.8880462742099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7.1722472609422052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4.9468774737896677</v>
      </c>
      <c r="FT45" s="22">
        <f t="shared" si="24"/>
        <v>12.119124734731873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9.8333333333333339</v>
      </c>
      <c r="FZ45" s="12">
        <f>IF('Données projet'!$A$244&gt;35,FZ44+FY45-GH44,IF(A45&lt;'Données projet'!$A$244,$FW$205^A45,IF(A45='Données projet'!$A$244,'Données projet'!$B$244,FZ44+FY45-GH44)))</f>
        <v>253.66666666666671</v>
      </c>
      <c r="GA45" s="17">
        <f>FZ45*VLOOKUP('Données projet'!$B$17,Paramètres!$A$1:$I$89,3,0)*VLOOKUP('Données projet'!$B$17,Paramètres!$A$1:$I$89,5,0)</f>
        <v>151.6926666666667</v>
      </c>
      <c r="GB45" s="13">
        <f t="shared" si="49"/>
        <v>38.96299861908853</v>
      </c>
      <c r="GC45" s="20">
        <f t="shared" si="25"/>
        <v>332.05861703935699</v>
      </c>
      <c r="GD45" s="59">
        <f t="shared" si="26"/>
        <v>625.3919503726903</v>
      </c>
      <c r="GE45" s="59">
        <f ca="1">AVERAGE(OFFSET($GD$3,0,0,'Données projet'!$E$17+1,1))-AVERAGE(OFFSET($H$3,0,0,'Données projet'!$E$17+1,1))</f>
        <v>191.77102466144095</v>
      </c>
      <c r="GF45" s="59">
        <f t="shared" si="50"/>
        <v>205.57161411620217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19.378509553192561</v>
      </c>
      <c r="GM45" s="21">
        <f>EXP(-LN(2)/25)*GM44+(1-EXP(-LN(2)/25))/(LN(2)/25)*Calculateur!GH45*Calculateur!GJ45*VLOOKUP('Données projet'!$B$17,Paramètres!$A$1:$I$89,3,0)*0.475*44/12</f>
        <v>17.384263622766404</v>
      </c>
      <c r="GN45" s="21">
        <f>EXP(-LN(2)/2)*GN44+(1-EXP(-LN(2)/2))/(LN(2)/2)*GH45*GK45*VLOOKUP('Données projet'!$B$17,Paramètres!$A$1:$I$89,3,0)*0.475*44/12</f>
        <v>3.2406696429326765</v>
      </c>
      <c r="GO45" s="21">
        <f t="shared" si="27"/>
        <v>40.003442818891642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84.31577618130467</v>
      </c>
      <c r="T46" s="59">
        <f t="shared" si="34"/>
        <v>527.2140904310653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94.52510752315834</v>
      </c>
      <c r="AA46" s="21">
        <f>EXP(-LN(2)/25)*AA45+(1-EXP(-LN(2)/25))/(LN(2)/25)*Calculateur!V46*Calculateur!X46*VLOOKUP('Données projet'!$B$9,Paramètres!$A$1:$I$89,3,0)*0.475*44/12</f>
        <v>24.580182610957859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119.1052901341162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6.875</v>
      </c>
      <c r="AI46" s="13">
        <f>IF('Données projet'!$A$62&gt;35,AI45+AH46-AQ45,IF(A46&lt;'Données projet'!$A$62,$AF$205^A46,IF(A46='Données projet'!$A$62,'Données projet'!$B$62,AI45+AH46-AQ45)))</f>
        <v>102.875</v>
      </c>
      <c r="AJ46" s="13">
        <f>AI46*VLOOKUP('Données projet'!$B$10,Paramètres!$A$1:$I$89,3,0)*VLOOKUP('Données projet'!$B$10,Paramètres!$A$1:$I$89,5,0)</f>
        <v>93.081299999999999</v>
      </c>
      <c r="AK46" s="13">
        <f t="shared" si="35"/>
        <v>25.306898135221367</v>
      </c>
      <c r="AL46" s="20">
        <f t="shared" si="4"/>
        <v>206.19277841884386</v>
      </c>
      <c r="AM46" s="59">
        <f t="shared" si="5"/>
        <v>499.52611175217714</v>
      </c>
      <c r="AN46" s="59">
        <f ca="1">AVERAGE(OFFSET($AM$3,0,0,'Données projet'!$E$10+1,1))-AVERAGE(OFFSET($H$3,0,0,'Données projet'!$E$10+1,1))</f>
        <v>297.90790572649428</v>
      </c>
      <c r="AO46" s="59">
        <f t="shared" si="36"/>
        <v>142.96889776844506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6.875</v>
      </c>
      <c r="BD46" s="12">
        <f>IF('Données projet'!$A$88&gt;35,BD45+BC46-BL45,IF(A46&lt;'Données projet'!$A$88,$BA$205^A46,IF(A46='Données projet'!$A$88,'Données projet'!$B$88,BD45+BC46-BL45)))</f>
        <v>102.875</v>
      </c>
      <c r="BE46" s="13">
        <f>BD46*VLOOKUP('Données projet'!$B$11,Paramètres!$A$1:$I$89,3,0)*VLOOKUP('Données projet'!$B$11,Paramètres!$A$1:$I$89,5,0)</f>
        <v>104.31525000000001</v>
      </c>
      <c r="BF46" s="13">
        <f t="shared" si="37"/>
        <v>27.987504975405603</v>
      </c>
      <c r="BG46" s="20">
        <f t="shared" si="7"/>
        <v>230.42729824883145</v>
      </c>
      <c r="BH46" s="59">
        <f t="shared" si="8"/>
        <v>523.76063158216471</v>
      </c>
      <c r="BI46" s="59">
        <f ca="1">AVERAGE(OFFSET($BH$3,0,0,'Données projet'!$E$11+1,1))-AVERAGE(OFFSET($H$3,0,0,'Données projet'!$E$11+1,1))</f>
        <v>345.3294887586967</v>
      </c>
      <c r="BJ46" s="59">
        <f t="shared" si="38"/>
        <v>164.23448598618114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19</v>
      </c>
      <c r="BY46" s="12">
        <f>IF('Données projet'!$A$114&gt;35,BY45+BX46-CG45,IF(A46&lt;'Données projet'!$A$114,$BV$205^A46,IF(A46='Données projet'!$A$114,'Données projet'!$B$114,BY45+BX46-CG45)))</f>
        <v>280.00000000000006</v>
      </c>
      <c r="BZ46" s="13">
        <f>BY46*VLOOKUP('Données projet'!$B$12,Paramètres!$A$1:$I$89,3,0)*VLOOKUP('Données projet'!$B$12,Paramètres!$A$1:$I$89,5,0)</f>
        <v>167.44000000000005</v>
      </c>
      <c r="CA46" s="13">
        <f t="shared" si="39"/>
        <v>42.516163405082935</v>
      </c>
      <c r="CB46" s="20">
        <f t="shared" si="10"/>
        <v>365.67365126385283</v>
      </c>
      <c r="CC46" s="59">
        <f t="shared" si="11"/>
        <v>659.00698459718615</v>
      </c>
      <c r="CD46" s="59">
        <f ca="1">AVERAGE(OFFSET($CC$3,0,0,'Données projet'!$E$12+1,1))-AVERAGE(OFFSET($H$3,0,0,'Données projet'!$E$12+1,1))</f>
        <v>289.07218105343333</v>
      </c>
      <c r="CE46" s="59">
        <f t="shared" si="40"/>
        <v>217.57508587672368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24.22329692514047</v>
      </c>
      <c r="CM46" s="21">
        <f>EXP(-LN(2)/2)*CM45+(1-EXP(-LN(2)/2))/(LN(2)/2)*CG46*CJ46*VLOOKUP('Données projet'!$B$12,Paramètres!$A$1:$I$89,3,0)*0.475*44/12</f>
        <v>4.7335908271402989</v>
      </c>
      <c r="CN46" s="22">
        <f t="shared" si="12"/>
        <v>28.956887752280771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5.7</v>
      </c>
      <c r="CT46" s="12">
        <f>IF('Données projet'!$A$140&gt;35,CT45+CS46-DB45,IF(A46&lt;'Données projet'!$A$140,$CQ$205^A46,IF(A46='Données projet'!$A$140,'Données projet'!$B$140,CT45+CS46-DB45)))</f>
        <v>191.10000000000008</v>
      </c>
      <c r="CU46" s="17">
        <f>CT46*VLOOKUP('Données projet'!$B$13,Paramètres!$A$1:$I$89,3,0)*VLOOKUP('Données projet'!$B$13,Paramètres!$A$1:$I$89,5,0)</f>
        <v>166.94496000000009</v>
      </c>
      <c r="CV46" s="13">
        <f t="shared" si="41"/>
        <v>42.405075786649157</v>
      </c>
      <c r="CW46" s="20">
        <f t="shared" si="13"/>
        <v>364.61797899508082</v>
      </c>
      <c r="CX46" s="59">
        <f t="shared" si="14"/>
        <v>657.95131232841413</v>
      </c>
      <c r="CY46" s="59">
        <f ca="1">AVERAGE(OFFSET($CX$3,0,0,'Données projet'!$E$13+1,1))-AVERAGE(OFFSET($H$3,0,0,'Données projet'!$E$13+1,1))</f>
        <v>237.8483058552178</v>
      </c>
      <c r="CZ46" s="59">
        <f t="shared" si="42"/>
        <v>313.36201272119723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7.6306271182149201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3.4096341860944457</v>
      </c>
      <c r="DI46" s="22">
        <f t="shared" si="15"/>
        <v>11.040261304309366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6.875</v>
      </c>
      <c r="DO46" s="12">
        <f>IF('Données projet'!$A$166&gt;35,DO45+DN46-DW45,IF(A46&lt;'Données projet'!$A$166,$DL$205^A46,IF(A46='Données projet'!$A$166,'Données projet'!$B$166,DO45+DN46-DW45)))</f>
        <v>102.875</v>
      </c>
      <c r="DP46" s="17">
        <f>DO46*VLOOKUP('Données projet'!$B$14,Paramètres!$A$1:$I$89,3,0)*VLOOKUP('Données projet'!$B$14,Paramètres!$A$1:$I$89,5,0)</f>
        <v>99.500699999999995</v>
      </c>
      <c r="DQ46" s="13">
        <f t="shared" si="43"/>
        <v>26.843011577753824</v>
      </c>
      <c r="DR46" s="20">
        <f t="shared" si="16"/>
        <v>220.04863099792124</v>
      </c>
      <c r="DS46" s="59">
        <f t="shared" si="17"/>
        <v>513.38196433125449</v>
      </c>
      <c r="DT46" s="59">
        <f ca="1">AVERAGE(OFFSET($DS$3,0,0,'Données projet'!$E$14+1,1))-AVERAGE(OFFSET($H$3,0,0,'Données projet'!$E$14+1,1))</f>
        <v>325.01961068962373</v>
      </c>
      <c r="DU46" s="59">
        <f t="shared" si="44"/>
        <v>155.12737608540039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8.1999999999999993</v>
      </c>
      <c r="EJ46" s="12">
        <f>IF('Données projet'!$A$192&gt;35,EJ45+EI46-ER45,IF(A46&lt;'Données projet'!$A$192,$EG$205^A46,IF(A46='Données projet'!$A$192,'Données projet'!$B$192,EJ45+EI46-ER45)))</f>
        <v>188.59999999999997</v>
      </c>
      <c r="EK46" s="17">
        <f>EJ46*VLOOKUP('Données projet'!$B$15,Paramètres!$A$1:$I$89,3,0)*VLOOKUP('Données projet'!$B$15,Paramètres!$A$1:$I$89,5,0)</f>
        <v>126.51287999999998</v>
      </c>
      <c r="EL46" s="13">
        <f t="shared" si="45"/>
        <v>33.189317611674888</v>
      </c>
      <c r="EM46" s="20">
        <f t="shared" si="19"/>
        <v>278.14799417366703</v>
      </c>
      <c r="EN46" s="59">
        <f t="shared" si="20"/>
        <v>571.48132750700029</v>
      </c>
      <c r="EO46" s="59">
        <f ca="1">AVERAGE(OFFSET($EN$3,0,0,'Données projet'!$E$15+1,1))-AVERAGE(OFFSET($H$3,0,0,'Données projet'!$E$15+1,1))</f>
        <v>178.09619481964575</v>
      </c>
      <c r="EP46" s="59">
        <f t="shared" si="46"/>
        <v>178.65167777495174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5.9286071818067043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2.9492693356641779</v>
      </c>
      <c r="EY46" s="22">
        <f t="shared" si="21"/>
        <v>8.8778765174708827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8.1999999999999993</v>
      </c>
      <c r="FE46" s="12">
        <f>IF('Données projet'!$A$218&gt;35,FE45+FD46-FM45,IF(A46&lt;'Données projet'!$A$218,$FB$205^A46,IF(A46='Données projet'!$A$218,'Données projet'!$B$218,FE45+FD46-FM45)))</f>
        <v>188.59999999999997</v>
      </c>
      <c r="FF46" s="17">
        <f>FE46*VLOOKUP('Données projet'!$B$16,Paramètres!$A$1:$I$89,3,0)*VLOOKUP('Données projet'!$B$16,Paramètres!$A$1:$I$89,5,0)</f>
        <v>150.05015999999998</v>
      </c>
      <c r="FG46" s="13">
        <f t="shared" si="47"/>
        <v>38.589984439024569</v>
      </c>
      <c r="FH46" s="20">
        <f t="shared" si="22"/>
        <v>328.54825156463437</v>
      </c>
      <c r="FI46" s="59">
        <f t="shared" si="23"/>
        <v>621.88158489796774</v>
      </c>
      <c r="FJ46" s="59">
        <f ca="1">AVERAGE(OFFSET($FI$3,0,0,'Données projet'!$E$16+1,1))-AVERAGE(OFFSET($H$3,0,0,'Données projet'!$E$16+1,1))</f>
        <v>219.43439115440339</v>
      </c>
      <c r="FK46" s="59">
        <f t="shared" si="48"/>
        <v>217.8880462742099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7.031603866793998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3.4979706074156516</v>
      </c>
      <c r="FT46" s="22">
        <f t="shared" si="24"/>
        <v>10.52957447420965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9.8333333333333339</v>
      </c>
      <c r="FZ46" s="12">
        <f>IF('Données projet'!$A$244&gt;35,FZ45+FY46-GH45,IF(A46&lt;'Données projet'!$A$244,$FW$205^A46,IF(A46='Données projet'!$A$244,'Données projet'!$B$244,FZ45+FY46-GH45)))</f>
        <v>263.50000000000006</v>
      </c>
      <c r="GA46" s="17">
        <f>FZ46*VLOOKUP('Données projet'!$B$17,Paramètres!$A$1:$I$89,3,0)*VLOOKUP('Données projet'!$B$17,Paramètres!$A$1:$I$89,5,0)</f>
        <v>157.57300000000006</v>
      </c>
      <c r="GB46" s="13">
        <f t="shared" si="49"/>
        <v>40.294612761030372</v>
      </c>
      <c r="GC46" s="20">
        <f t="shared" si="25"/>
        <v>344.61942555879472</v>
      </c>
      <c r="GD46" s="59">
        <f t="shared" si="26"/>
        <v>637.95275889212803</v>
      </c>
      <c r="GE46" s="59">
        <f ca="1">AVERAGE(OFFSET($GD$3,0,0,'Données projet'!$E$17+1,1))-AVERAGE(OFFSET($H$3,0,0,'Données projet'!$E$17+1,1))</f>
        <v>191.77102466144095</v>
      </c>
      <c r="GF46" s="59">
        <f t="shared" si="50"/>
        <v>205.57161411620217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18.998508800578183</v>
      </c>
      <c r="GM46" s="21">
        <f>EXP(-LN(2)/25)*GM45+(1-EXP(-LN(2)/25))/(LN(2)/25)*Calculateur!GH46*Calculateur!GJ46*VLOOKUP('Données projet'!$B$17,Paramètres!$A$1:$I$89,3,0)*0.475*44/12</f>
        <v>16.908890019803167</v>
      </c>
      <c r="GN46" s="21">
        <f>EXP(-LN(2)/2)*GN45+(1-EXP(-LN(2)/2))/(LN(2)/2)*GH46*GK46*VLOOKUP('Données projet'!$B$17,Paramètres!$A$1:$I$89,3,0)*0.475*44/12</f>
        <v>2.2914994801030835</v>
      </c>
      <c r="GO46" s="21">
        <f t="shared" si="27"/>
        <v>38.19889830048443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84.31577618130467</v>
      </c>
      <c r="T47" s="59">
        <f t="shared" si="34"/>
        <v>527.2140904310653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92.671527819251878</v>
      </c>
      <c r="AA47" s="21">
        <f>EXP(-LN(2)/25)*AA46+(1-EXP(-LN(2)/25))/(LN(2)/25)*Calculateur!V47*Calculateur!X47*VLOOKUP('Données projet'!$B$9,Paramètres!$A$1:$I$89,3,0)*0.475*44/12</f>
        <v>23.908036224845592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116.57956404409747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6.875</v>
      </c>
      <c r="AI47" s="13">
        <f>IF('Données projet'!$A$62&gt;35,AI46+AH47-AQ46,IF(A47&lt;'Données projet'!$A$62,$AF$205^A47,IF(A47='Données projet'!$A$62,'Données projet'!$B$62,AI46+AH47-AQ46)))</f>
        <v>109.75</v>
      </c>
      <c r="AJ47" s="13">
        <f>AI47*VLOOKUP('Données projet'!$B$10,Paramètres!$A$1:$I$89,3,0)*VLOOKUP('Données projet'!$B$10,Paramètres!$A$1:$I$89,5,0)</f>
        <v>99.3018</v>
      </c>
      <c r="AK47" s="13">
        <f t="shared" si="35"/>
        <v>26.795593258779039</v>
      </c>
      <c r="AL47" s="20">
        <f t="shared" si="4"/>
        <v>219.61962659237349</v>
      </c>
      <c r="AM47" s="59">
        <f t="shared" si="5"/>
        <v>512.95295992570686</v>
      </c>
      <c r="AN47" s="59">
        <f ca="1">AVERAGE(OFFSET($AM$3,0,0,'Données projet'!$E$10+1,1))-AVERAGE(OFFSET($H$3,0,0,'Données projet'!$E$10+1,1))</f>
        <v>297.90790572649428</v>
      </c>
      <c r="AO47" s="59">
        <f t="shared" si="36"/>
        <v>142.96889776844506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6.875</v>
      </c>
      <c r="BD47" s="12">
        <f>IF('Données projet'!$A$88&gt;35,BD46+BC47-BL46,IF(A47&lt;'Données projet'!$A$88,$BA$205^A47,IF(A47='Données projet'!$A$88,'Données projet'!$B$88,BD46+BC47-BL46)))</f>
        <v>109.75</v>
      </c>
      <c r="BE47" s="13">
        <f>BD47*VLOOKUP('Données projet'!$B$11,Paramètres!$A$1:$I$89,3,0)*VLOOKUP('Données projet'!$B$11,Paramètres!$A$1:$I$89,5,0)</f>
        <v>111.28650000000002</v>
      </c>
      <c r="BF47" s="13">
        <f t="shared" si="37"/>
        <v>29.633888580176372</v>
      </c>
      <c r="BG47" s="20">
        <f t="shared" si="7"/>
        <v>245.4363434438072</v>
      </c>
      <c r="BH47" s="59">
        <f t="shared" si="8"/>
        <v>538.76967677714049</v>
      </c>
      <c r="BI47" s="59">
        <f ca="1">AVERAGE(OFFSET($BH$3,0,0,'Données projet'!$E$11+1,1))-AVERAGE(OFFSET($H$3,0,0,'Données projet'!$E$11+1,1))</f>
        <v>345.3294887586967</v>
      </c>
      <c r="BJ47" s="59">
        <f t="shared" si="38"/>
        <v>164.23448598618114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19</v>
      </c>
      <c r="BY47" s="12">
        <f>IF('Données projet'!$A$114&gt;35,BY46+BX47-CG46,IF(A47&lt;'Données projet'!$A$114,$BV$205^A47,IF(A47='Données projet'!$A$114,'Données projet'!$B$114,BY46+BX47-CG46)))</f>
        <v>299.00000000000006</v>
      </c>
      <c r="BZ47" s="13">
        <f>BY47*VLOOKUP('Données projet'!$B$12,Paramètres!$A$1:$I$89,3,0)*VLOOKUP('Données projet'!$B$12,Paramètres!$A$1:$I$89,5,0)</f>
        <v>178.80200000000002</v>
      </c>
      <c r="CA47" s="13">
        <f t="shared" si="39"/>
        <v>45.055549739375941</v>
      </c>
      <c r="CB47" s="20">
        <f t="shared" si="10"/>
        <v>389.88523246274644</v>
      </c>
      <c r="CC47" s="59">
        <f t="shared" si="11"/>
        <v>683.2185657960797</v>
      </c>
      <c r="CD47" s="59">
        <f ca="1">AVERAGE(OFFSET($CC$3,0,0,'Données projet'!$E$12+1,1))-AVERAGE(OFFSET($H$3,0,0,'Données projet'!$E$12+1,1))</f>
        <v>289.07218105343333</v>
      </c>
      <c r="CE47" s="59">
        <f t="shared" si="40"/>
        <v>217.57508587672368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23.560909596874684</v>
      </c>
      <c r="CM47" s="21">
        <f>EXP(-LN(2)/2)*CM46+(1-EXP(-LN(2)/2))/(LN(2)/2)*CG47*CJ47*VLOOKUP('Données projet'!$B$12,Paramètres!$A$1:$I$89,3,0)*0.475*44/12</f>
        <v>3.3471541732333439</v>
      </c>
      <c r="CN47" s="22">
        <f t="shared" si="12"/>
        <v>26.908063770108029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5.7</v>
      </c>
      <c r="CT47" s="12">
        <f>IF('Données projet'!$A$140&gt;35,CT46+CS47-DB46,IF(A47&lt;'Données projet'!$A$140,$CQ$205^A47,IF(A47='Données projet'!$A$140,'Données projet'!$B$140,CT46+CS47-DB46)))</f>
        <v>196.80000000000007</v>
      </c>
      <c r="CU47" s="17">
        <f>CT47*VLOOKUP('Données projet'!$B$13,Paramètres!$A$1:$I$89,3,0)*VLOOKUP('Données projet'!$B$13,Paramètres!$A$1:$I$89,5,0)</f>
        <v>171.9244800000001</v>
      </c>
      <c r="CV47" s="13">
        <f t="shared" si="41"/>
        <v>43.520760297647755</v>
      </c>
      <c r="CW47" s="20">
        <f t="shared" si="13"/>
        <v>375.23379351840327</v>
      </c>
      <c r="CX47" s="59">
        <f t="shared" si="14"/>
        <v>668.56712685173659</v>
      </c>
      <c r="CY47" s="59">
        <f ca="1">AVERAGE(OFFSET($CX$3,0,0,'Données projet'!$E$13+1,1))-AVERAGE(OFFSET($H$3,0,0,'Données projet'!$E$13+1,1))</f>
        <v>237.8483058552178</v>
      </c>
      <c r="CZ47" s="59">
        <f t="shared" si="42"/>
        <v>313.36201272119723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7.480995174649701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2.4109754543528576</v>
      </c>
      <c r="DI47" s="22">
        <f t="shared" si="15"/>
        <v>9.8919706290025591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6.875</v>
      </c>
      <c r="DO47" s="12">
        <f>IF('Données projet'!$A$166&gt;35,DO46+DN47-DW46,IF(A47&lt;'Données projet'!$A$166,$DL$205^A47,IF(A47='Données projet'!$A$166,'Données projet'!$B$166,DO46+DN47-DW46)))</f>
        <v>109.75</v>
      </c>
      <c r="DP47" s="17">
        <f>DO47*VLOOKUP('Données projet'!$B$14,Paramètres!$A$1:$I$89,3,0)*VLOOKUP('Données projet'!$B$14,Paramètres!$A$1:$I$89,5,0)</f>
        <v>106.15020000000001</v>
      </c>
      <c r="DQ47" s="13">
        <f t="shared" si="43"/>
        <v>28.422069596792049</v>
      </c>
      <c r="DR47" s="20">
        <f t="shared" si="16"/>
        <v>234.38003621441283</v>
      </c>
      <c r="DS47" s="59">
        <f t="shared" si="17"/>
        <v>527.7133695477462</v>
      </c>
      <c r="DT47" s="59">
        <f ca="1">AVERAGE(OFFSET($DS$3,0,0,'Données projet'!$E$14+1,1))-AVERAGE(OFFSET($H$3,0,0,'Données projet'!$E$14+1,1))</f>
        <v>325.01961068962373</v>
      </c>
      <c r="DU47" s="59">
        <f t="shared" si="44"/>
        <v>155.12737608540039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8.1999999999999993</v>
      </c>
      <c r="EJ47" s="12">
        <f>IF('Données projet'!$A$192&gt;35,EJ46+EI47-ER46,IF(A47&lt;'Données projet'!$A$192,$EG$205^A47,IF(A47='Données projet'!$A$192,'Données projet'!$B$192,EJ46+EI47-ER46)))</f>
        <v>196.79999999999995</v>
      </c>
      <c r="EK47" s="17">
        <f>EJ47*VLOOKUP('Données projet'!$B$15,Paramètres!$A$1:$I$89,3,0)*VLOOKUP('Données projet'!$B$15,Paramètres!$A$1:$I$89,5,0)</f>
        <v>132.01343999999997</v>
      </c>
      <c r="EL47" s="13">
        <f t="shared" si="45"/>
        <v>34.461189223513074</v>
      </c>
      <c r="EM47" s="20">
        <f t="shared" si="19"/>
        <v>289.94331256428518</v>
      </c>
      <c r="EN47" s="59">
        <f t="shared" si="20"/>
        <v>583.27664589761844</v>
      </c>
      <c r="EO47" s="59">
        <f ca="1">AVERAGE(OFFSET($EN$3,0,0,'Données projet'!$E$15+1,1))-AVERAGE(OFFSET($H$3,0,0,'Données projet'!$E$15+1,1))</f>
        <v>178.09619481964575</v>
      </c>
      <c r="EP47" s="59">
        <f t="shared" si="46"/>
        <v>178.65167777495174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5.8123508110647961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2.0854483467936844</v>
      </c>
      <c r="EY47" s="22">
        <f t="shared" si="21"/>
        <v>7.897799157858481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8.1999999999999993</v>
      </c>
      <c r="FE47" s="12">
        <f>IF('Données projet'!$A$218&gt;35,FE46+FD47-FM46,IF(A47&lt;'Données projet'!$A$218,$FB$205^A47,IF(A47='Données projet'!$A$218,'Données projet'!$B$218,FE46+FD47-FM46)))</f>
        <v>196.79999999999995</v>
      </c>
      <c r="FF47" s="17">
        <f>FE47*VLOOKUP('Données projet'!$B$16,Paramètres!$A$1:$I$89,3,0)*VLOOKUP('Données projet'!$B$16,Paramètres!$A$1:$I$89,5,0)</f>
        <v>156.57407999999998</v>
      </c>
      <c r="FG47" s="13">
        <f t="shared" si="47"/>
        <v>40.068818872547467</v>
      </c>
      <c r="FH47" s="20">
        <f t="shared" si="22"/>
        <v>342.48638220302013</v>
      </c>
      <c r="FI47" s="59">
        <f t="shared" si="23"/>
        <v>635.81971553635344</v>
      </c>
      <c r="FJ47" s="59">
        <f ca="1">AVERAGE(OFFSET($FI$3,0,0,'Données projet'!$E$16+1,1))-AVERAGE(OFFSET($H$3,0,0,'Données projet'!$E$16+1,1))</f>
        <v>219.43439115440339</v>
      </c>
      <c r="FK47" s="59">
        <f t="shared" si="48"/>
        <v>217.8880462742099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6.8937184038210368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2.4734387368948338</v>
      </c>
      <c r="FT47" s="22">
        <f t="shared" si="24"/>
        <v>9.3671571407158716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9.8333333333333339</v>
      </c>
      <c r="FZ47" s="12">
        <f>IF('Données projet'!$A$244&gt;35,FZ46+FY47-GH46,IF(A47&lt;'Données projet'!$A$244,$FW$205^A47,IF(A47='Données projet'!$A$244,'Données projet'!$B$244,FZ46+FY47-GH46)))</f>
        <v>273.33333333333337</v>
      </c>
      <c r="GA47" s="17">
        <f>FZ47*VLOOKUP('Données projet'!$B$17,Paramètres!$A$1:$I$89,3,0)*VLOOKUP('Données projet'!$B$17,Paramètres!$A$1:$I$89,5,0)</f>
        <v>163.45333333333338</v>
      </c>
      <c r="GB47" s="13">
        <f t="shared" si="49"/>
        <v>41.620453722976563</v>
      </c>
      <c r="GC47" s="20">
        <f t="shared" si="25"/>
        <v>357.17017912307307</v>
      </c>
      <c r="GD47" s="59">
        <f t="shared" si="26"/>
        <v>650.50351245640638</v>
      </c>
      <c r="GE47" s="59">
        <f ca="1">AVERAGE(OFFSET($GD$3,0,0,'Données projet'!$E$17+1,1))-AVERAGE(OFFSET($H$3,0,0,'Données projet'!$E$17+1,1))</f>
        <v>191.77102466144095</v>
      </c>
      <c r="GF47" s="59">
        <f t="shared" si="50"/>
        <v>205.57161411620217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18.625959630944998</v>
      </c>
      <c r="GM47" s="21">
        <f>EXP(-LN(2)/25)*GM46+(1-EXP(-LN(2)/25))/(LN(2)/25)*Calculateur!GH47*Calculateur!GJ47*VLOOKUP('Données projet'!$B$17,Paramètres!$A$1:$I$89,3,0)*0.475*44/12</f>
        <v>16.44651553301177</v>
      </c>
      <c r="GN47" s="21">
        <f>EXP(-LN(2)/2)*GN46+(1-EXP(-LN(2)/2))/(LN(2)/2)*GH47*GK47*VLOOKUP('Données projet'!$B$17,Paramètres!$A$1:$I$89,3,0)*0.475*44/12</f>
        <v>1.6203348214663387</v>
      </c>
      <c r="GO47" s="21">
        <f t="shared" si="27"/>
        <v>36.692809985423104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84.31577618130467</v>
      </c>
      <c r="T48" s="59">
        <f t="shared" si="34"/>
        <v>527.2140904310653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90.854295682767031</v>
      </c>
      <c r="AA48" s="21">
        <f>EXP(-LN(2)/25)*AA47+(1-EXP(-LN(2)/25))/(LN(2)/25)*Calculateur!V48*Calculateur!X48*VLOOKUP('Données projet'!$B$9,Paramètres!$A$1:$I$89,3,0)*0.475*44/12</f>
        <v>23.254269717008206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114.10856539977524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6.875</v>
      </c>
      <c r="AI48" s="13">
        <f>IF('Données projet'!$A$62&gt;35,AI47+AH48-AQ47,IF(A48&lt;'Données projet'!$A$62,$AF$205^A48,IF(A48='Données projet'!$A$62,'Données projet'!$B$62,AI47+AH48-AQ47)))</f>
        <v>116.625</v>
      </c>
      <c r="AJ48" s="13">
        <f>AI48*VLOOKUP('Données projet'!$B$10,Paramètres!$A$1:$I$89,3,0)*VLOOKUP('Données projet'!$B$10,Paramètres!$A$1:$I$89,5,0)</f>
        <v>105.5223</v>
      </c>
      <c r="AK48" s="13">
        <f t="shared" si="35"/>
        <v>28.273465463649</v>
      </c>
      <c r="AL48" s="20">
        <f t="shared" si="4"/>
        <v>233.02762484918864</v>
      </c>
      <c r="AM48" s="59">
        <f t="shared" si="5"/>
        <v>526.36095818252193</v>
      </c>
      <c r="AN48" s="59">
        <f ca="1">AVERAGE(OFFSET($AM$3,0,0,'Données projet'!$E$10+1,1))-AVERAGE(OFFSET($H$3,0,0,'Données projet'!$E$10+1,1))</f>
        <v>297.90790572649428</v>
      </c>
      <c r="AO48" s="59">
        <f t="shared" si="36"/>
        <v>142.96889776844506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6.875</v>
      </c>
      <c r="BD48" s="12">
        <f>IF('Données projet'!$A$88&gt;35,BD47+BC48-BL47,IF(A48&lt;'Données projet'!$A$88,$BA$205^A48,IF(A48='Données projet'!$A$88,'Données projet'!$B$88,BD47+BC48-BL47)))</f>
        <v>116.625</v>
      </c>
      <c r="BE48" s="13">
        <f>BD48*VLOOKUP('Données projet'!$B$11,Paramètres!$A$1:$I$89,3,0)*VLOOKUP('Données projet'!$B$11,Paramètres!$A$1:$I$89,5,0)</f>
        <v>118.25775000000002</v>
      </c>
      <c r="BF48" s="13">
        <f t="shared" si="37"/>
        <v>31.268302859864225</v>
      </c>
      <c r="BG48" s="20">
        <f t="shared" si="7"/>
        <v>260.42454206426356</v>
      </c>
      <c r="BH48" s="59">
        <f t="shared" si="8"/>
        <v>553.75787539759688</v>
      </c>
      <c r="BI48" s="59">
        <f ca="1">AVERAGE(OFFSET($BH$3,0,0,'Données projet'!$E$11+1,1))-AVERAGE(OFFSET($H$3,0,0,'Données projet'!$E$11+1,1))</f>
        <v>345.3294887586967</v>
      </c>
      <c r="BJ48" s="59">
        <f t="shared" si="38"/>
        <v>164.23448598618114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318</v>
      </c>
      <c r="BW48" s="12">
        <f>VLOOKUP(A48,'Données projet'!$A$113:$I$133,9,0)</f>
        <v>19</v>
      </c>
      <c r="BX48" s="12">
        <f t="array" ref="BX48">INDEX(BW:BW,MIN(IF(ISNUMBER(BW48:BW244),ROW(BW48:BW244),"")))</f>
        <v>19</v>
      </c>
      <c r="BY48" s="12">
        <f>IF('Données projet'!$A$114&gt;35,BY47+BX48-CG47,IF(A48&lt;'Données projet'!$A$114,$BV$205^A48,IF(A48='Données projet'!$A$114,'Données projet'!$B$114,BY47+BX48-CG47)))</f>
        <v>318.00000000000006</v>
      </c>
      <c r="BZ48" s="13">
        <f>BY48*VLOOKUP('Données projet'!$B$12,Paramètres!$A$1:$I$89,3,0)*VLOOKUP('Données projet'!$B$12,Paramètres!$A$1:$I$89,5,0)</f>
        <v>190.16400000000004</v>
      </c>
      <c r="CA48" s="13">
        <f t="shared" si="39"/>
        <v>47.576209101852911</v>
      </c>
      <c r="CB48" s="20">
        <f t="shared" si="10"/>
        <v>414.06419751906054</v>
      </c>
      <c r="CC48" s="59">
        <f t="shared" si="11"/>
        <v>707.39753085239386</v>
      </c>
      <c r="CD48" s="59">
        <f ca="1">AVERAGE(OFFSET($CC$3,0,0,'Données projet'!$E$12+1,1))-AVERAGE(OFFSET($H$3,0,0,'Données projet'!$E$12+1,1))</f>
        <v>289.07218105343333</v>
      </c>
      <c r="CE48" s="59">
        <f t="shared" si="40"/>
        <v>217.57508587672368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53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0.27</v>
      </c>
      <c r="CJ48" s="16">
        <f>IF(ISNA(VLOOKUP(A48,'Données projet'!$A$113:$I$133,7,0)),0%,VLOOKUP(A48,'Données projet'!$A$113:$I$133,7,0))</f>
        <v>0.4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34.223854605361858</v>
      </c>
      <c r="CM48" s="21">
        <f>EXP(-LN(2)/2)*CM47+(1-EXP(-LN(2)/2))/(LN(2)/2)*CG48*CJ48*VLOOKUP('Données projet'!$B$12,Paramètres!$A$1:$I$89,3,0)*0.475*44/12</f>
        <v>16.720783588691674</v>
      </c>
      <c r="CN48" s="22">
        <f t="shared" si="12"/>
        <v>50.944638194053532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5.7</v>
      </c>
      <c r="CT48" s="12">
        <f>IF('Données projet'!$A$140&gt;35,CT47+CS48-DB47,IF(A48&lt;'Données projet'!$A$140,$CQ$205^A48,IF(A48='Données projet'!$A$140,'Données projet'!$B$140,CT47+CS48-DB47)))</f>
        <v>202.50000000000006</v>
      </c>
      <c r="CU48" s="17">
        <f>CT48*VLOOKUP('Données projet'!$B$13,Paramètres!$A$1:$I$89,3,0)*VLOOKUP('Données projet'!$B$13,Paramètres!$A$1:$I$89,5,0)</f>
        <v>176.90400000000008</v>
      </c>
      <c r="CV48" s="13">
        <f t="shared" si="41"/>
        <v>44.6326892336632</v>
      </c>
      <c r="CW48" s="20">
        <f t="shared" si="13"/>
        <v>385.84306708196351</v>
      </c>
      <c r="CX48" s="59">
        <f t="shared" si="14"/>
        <v>679.17640041529683</v>
      </c>
      <c r="CY48" s="59">
        <f ca="1">AVERAGE(OFFSET($CX$3,0,0,'Données projet'!$E$13+1,1))-AVERAGE(OFFSET($H$3,0,0,'Données projet'!$E$13+1,1))</f>
        <v>237.8483058552178</v>
      </c>
      <c r="CZ48" s="59">
        <f t="shared" si="42"/>
        <v>313.36201272119723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7.3342974222313222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1.7048170930472233</v>
      </c>
      <c r="DI48" s="22">
        <f t="shared" si="15"/>
        <v>9.0391145152785448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6.875</v>
      </c>
      <c r="DO48" s="12">
        <f>IF('Données projet'!$A$166&gt;35,DO47+DN48-DW47,IF(A48&lt;'Données projet'!$A$166,$DL$205^A48,IF(A48='Données projet'!$A$166,'Données projet'!$B$166,DO47+DN48-DW47)))</f>
        <v>116.625</v>
      </c>
      <c r="DP48" s="17">
        <f>DO48*VLOOKUP('Données projet'!$B$14,Paramètres!$A$1:$I$89,3,0)*VLOOKUP('Données projet'!$B$14,Paramètres!$A$1:$I$89,5,0)</f>
        <v>112.79970000000002</v>
      </c>
      <c r="DQ48" s="13">
        <f t="shared" si="43"/>
        <v>29.989647752510471</v>
      </c>
      <c r="DR48" s="20">
        <f t="shared" si="16"/>
        <v>248.69144733562243</v>
      </c>
      <c r="DS48" s="59">
        <f t="shared" si="17"/>
        <v>542.02478066895571</v>
      </c>
      <c r="DT48" s="59">
        <f ca="1">AVERAGE(OFFSET($DS$3,0,0,'Données projet'!$E$14+1,1))-AVERAGE(OFFSET($H$3,0,0,'Données projet'!$E$14+1,1))</f>
        <v>325.01961068962373</v>
      </c>
      <c r="DU48" s="59">
        <f t="shared" si="44"/>
        <v>155.12737608540039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205</v>
      </c>
      <c r="EH48" s="12">
        <f>VLOOKUP(A48,'Données projet'!$A$191:$I$211,9,0)</f>
        <v>8.1999999999999993</v>
      </c>
      <c r="EI48" s="12">
        <f t="array" ref="EI48">INDEX(EH:EH,MIN(IF(ISNUMBER(EH48:EH244),ROW(EH48:EH244),"")))</f>
        <v>8.1999999999999993</v>
      </c>
      <c r="EJ48" s="12">
        <f>IF('Données projet'!$A$192&gt;35,EJ47+EI48-ER47,IF(A48&lt;'Données projet'!$A$192,$EG$205^A48,IF(A48='Données projet'!$A$192,'Données projet'!$B$192,EJ47+EI48-ER47)))</f>
        <v>204.99999999999994</v>
      </c>
      <c r="EK48" s="17">
        <f>EJ48*VLOOKUP('Données projet'!$B$15,Paramètres!$A$1:$I$89,3,0)*VLOOKUP('Données projet'!$B$15,Paramètres!$A$1:$I$89,5,0)</f>
        <v>137.51399999999998</v>
      </c>
      <c r="EL48" s="13">
        <f t="shared" si="45"/>
        <v>35.726905311681854</v>
      </c>
      <c r="EM48" s="20">
        <f t="shared" si="19"/>
        <v>301.72791008451253</v>
      </c>
      <c r="EN48" s="59">
        <f t="shared" si="20"/>
        <v>595.06124341784584</v>
      </c>
      <c r="EO48" s="59">
        <f ca="1">AVERAGE(OFFSET($EN$3,0,0,'Données projet'!$E$15+1,1))-AVERAGE(OFFSET($H$3,0,0,'Données projet'!$E$15+1,1))</f>
        <v>178.09619481964575</v>
      </c>
      <c r="EP48" s="59">
        <f t="shared" si="46"/>
        <v>178.65167777495174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22</v>
      </c>
      <c r="ES48" s="16">
        <f>IF(ISNA(VLOOKUP(A48,'Données projet'!$A$191:$I$211,5,0)),0%,VLOOKUP(A48,'Données projet'!$A$191:$I$211,5,0)*VLOOKUP('Données projet'!$B$15,Paramètres!$A$1:$I$89,7,0))</f>
        <v>0.159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0.4</v>
      </c>
      <c r="EV48" s="21">
        <f>EXP(-LN(2)/35)*EV47+(1-EXP(-LN(2)/35))/(LN(2)/35)*ER48*ES48*VLOOKUP('Données projet'!$B$15,Paramètres!$A$1:$I$89,3,0)*0.475*44/12</f>
        <v>8.292314414850031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7.044311785824279</v>
      </c>
      <c r="EY48" s="22">
        <f t="shared" si="21"/>
        <v>15.33662620067431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205</v>
      </c>
      <c r="FC48" s="12">
        <f>VLOOKUP(A48,'Données projet'!$A$217:$I$237,9,0)</f>
        <v>8.1999999999999993</v>
      </c>
      <c r="FD48" s="12">
        <f t="array" ref="FD48">INDEX(FC:FC,MIN(IF(ISNUMBER(FC48:FC244),ROW(FC48:FC244),"")))</f>
        <v>8.1999999999999993</v>
      </c>
      <c r="FE48" s="12">
        <f>IF('Données projet'!$A$218&gt;35,FE47+FD48-FM47,IF(A48&lt;'Données projet'!$A$218,$FB$205^A48,IF(A48='Données projet'!$A$218,'Données projet'!$B$218,FE47+FD48-FM47)))</f>
        <v>204.99999999999994</v>
      </c>
      <c r="FF48" s="17">
        <f>FE48*VLOOKUP('Données projet'!$B$16,Paramètres!$A$1:$I$89,3,0)*VLOOKUP('Données projet'!$B$16,Paramètres!$A$1:$I$89,5,0)</f>
        <v>163.09799999999996</v>
      </c>
      <c r="FG48" s="13">
        <f t="shared" si="47"/>
        <v>41.540496136845142</v>
      </c>
      <c r="FH48" s="20">
        <f t="shared" si="22"/>
        <v>356.4120474383385</v>
      </c>
      <c r="FI48" s="59">
        <f t="shared" si="23"/>
        <v>649.74538077167176</v>
      </c>
      <c r="FJ48" s="59">
        <f ca="1">AVERAGE(OFFSET($FI$3,0,0,'Données projet'!$E$16+1,1))-AVERAGE(OFFSET($H$3,0,0,'Données projet'!$E$16+1,1))</f>
        <v>219.43439115440339</v>
      </c>
      <c r="FK48" s="59">
        <f t="shared" si="48"/>
        <v>217.8880462742099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0.159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0.4</v>
      </c>
      <c r="FQ48" s="21">
        <f>EXP(-LN(2)/35)*FQ47+(1-EXP(-LN(2)/35))/(LN(2)/35)*FM48*FN48*VLOOKUP('Données projet'!$B$16,Paramètres!$A$1:$I$89,3,0)*0.475*44/12</f>
        <v>9.8350705850546891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8.3548814203962394</v>
      </c>
      <c r="FT48" s="22">
        <f t="shared" si="24"/>
        <v>18.189952005450927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9.8333333333333339</v>
      </c>
      <c r="FZ48" s="12">
        <f>IF('Données projet'!$A$244&gt;35,FZ47+FY48-GH47,IF(A48&lt;'Données projet'!$A$244,$FW$205^A48,IF(A48='Données projet'!$A$244,'Données projet'!$B$244,FZ47+FY48-GH47)))</f>
        <v>283.16666666666669</v>
      </c>
      <c r="GA48" s="17">
        <f>FZ48*VLOOKUP('Données projet'!$B$17,Paramètres!$A$1:$I$89,3,0)*VLOOKUP('Données projet'!$B$17,Paramètres!$A$1:$I$89,5,0)</f>
        <v>169.33366666666672</v>
      </c>
      <c r="GB48" s="13">
        <f t="shared" si="49"/>
        <v>42.940752990888512</v>
      </c>
      <c r="GC48" s="20">
        <f t="shared" si="25"/>
        <v>369.7112809035753</v>
      </c>
      <c r="GD48" s="59">
        <f t="shared" si="26"/>
        <v>663.04461423690861</v>
      </c>
      <c r="GE48" s="59">
        <f ca="1">AVERAGE(OFFSET($GD$3,0,0,'Données projet'!$E$17+1,1))-AVERAGE(OFFSET($H$3,0,0,'Données projet'!$E$17+1,1))</f>
        <v>191.77102466144095</v>
      </c>
      <c r="GF48" s="59">
        <f t="shared" si="50"/>
        <v>205.57161411620217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18.260715923295763</v>
      </c>
      <c r="GM48" s="21">
        <f>EXP(-LN(2)/25)*GM47+(1-EXP(-LN(2)/25))/(LN(2)/25)*Calculateur!GH48*Calculateur!GJ48*VLOOKUP('Données projet'!$B$17,Paramètres!$A$1:$I$89,3,0)*0.475*44/12</f>
        <v>15.9967847008769</v>
      </c>
      <c r="GN48" s="21">
        <f>EXP(-LN(2)/2)*GN47+(1-EXP(-LN(2)/2))/(LN(2)/2)*GH48*GK48*VLOOKUP('Données projet'!$B$17,Paramètres!$A$1:$I$89,3,0)*0.475*44/12</f>
        <v>1.145749740051542</v>
      </c>
      <c r="GO48" s="21">
        <f t="shared" si="27"/>
        <v>35.403250364224206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84.31577618130467</v>
      </c>
      <c r="T49" s="59">
        <f t="shared" si="34"/>
        <v>527.2140904310653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89.072698360076501</v>
      </c>
      <c r="AA49" s="21">
        <f>EXP(-LN(2)/25)*AA48+(1-EXP(-LN(2)/25))/(LN(2)/25)*Calculateur!V49*Calculateur!X49*VLOOKUP('Données projet'!$B$9,Paramètres!$A$1:$I$89,3,0)*0.475*44/12</f>
        <v>22.618380488707722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111.69107884878423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6.875</v>
      </c>
      <c r="AI49" s="13">
        <f>IF('Données projet'!$A$62&gt;35,AI48+AH49-AQ48,IF(A49&lt;'Données projet'!$A$62,$AF$205^A49,IF(A49='Données projet'!$A$62,'Données projet'!$B$62,AI48+AH49-AQ48)))</f>
        <v>123.5</v>
      </c>
      <c r="AJ49" s="13">
        <f>AI49*VLOOKUP('Données projet'!$B$10,Paramètres!$A$1:$I$89,3,0)*VLOOKUP('Données projet'!$B$10,Paramètres!$A$1:$I$89,5,0)</f>
        <v>111.7428</v>
      </c>
      <c r="AK49" s="13">
        <f t="shared" si="35"/>
        <v>29.741225429709573</v>
      </c>
      <c r="AL49" s="20">
        <f t="shared" si="4"/>
        <v>246.4180109567441</v>
      </c>
      <c r="AM49" s="59">
        <f t="shared" si="5"/>
        <v>539.75134429007744</v>
      </c>
      <c r="AN49" s="59">
        <f ca="1">AVERAGE(OFFSET($AM$3,0,0,'Données projet'!$E$10+1,1))-AVERAGE(OFFSET($H$3,0,0,'Données projet'!$E$10+1,1))</f>
        <v>297.90790572649428</v>
      </c>
      <c r="AO49" s="59">
        <f t="shared" si="36"/>
        <v>142.96889776844506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6.875</v>
      </c>
      <c r="BD49" s="12">
        <f>IF('Données projet'!$A$88&gt;35,BD48+BC49-BL48,IF(A49&lt;'Données projet'!$A$88,$BA$205^A49,IF(A49='Données projet'!$A$88,'Données projet'!$B$88,BD48+BC49-BL48)))</f>
        <v>123.5</v>
      </c>
      <c r="BE49" s="13">
        <f>BD49*VLOOKUP('Données projet'!$B$11,Paramètres!$A$1:$I$89,3,0)*VLOOKUP('Données projet'!$B$11,Paramètres!$A$1:$I$89,5,0)</f>
        <v>125.22900000000001</v>
      </c>
      <c r="BF49" s="13">
        <f t="shared" si="37"/>
        <v>32.891533772373769</v>
      </c>
      <c r="BG49" s="20">
        <f t="shared" si="7"/>
        <v>275.39326298688428</v>
      </c>
      <c r="BH49" s="59">
        <f t="shared" si="8"/>
        <v>568.7265963202176</v>
      </c>
      <c r="BI49" s="59">
        <f ca="1">AVERAGE(OFFSET($BH$3,0,0,'Données projet'!$E$11+1,1))-AVERAGE(OFFSET($H$3,0,0,'Données projet'!$E$11+1,1))</f>
        <v>345.3294887586967</v>
      </c>
      <c r="BJ49" s="59">
        <f t="shared" si="38"/>
        <v>164.23448598618114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17.399999999999999</v>
      </c>
      <c r="BY49" s="12">
        <f>IF('Données projet'!$A$114&gt;35,BY48+BX49-CG48,IF(A49&lt;'Données projet'!$A$114,$BV$205^A49,IF(A49='Données projet'!$A$114,'Données projet'!$B$114,BY48+BX49-CG48)))</f>
        <v>282.40000000000003</v>
      </c>
      <c r="BZ49" s="13">
        <f>BY49*VLOOKUP('Données projet'!$B$12,Paramètres!$A$1:$I$89,3,0)*VLOOKUP('Données projet'!$B$12,Paramètres!$A$1:$I$89,5,0)</f>
        <v>168.87520000000004</v>
      </c>
      <c r="CA49" s="13">
        <f t="shared" si="39"/>
        <v>42.838008554673955</v>
      </c>
      <c r="CB49" s="20">
        <f t="shared" si="10"/>
        <v>368.73383823272388</v>
      </c>
      <c r="CC49" s="59">
        <f t="shared" si="11"/>
        <v>662.06717156605714</v>
      </c>
      <c r="CD49" s="59">
        <f ca="1">AVERAGE(OFFSET($CC$3,0,0,'Données projet'!$E$12+1,1))-AVERAGE(OFFSET($H$3,0,0,'Données projet'!$E$12+1,1))</f>
        <v>289.07218105343333</v>
      </c>
      <c r="CE49" s="59">
        <f t="shared" si="40"/>
        <v>217.57508587672368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33.288001501423942</v>
      </c>
      <c r="CM49" s="21">
        <f>EXP(-LN(2)/2)*CM48+(1-EXP(-LN(2)/2))/(LN(2)/2)*CG49*CJ49*VLOOKUP('Données projet'!$B$12,Paramètres!$A$1:$I$89,3,0)*0.475*44/12</f>
        <v>11.82337946231662</v>
      </c>
      <c r="CN49" s="22">
        <f t="shared" si="12"/>
        <v>45.111380963740558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5.7</v>
      </c>
      <c r="CT49" s="12">
        <f>IF('Données projet'!$A$140&gt;35,CT48+CS49-DB48,IF(A49&lt;'Données projet'!$A$140,$CQ$205^A49,IF(A49='Données projet'!$A$140,'Données projet'!$B$140,CT48+CS49-DB48)))</f>
        <v>208.20000000000005</v>
      </c>
      <c r="CU49" s="17">
        <f>CT49*VLOOKUP('Données projet'!$B$13,Paramètres!$A$1:$I$89,3,0)*VLOOKUP('Données projet'!$B$13,Paramètres!$A$1:$I$89,5,0)</f>
        <v>181.88352000000006</v>
      </c>
      <c r="CV49" s="13">
        <f t="shared" si="41"/>
        <v>45.74098045051349</v>
      </c>
      <c r="CW49" s="20">
        <f t="shared" si="13"/>
        <v>396.44600495131112</v>
      </c>
      <c r="CX49" s="59">
        <f t="shared" si="14"/>
        <v>689.77933828464438</v>
      </c>
      <c r="CY49" s="59">
        <f ca="1">AVERAGE(OFFSET($CX$3,0,0,'Données projet'!$E$13+1,1))-AVERAGE(OFFSET($H$3,0,0,'Données projet'!$E$13+1,1))</f>
        <v>237.8483058552178</v>
      </c>
      <c r="CZ49" s="59">
        <f t="shared" si="42"/>
        <v>313.36201272119723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7.1904763232610742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1.205487727176429</v>
      </c>
      <c r="DI49" s="22">
        <f t="shared" si="15"/>
        <v>8.3959640504375024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6.875</v>
      </c>
      <c r="DO49" s="12">
        <f>IF('Données projet'!$A$166&gt;35,DO48+DN49-DW48,IF(A49&lt;'Données projet'!$A$166,$DL$205^A49,IF(A49='Données projet'!$A$166,'Données projet'!$B$166,DO48+DN49-DW48)))</f>
        <v>123.5</v>
      </c>
      <c r="DP49" s="17">
        <f>DO49*VLOOKUP('Données projet'!$B$14,Paramètres!$A$1:$I$89,3,0)*VLOOKUP('Données projet'!$B$14,Paramètres!$A$1:$I$89,5,0)</f>
        <v>119.44919999999999</v>
      </c>
      <c r="DQ49" s="13">
        <f t="shared" si="43"/>
        <v>31.54649986262719</v>
      </c>
      <c r="DR49" s="20">
        <f t="shared" si="16"/>
        <v>262.98417726074234</v>
      </c>
      <c r="DS49" s="59">
        <f t="shared" si="17"/>
        <v>556.31751059407566</v>
      </c>
      <c r="DT49" s="59">
        <f ca="1">AVERAGE(OFFSET($DS$3,0,0,'Données projet'!$E$14+1,1))-AVERAGE(OFFSET($H$3,0,0,'Données projet'!$E$14+1,1))</f>
        <v>325.01961068962373</v>
      </c>
      <c r="DU49" s="59">
        <f t="shared" si="44"/>
        <v>155.12737608540039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7.2</v>
      </c>
      <c r="EJ49" s="12">
        <f>IF('Données projet'!$A$192&gt;35,EJ48+EI49-ER48,IF(A49&lt;'Données projet'!$A$192,$EG$205^A49,IF(A49='Données projet'!$A$192,'Données projet'!$B$192,EJ48+EI49-ER48)))</f>
        <v>190.19999999999993</v>
      </c>
      <c r="EK49" s="17">
        <f>EJ49*VLOOKUP('Données projet'!$B$15,Paramètres!$A$1:$I$89,3,0)*VLOOKUP('Données projet'!$B$15,Paramètres!$A$1:$I$89,5,0)</f>
        <v>127.58615999999996</v>
      </c>
      <c r="EL49" s="13">
        <f t="shared" si="45"/>
        <v>33.437984818390682</v>
      </c>
      <c r="EM49" s="20">
        <f t="shared" si="19"/>
        <v>280.45038555869701</v>
      </c>
      <c r="EN49" s="59">
        <f t="shared" si="20"/>
        <v>573.78371889203027</v>
      </c>
      <c r="EO49" s="59">
        <f ca="1">AVERAGE(OFFSET($EN$3,0,0,'Données projet'!$E$15+1,1))-AVERAGE(OFFSET($H$3,0,0,'Données projet'!$E$15+1,1))</f>
        <v>178.09619481964575</v>
      </c>
      <c r="EP49" s="59">
        <f t="shared" si="46"/>
        <v>178.65167777495174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8.1297071869871971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4.9810806325486663</v>
      </c>
      <c r="EY49" s="22">
        <f t="shared" si="21"/>
        <v>13.110787819535863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7.2</v>
      </c>
      <c r="FE49" s="12">
        <f>IF('Données projet'!$A$218&gt;35,FE48+FD49-FM48,IF(A49&lt;'Données projet'!$A$218,$FB$205^A49,IF(A49='Données projet'!$A$218,'Données projet'!$B$218,FE48+FD49-FM48)))</f>
        <v>190.19999999999993</v>
      </c>
      <c r="FF49" s="17">
        <f>FE49*VLOOKUP('Données projet'!$B$16,Paramètres!$A$1:$I$89,3,0)*VLOOKUP('Données projet'!$B$16,Paramètres!$A$1:$I$89,5,0)</f>
        <v>151.32311999999996</v>
      </c>
      <c r="FG49" s="13">
        <f t="shared" si="47"/>
        <v>38.879115530839606</v>
      </c>
      <c r="FH49" s="20">
        <f t="shared" si="22"/>
        <v>331.26889354954557</v>
      </c>
      <c r="FI49" s="59">
        <f t="shared" si="23"/>
        <v>624.60222688287888</v>
      </c>
      <c r="FJ49" s="59">
        <f ca="1">AVERAGE(OFFSET($FI$3,0,0,'Données projet'!$E$16+1,1))-AVERAGE(OFFSET($H$3,0,0,'Données projet'!$E$16+1,1))</f>
        <v>219.43439115440339</v>
      </c>
      <c r="FK49" s="59">
        <f t="shared" si="48"/>
        <v>217.8880462742099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9.6422108496824919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5.9077933083716756</v>
      </c>
      <c r="FT49" s="22">
        <f t="shared" si="24"/>
        <v>15.550004158054168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>
        <f>VLOOKUP(A49,'Données projet'!$A$243:$I$263,2,0)</f>
        <v>293</v>
      </c>
      <c r="FX49" s="12">
        <f>VLOOKUP(A49,'Données projet'!$A$243:$I$263,9,0)</f>
        <v>9.8333333333333339</v>
      </c>
      <c r="FY49" s="12">
        <f t="array" ref="FY49">INDEX(FX:FX,MIN(IF(ISNUMBER(FX49:FX245),ROW(FX49:FX245),"")))</f>
        <v>9.8333333333333339</v>
      </c>
      <c r="FZ49" s="12">
        <f>IF('Données projet'!$A$244&gt;35,FZ48+FY49-GH48,IF(A49&lt;'Données projet'!$A$244,$FW$205^A49,IF(A49='Données projet'!$A$244,'Données projet'!$B$244,FZ48+FY49-GH48)))</f>
        <v>293</v>
      </c>
      <c r="GA49" s="17">
        <f>FZ49*VLOOKUP('Données projet'!$B$17,Paramètres!$A$1:$I$89,3,0)*VLOOKUP('Données projet'!$B$17,Paramètres!$A$1:$I$89,5,0)</f>
        <v>175.214</v>
      </c>
      <c r="GB49" s="13">
        <f t="shared" si="49"/>
        <v>44.255725061661991</v>
      </c>
      <c r="GC49" s="20">
        <f t="shared" si="25"/>
        <v>382.24310448239459</v>
      </c>
      <c r="GD49" s="59">
        <f t="shared" si="26"/>
        <v>675.5764378157279</v>
      </c>
      <c r="GE49" s="59">
        <f ca="1">AVERAGE(OFFSET($GD$3,0,0,'Données projet'!$E$17+1,1))-AVERAGE(OFFSET($H$3,0,0,'Données projet'!$E$17+1,1))</f>
        <v>191.77102466144095</v>
      </c>
      <c r="GF49" s="59">
        <f t="shared" si="50"/>
        <v>205.57161411620217</v>
      </c>
      <c r="GG49" s="15">
        <f>IF(ISNA(VLOOKUP(A49,'Données projet'!$A$243:$I$263,3,0)),0,VLOOKUP(A49,'Données projet'!$A$243:$I$263,3,0))</f>
        <v>8</v>
      </c>
      <c r="GH49" s="15">
        <f>IF(ISNA(VLOOKUP(A49,'Données projet'!$A$243:$I$263,4,0)),0,VLOOKUP(A49,'Données projet'!$A$243:$I$263,4,0))</f>
        <v>29</v>
      </c>
      <c r="GI49" s="16">
        <f>IF(ISNA(VLOOKUP(A49,'Données projet'!$A$243:$I$263,5,0)),0%,VLOOKUP(A49,'Données projet'!$A$243:$I$263,5,0)*VLOOKUP('Données projet'!$B$17,Paramètres!$A$1:$I$89,7,0))</f>
        <v>0.27</v>
      </c>
      <c r="GJ49" s="16">
        <f>IF(ISNA(VLOOKUP(A49,'Données projet'!$A$243:$I$263,6,0)),0%,VLOOKUP(A49,'Données projet'!$A$243:$I$263,6,0)*VLOOKUP('Données projet'!$B$17,Paramètres!$A$1:$I$89,7,0))</f>
        <v>9.0000000000000011E-2</v>
      </c>
      <c r="GK49" s="16">
        <f>IF(ISNA(VLOOKUP(A49,'Données projet'!$A$243:$I$263,7,0)),0%,VLOOKUP(A49,'Données projet'!$A$243:$I$263,7,0))</f>
        <v>0.2</v>
      </c>
      <c r="GL49" s="21">
        <f>EXP(-LN(2)/35)*GL48+(1-EXP(-LN(2)/35))/(LN(2)/35)*GH49*GI49*VLOOKUP('Données projet'!$B$17,Paramètres!$A$1:$I$89,3,0)*0.475*44/12</f>
        <v>24.114060234259643</v>
      </c>
      <c r="GM49" s="21">
        <f>EXP(-LN(2)/25)*GM48+(1-EXP(-LN(2)/25))/(LN(2)/25)*Calculateur!GH49*Calculateur!GJ49*VLOOKUP('Données projet'!$B$17,Paramètres!$A$1:$I$89,3,0)*0.475*44/12</f>
        <v>17.621674802704089</v>
      </c>
      <c r="GN49" s="21">
        <f>EXP(-LN(2)/2)*GN48+(1-EXP(-LN(2)/2))/(LN(2)/2)*GH49*GK49*VLOOKUP('Données projet'!$B$17,Paramètres!$A$1:$I$89,3,0)*0.475*44/12</f>
        <v>4.7372019114739645</v>
      </c>
      <c r="GO49" s="21">
        <f t="shared" si="27"/>
        <v>46.472936948437699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84.31577618130467</v>
      </c>
      <c r="T50" s="59">
        <f t="shared" si="34"/>
        <v>527.2140904310653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87.326037074216856</v>
      </c>
      <c r="AA50" s="21">
        <f>EXP(-LN(2)/25)*AA49+(1-EXP(-LN(2)/25))/(LN(2)/25)*Calculateur!V50*Calculateur!X50*VLOOKUP('Données projet'!$B$9,Paramètres!$A$1:$I$89,3,0)*0.475*44/12</f>
        <v>21.999879684795076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109.32591675901193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6.875</v>
      </c>
      <c r="AI50" s="13">
        <f>IF('Données projet'!$A$62&gt;35,AI49+AH50-AQ49,IF(A50&lt;'Données projet'!$A$62,$AF$205^A50,IF(A50='Données projet'!$A$62,'Données projet'!$B$62,AI49+AH50-AQ49)))</f>
        <v>130.375</v>
      </c>
      <c r="AJ50" s="13">
        <f>AI50*VLOOKUP('Données projet'!$B$10,Paramètres!$A$1:$I$89,3,0)*VLOOKUP('Données projet'!$B$10,Paramètres!$A$1:$I$89,5,0)</f>
        <v>117.96329999999999</v>
      </c>
      <c r="AK50" s="13">
        <f t="shared" si="35"/>
        <v>31.199500243690945</v>
      </c>
      <c r="AL50" s="20">
        <f t="shared" si="4"/>
        <v>259.79187709109505</v>
      </c>
      <c r="AM50" s="59">
        <f t="shared" si="5"/>
        <v>553.12521042442836</v>
      </c>
      <c r="AN50" s="59">
        <f ca="1">AVERAGE(OFFSET($AM$3,0,0,'Données projet'!$E$10+1,1))-AVERAGE(OFFSET($H$3,0,0,'Données projet'!$E$10+1,1))</f>
        <v>297.90790572649428</v>
      </c>
      <c r="AO50" s="59">
        <f t="shared" si="36"/>
        <v>142.96889776844506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6.875</v>
      </c>
      <c r="BD50" s="12">
        <f>IF('Données projet'!$A$88&gt;35,BD49+BC50-BL49,IF(A50&lt;'Données projet'!$A$88,$BA$205^A50,IF(A50='Données projet'!$A$88,'Données projet'!$B$88,BD49+BC50-BL49)))</f>
        <v>130.375</v>
      </c>
      <c r="BE50" s="13">
        <f>BD50*VLOOKUP('Données projet'!$B$11,Paramètres!$A$1:$I$89,3,0)*VLOOKUP('Données projet'!$B$11,Paramètres!$A$1:$I$89,5,0)</f>
        <v>132.20025000000001</v>
      </c>
      <c r="BF50" s="13">
        <f t="shared" si="37"/>
        <v>34.504274827944251</v>
      </c>
      <c r="BG50" s="20">
        <f t="shared" si="7"/>
        <v>290.34371407533627</v>
      </c>
      <c r="BH50" s="59">
        <f t="shared" si="8"/>
        <v>583.67704740866952</v>
      </c>
      <c r="BI50" s="59">
        <f ca="1">AVERAGE(OFFSET($BH$3,0,0,'Données projet'!$E$11+1,1))-AVERAGE(OFFSET($H$3,0,0,'Données projet'!$E$11+1,1))</f>
        <v>345.3294887586967</v>
      </c>
      <c r="BJ50" s="59">
        <f t="shared" si="38"/>
        <v>164.23448598618114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17.399999999999999</v>
      </c>
      <c r="BY50" s="12">
        <f>IF('Données projet'!$A$114&gt;35,BY49+BX50-CG49,IF(A50&lt;'Données projet'!$A$114,$BV$205^A50,IF(A50='Données projet'!$A$114,'Données projet'!$B$114,BY49+BX50-CG49)))</f>
        <v>299.8</v>
      </c>
      <c r="BZ50" s="13">
        <f>BY50*VLOOKUP('Données projet'!$B$12,Paramètres!$A$1:$I$89,3,0)*VLOOKUP('Données projet'!$B$12,Paramètres!$A$1:$I$89,5,0)</f>
        <v>179.28040000000001</v>
      </c>
      <c r="CA50" s="13">
        <f t="shared" si="39"/>
        <v>45.162051118824294</v>
      </c>
      <c r="CB50" s="20">
        <f t="shared" si="10"/>
        <v>390.90393569861902</v>
      </c>
      <c r="CC50" s="59">
        <f t="shared" si="11"/>
        <v>684.23726903195234</v>
      </c>
      <c r="CD50" s="59">
        <f ca="1">AVERAGE(OFFSET($CC$3,0,0,'Données projet'!$E$12+1,1))-AVERAGE(OFFSET($H$3,0,0,'Données projet'!$E$12+1,1))</f>
        <v>289.07218105343333</v>
      </c>
      <c r="CE50" s="59">
        <f t="shared" si="40"/>
        <v>217.57508587672368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32.377739349827586</v>
      </c>
      <c r="CM50" s="21">
        <f>EXP(-LN(2)/2)*CM49+(1-EXP(-LN(2)/2))/(LN(2)/2)*CG50*CJ50*VLOOKUP('Données projet'!$B$12,Paramètres!$A$1:$I$89,3,0)*0.475*44/12</f>
        <v>8.3603917943458388</v>
      </c>
      <c r="CN50" s="22">
        <f t="shared" si="12"/>
        <v>40.738131144173423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5.7</v>
      </c>
      <c r="CT50" s="12">
        <f>IF('Données projet'!$A$140&gt;35,CT49+CS50-DB49,IF(A50&lt;'Données projet'!$A$140,$CQ$205^A50,IF(A50='Données projet'!$A$140,'Données projet'!$B$140,CT49+CS50-DB49)))</f>
        <v>213.90000000000003</v>
      </c>
      <c r="CU50" s="17">
        <f>CT50*VLOOKUP('Données projet'!$B$13,Paramètres!$A$1:$I$89,3,0)*VLOOKUP('Données projet'!$B$13,Paramètres!$A$1:$I$89,5,0)</f>
        <v>186.86304000000007</v>
      </c>
      <c r="CV50" s="13">
        <f t="shared" si="41"/>
        <v>46.845744983534509</v>
      </c>
      <c r="CW50" s="20">
        <f t="shared" si="13"/>
        <v>407.04280051298934</v>
      </c>
      <c r="CX50" s="59">
        <f t="shared" si="14"/>
        <v>700.37613384632266</v>
      </c>
      <c r="CY50" s="59">
        <f ca="1">AVERAGE(OFFSET($CX$3,0,0,'Données projet'!$E$13+1,1))-AVERAGE(OFFSET($H$3,0,0,'Données projet'!$E$13+1,1))</f>
        <v>237.8483058552178</v>
      </c>
      <c r="CZ50" s="59">
        <f t="shared" si="42"/>
        <v>313.36201272119723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7.0494754683194243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0.85240854652361175</v>
      </c>
      <c r="DI50" s="22">
        <f t="shared" si="15"/>
        <v>7.901884014843036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6.875</v>
      </c>
      <c r="DO50" s="12">
        <f>IF('Données projet'!$A$166&gt;35,DO49+DN50-DW49,IF(A50&lt;'Données projet'!$A$166,$DL$205^A50,IF(A50='Données projet'!$A$166,'Données projet'!$B$166,DO49+DN50-DW49)))</f>
        <v>130.375</v>
      </c>
      <c r="DP50" s="17">
        <f>DO50*VLOOKUP('Données projet'!$B$14,Paramètres!$A$1:$I$89,3,0)*VLOOKUP('Données projet'!$B$14,Paramètres!$A$1:$I$89,5,0)</f>
        <v>126.09869999999999</v>
      </c>
      <c r="DQ50" s="13">
        <f t="shared" si="43"/>
        <v>33.093291077658321</v>
      </c>
      <c r="DR50" s="20">
        <f t="shared" si="16"/>
        <v>277.25938446025492</v>
      </c>
      <c r="DS50" s="59">
        <f t="shared" si="17"/>
        <v>570.59271779358824</v>
      </c>
      <c r="DT50" s="59">
        <f ca="1">AVERAGE(OFFSET($DS$3,0,0,'Données projet'!$E$14+1,1))-AVERAGE(OFFSET($H$3,0,0,'Données projet'!$E$14+1,1))</f>
        <v>325.01961068962373</v>
      </c>
      <c r="DU50" s="59">
        <f t="shared" si="44"/>
        <v>155.12737608540039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7.2</v>
      </c>
      <c r="EJ50" s="12">
        <f>IF('Données projet'!$A$192&gt;35,EJ49+EI50-ER49,IF(A50&lt;'Données projet'!$A$192,$EG$205^A50,IF(A50='Données projet'!$A$192,'Données projet'!$B$192,EJ49+EI50-ER49)))</f>
        <v>197.39999999999992</v>
      </c>
      <c r="EK50" s="17">
        <f>EJ50*VLOOKUP('Données projet'!$B$15,Paramètres!$A$1:$I$89,3,0)*VLOOKUP('Données projet'!$B$15,Paramètres!$A$1:$I$89,5,0)</f>
        <v>132.41591999999994</v>
      </c>
      <c r="EL50" s="13">
        <f t="shared" si="45"/>
        <v>34.554007851306523</v>
      </c>
      <c r="EM50" s="20">
        <f t="shared" si="19"/>
        <v>290.80595767435875</v>
      </c>
      <c r="EN50" s="59">
        <f t="shared" si="20"/>
        <v>584.13929100769201</v>
      </c>
      <c r="EO50" s="59">
        <f ca="1">AVERAGE(OFFSET($EN$3,0,0,'Données projet'!$E$15+1,1))-AVERAGE(OFFSET($H$3,0,0,'Données projet'!$E$15+1,1))</f>
        <v>178.09619481964575</v>
      </c>
      <c r="EP50" s="59">
        <f t="shared" si="46"/>
        <v>178.65167777495174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7.9702885876821377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3.5221558929121399</v>
      </c>
      <c r="EY50" s="22">
        <f t="shared" si="21"/>
        <v>11.492444480594278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7.2</v>
      </c>
      <c r="FE50" s="12">
        <f>IF('Données projet'!$A$218&gt;35,FE49+FD50-FM49,IF(A50&lt;'Données projet'!$A$218,$FB$205^A50,IF(A50='Données projet'!$A$218,'Données projet'!$B$218,FE49+FD50-FM49)))</f>
        <v>197.39999999999992</v>
      </c>
      <c r="FF50" s="17">
        <f>FE50*VLOOKUP('Données projet'!$B$16,Paramètres!$A$1:$I$89,3,0)*VLOOKUP('Données projet'!$B$16,Paramètres!$A$1:$I$89,5,0)</f>
        <v>157.05143999999996</v>
      </c>
      <c r="FG50" s="13">
        <f t="shared" si="47"/>
        <v>40.176741230099708</v>
      </c>
      <c r="FH50" s="20">
        <f t="shared" si="22"/>
        <v>343.50574897575689</v>
      </c>
      <c r="FI50" s="59">
        <f t="shared" si="23"/>
        <v>636.83908230909014</v>
      </c>
      <c r="FJ50" s="59">
        <f ca="1">AVERAGE(OFFSET($FI$3,0,0,'Données projet'!$E$16+1,1))-AVERAGE(OFFSET($H$3,0,0,'Données projet'!$E$16+1,1))</f>
        <v>219.43439115440339</v>
      </c>
      <c r="FK50" s="59">
        <f t="shared" si="48"/>
        <v>217.8880462742099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9.4531329760881189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4.1774407101981206</v>
      </c>
      <c r="FT50" s="22">
        <f t="shared" si="24"/>
        <v>13.63057368628624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5.875</v>
      </c>
      <c r="FZ50" s="12">
        <f>IF('Données projet'!$A$244&gt;35,FZ49+FY50-GH49,IF(A50&lt;'Données projet'!$A$244,$FW$205^A50,IF(A50='Données projet'!$A$244,'Données projet'!$B$244,FZ49+FY50-GH49)))</f>
        <v>269.875</v>
      </c>
      <c r="GA50" s="17">
        <f>FZ50*VLOOKUP('Données projet'!$B$17,Paramètres!$A$1:$I$89,3,0)*VLOOKUP('Données projet'!$B$17,Paramètres!$A$1:$I$89,5,0)</f>
        <v>161.38525000000001</v>
      </c>
      <c r="GB50" s="13">
        <f t="shared" si="49"/>
        <v>41.154805478559268</v>
      </c>
      <c r="GC50" s="20">
        <f t="shared" si="25"/>
        <v>352.75726329182407</v>
      </c>
      <c r="GD50" s="59">
        <f t="shared" si="26"/>
        <v>646.09059662515733</v>
      </c>
      <c r="GE50" s="59">
        <f ca="1">AVERAGE(OFFSET($GD$3,0,0,'Données projet'!$E$17+1,1))-AVERAGE(OFFSET($H$3,0,0,'Données projet'!$E$17+1,1))</f>
        <v>191.77102466144095</v>
      </c>
      <c r="GF50" s="59">
        <f t="shared" si="50"/>
        <v>205.57161411620217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23.641198221190248</v>
      </c>
      <c r="GM50" s="21">
        <f>EXP(-LN(2)/25)*GM49+(1-EXP(-LN(2)/25))/(LN(2)/25)*Calculateur!GH50*Calculateur!GJ50*VLOOKUP('Données projet'!$B$17,Paramètres!$A$1:$I$89,3,0)*0.475*44/12</f>
        <v>17.139809178540542</v>
      </c>
      <c r="GN50" s="21">
        <f>EXP(-LN(2)/2)*GN49+(1-EXP(-LN(2)/2))/(LN(2)/2)*GH50*GK50*VLOOKUP('Données projet'!$B$17,Paramètres!$A$1:$I$89,3,0)*0.475*44/12</f>
        <v>3.3497075954531157</v>
      </c>
      <c r="GO50" s="21">
        <f t="shared" si="27"/>
        <v>44.130714995183908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84.31577618130467</v>
      </c>
      <c r="T51" s="59">
        <f t="shared" si="34"/>
        <v>527.2140904310653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85.613626750814731</v>
      </c>
      <c r="AA51" s="21">
        <f>EXP(-LN(2)/25)*AA50+(1-EXP(-LN(2)/25))/(LN(2)/25)*Calculateur!V51*Calculateur!X51*VLOOKUP('Données projet'!$B$9,Paramètres!$A$1:$I$89,3,0)*0.475*44/12</f>
        <v>21.398291817890964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107.0119185687057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6.875</v>
      </c>
      <c r="AI51" s="13">
        <f>IF('Données projet'!$A$62&gt;35,AI50+AH51-AQ50,IF(A51&lt;'Données projet'!$A$62,$AF$205^A51,IF(A51='Données projet'!$A$62,'Données projet'!$B$62,AI50+AH51-AQ50)))</f>
        <v>137.25</v>
      </c>
      <c r="AJ51" s="13">
        <f>AI51*VLOOKUP('Données projet'!$B$10,Paramètres!$A$1:$I$89,3,0)*VLOOKUP('Données projet'!$B$10,Paramètres!$A$1:$I$89,5,0)</f>
        <v>124.18379999999999</v>
      </c>
      <c r="AK51" s="13">
        <f t="shared" si="35"/>
        <v>32.648847121304541</v>
      </c>
      <c r="AL51" s="20">
        <f t="shared" si="4"/>
        <v>273.15019373627206</v>
      </c>
      <c r="AM51" s="59">
        <f t="shared" si="5"/>
        <v>566.48352706960532</v>
      </c>
      <c r="AN51" s="59">
        <f ca="1">AVERAGE(OFFSET($AM$3,0,0,'Données projet'!$E$10+1,1))-AVERAGE(OFFSET($H$3,0,0,'Données projet'!$E$10+1,1))</f>
        <v>297.90790572649428</v>
      </c>
      <c r="AO51" s="59">
        <f t="shared" si="36"/>
        <v>142.96889776844506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6.875</v>
      </c>
      <c r="BD51" s="12">
        <f>IF('Données projet'!$A$88&gt;35,BD50+BC51-BL50,IF(A51&lt;'Données projet'!$A$88,$BA$205^A51,IF(A51='Données projet'!$A$88,'Données projet'!$B$88,BD50+BC51-BL50)))</f>
        <v>137.25</v>
      </c>
      <c r="BE51" s="13">
        <f>BD51*VLOOKUP('Données projet'!$B$11,Paramètres!$A$1:$I$89,3,0)*VLOOKUP('Données projet'!$B$11,Paramètres!$A$1:$I$89,5,0)</f>
        <v>139.17150000000001</v>
      </c>
      <c r="BF51" s="13">
        <f t="shared" si="37"/>
        <v>36.107142264781352</v>
      </c>
      <c r="BG51" s="20">
        <f t="shared" si="7"/>
        <v>305.27696861116084</v>
      </c>
      <c r="BH51" s="59">
        <f t="shared" si="8"/>
        <v>598.61030194449415</v>
      </c>
      <c r="BI51" s="59">
        <f ca="1">AVERAGE(OFFSET($BH$3,0,0,'Données projet'!$E$11+1,1))-AVERAGE(OFFSET($H$3,0,0,'Données projet'!$E$11+1,1))</f>
        <v>345.3294887586967</v>
      </c>
      <c r="BJ51" s="59">
        <f t="shared" si="38"/>
        <v>164.23448598618114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17.399999999999999</v>
      </c>
      <c r="BY51" s="12">
        <f>IF('Données projet'!$A$114&gt;35,BY50+BX51-CG50,IF(A51&lt;'Données projet'!$A$114,$BV$205^A51,IF(A51='Données projet'!$A$114,'Données projet'!$B$114,BY50+BX51-CG50)))</f>
        <v>317.2</v>
      </c>
      <c r="BZ51" s="13">
        <f>BY51*VLOOKUP('Données projet'!$B$12,Paramètres!$A$1:$I$89,3,0)*VLOOKUP('Données projet'!$B$12,Paramètres!$A$1:$I$89,5,0)</f>
        <v>189.68560000000002</v>
      </c>
      <c r="CA51" s="13">
        <f t="shared" si="39"/>
        <v>47.470436776872745</v>
      </c>
      <c r="CB51" s="20">
        <f t="shared" si="10"/>
        <v>413.04676405305344</v>
      </c>
      <c r="CC51" s="59">
        <f t="shared" si="11"/>
        <v>706.38009738638675</v>
      </c>
      <c r="CD51" s="59">
        <f ca="1">AVERAGE(OFFSET($CC$3,0,0,'Données projet'!$E$12+1,1))-AVERAGE(OFFSET($H$3,0,0,'Données projet'!$E$12+1,1))</f>
        <v>289.07218105343333</v>
      </c>
      <c r="CE51" s="59">
        <f t="shared" si="40"/>
        <v>217.57508587672368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31.492368364635237</v>
      </c>
      <c r="CM51" s="21">
        <f>EXP(-LN(2)/2)*CM50+(1-EXP(-LN(2)/2))/(LN(2)/2)*CG51*CJ51*VLOOKUP('Données projet'!$B$12,Paramètres!$A$1:$I$89,3,0)*0.475*44/12</f>
        <v>5.9116897311583108</v>
      </c>
      <c r="CN51" s="22">
        <f t="shared" si="12"/>
        <v>37.404058095793545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5.7</v>
      </c>
      <c r="CT51" s="12">
        <f>IF('Données projet'!$A$140&gt;35,CT50+CS51-DB50,IF(A51&lt;'Données projet'!$A$140,$CQ$205^A51,IF(A51='Données projet'!$A$140,'Données projet'!$B$140,CT50+CS51-DB50)))</f>
        <v>219.60000000000002</v>
      </c>
      <c r="CU51" s="17">
        <f>CT51*VLOOKUP('Données projet'!$B$13,Paramètres!$A$1:$I$89,3,0)*VLOOKUP('Données projet'!$B$13,Paramètres!$A$1:$I$89,5,0)</f>
        <v>191.84256000000005</v>
      </c>
      <c r="CV51" s="13">
        <f t="shared" si="41"/>
        <v>47.947087613384845</v>
      </c>
      <c r="CW51" s="20">
        <f t="shared" si="13"/>
        <v>417.63363625997869</v>
      </c>
      <c r="CX51" s="59">
        <f t="shared" si="14"/>
        <v>710.966969593312</v>
      </c>
      <c r="CY51" s="59">
        <f ca="1">AVERAGE(OFFSET($CX$3,0,0,'Données projet'!$E$13+1,1))-AVERAGE(OFFSET($H$3,0,0,'Données projet'!$E$13+1,1))</f>
        <v>237.8483058552178</v>
      </c>
      <c r="CZ51" s="59">
        <f t="shared" si="42"/>
        <v>313.36201272119723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6.9112395541411509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0.60274386358821463</v>
      </c>
      <c r="DI51" s="22">
        <f t="shared" si="15"/>
        <v>7.5139834177293654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6.875</v>
      </c>
      <c r="DO51" s="12">
        <f>IF('Données projet'!$A$166&gt;35,DO50+DN51-DW50,IF(A51&lt;'Données projet'!$A$166,$DL$205^A51,IF(A51='Données projet'!$A$166,'Données projet'!$B$166,DO50+DN51-DW50)))</f>
        <v>137.25</v>
      </c>
      <c r="DP51" s="17">
        <f>DO51*VLOOKUP('Données projet'!$B$14,Paramètres!$A$1:$I$89,3,0)*VLOOKUP('Données projet'!$B$14,Paramètres!$A$1:$I$89,5,0)</f>
        <v>132.7482</v>
      </c>
      <c r="DQ51" s="13">
        <f t="shared" si="43"/>
        <v>34.630612435972736</v>
      </c>
      <c r="DR51" s="20">
        <f t="shared" si="16"/>
        <v>291.51809832598582</v>
      </c>
      <c r="DS51" s="59">
        <f t="shared" si="17"/>
        <v>584.85143165931913</v>
      </c>
      <c r="DT51" s="59">
        <f ca="1">AVERAGE(OFFSET($DS$3,0,0,'Données projet'!$E$14+1,1))-AVERAGE(OFFSET($H$3,0,0,'Données projet'!$E$14+1,1))</f>
        <v>325.01961068962373</v>
      </c>
      <c r="DU51" s="59">
        <f t="shared" si="44"/>
        <v>155.12737608540039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7.2</v>
      </c>
      <c r="EJ51" s="12">
        <f>IF('Données projet'!$A$192&gt;35,EJ50+EI51-ER50,IF(A51&lt;'Données projet'!$A$192,$EG$205^A51,IF(A51='Données projet'!$A$192,'Données projet'!$B$192,EJ50+EI51-ER50)))</f>
        <v>204.59999999999991</v>
      </c>
      <c r="EK51" s="17">
        <f>EJ51*VLOOKUP('Données projet'!$B$15,Paramètres!$A$1:$I$89,3,0)*VLOOKUP('Données projet'!$B$15,Paramètres!$A$1:$I$89,5,0)</f>
        <v>137.24567999999996</v>
      </c>
      <c r="EL51" s="13">
        <f t="shared" si="45"/>
        <v>35.665301641310378</v>
      </c>
      <c r="EM51" s="20">
        <f t="shared" si="19"/>
        <v>301.15329302528215</v>
      </c>
      <c r="EN51" s="59">
        <f t="shared" si="20"/>
        <v>594.48662635861547</v>
      </c>
      <c r="EO51" s="59">
        <f ca="1">AVERAGE(OFFSET($EN$3,0,0,'Données projet'!$E$15+1,1))-AVERAGE(OFFSET($H$3,0,0,'Données projet'!$E$15+1,1))</f>
        <v>178.09619481964575</v>
      </c>
      <c r="EP51" s="59">
        <f t="shared" si="46"/>
        <v>178.65167777495174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7.8139960898737062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2.4905403162743336</v>
      </c>
      <c r="EY51" s="22">
        <f t="shared" si="21"/>
        <v>10.30453640614804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7.2</v>
      </c>
      <c r="FE51" s="12">
        <f>IF('Données projet'!$A$218&gt;35,FE50+FD51-FM50,IF(A51&lt;'Données projet'!$A$218,$FB$205^A51,IF(A51='Données projet'!$A$218,'Données projet'!$B$218,FE50+FD51-FM50)))</f>
        <v>204.59999999999991</v>
      </c>
      <c r="FF51" s="17">
        <f>FE51*VLOOKUP('Données projet'!$B$16,Paramètres!$A$1:$I$89,3,0)*VLOOKUP('Données projet'!$B$16,Paramètres!$A$1:$I$89,5,0)</f>
        <v>162.77975999999995</v>
      </c>
      <c r="FG51" s="13">
        <f t="shared" si="47"/>
        <v>41.468868129640057</v>
      </c>
      <c r="FH51" s="20">
        <f t="shared" si="22"/>
        <v>355.73302732578964</v>
      </c>
      <c r="FI51" s="59">
        <f t="shared" si="23"/>
        <v>649.06636065912289</v>
      </c>
      <c r="FJ51" s="59">
        <f ca="1">AVERAGE(OFFSET($FI$3,0,0,'Données projet'!$E$16+1,1))-AVERAGE(OFFSET($H$3,0,0,'Données projet'!$E$16+1,1))</f>
        <v>219.43439115440339</v>
      </c>
      <c r="FK51" s="59">
        <f t="shared" si="48"/>
        <v>217.8880462742099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9.2677628042688163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2.9538966541858382</v>
      </c>
      <c r="FT51" s="22">
        <f t="shared" si="24"/>
        <v>12.221659458454655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5.875</v>
      </c>
      <c r="FZ51" s="12">
        <f>IF('Données projet'!$A$244&gt;35,FZ50+FY51-GH50,IF(A51&lt;'Données projet'!$A$244,$FW$205^A51,IF(A51='Données projet'!$A$244,'Données projet'!$B$244,FZ50+FY51-GH50)))</f>
        <v>275.75</v>
      </c>
      <c r="GA51" s="17">
        <f>FZ51*VLOOKUP('Données projet'!$B$17,Paramètres!$A$1:$I$89,3,0)*VLOOKUP('Données projet'!$B$17,Paramètres!$A$1:$I$89,5,0)</f>
        <v>164.89850000000001</v>
      </c>
      <c r="GB51" s="13">
        <f t="shared" si="49"/>
        <v>41.94543913753872</v>
      </c>
      <c r="GC51" s="20">
        <f t="shared" si="25"/>
        <v>360.25319399788003</v>
      </c>
      <c r="GD51" s="59">
        <f t="shared" si="26"/>
        <v>653.58652733121335</v>
      </c>
      <c r="GE51" s="59">
        <f ca="1">AVERAGE(OFFSET($GD$3,0,0,'Données projet'!$E$17+1,1))-AVERAGE(OFFSET($H$3,0,0,'Données projet'!$E$17+1,1))</f>
        <v>191.77102466144095</v>
      </c>
      <c r="GF51" s="59">
        <f t="shared" si="50"/>
        <v>205.57161411620217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23.177608743779793</v>
      </c>
      <c r="GM51" s="21">
        <f>EXP(-LN(2)/25)*GM50+(1-EXP(-LN(2)/25))/(LN(2)/25)*Calculateur!GH51*Calculateur!GJ51*VLOOKUP('Données projet'!$B$17,Paramètres!$A$1:$I$89,3,0)*0.475*44/12</f>
        <v>16.671120195209959</v>
      </c>
      <c r="GN51" s="21">
        <f>EXP(-LN(2)/2)*GN50+(1-EXP(-LN(2)/2))/(LN(2)/2)*GH51*GK51*VLOOKUP('Données projet'!$B$17,Paramètres!$A$1:$I$89,3,0)*0.475*44/12</f>
        <v>2.3686009557369827</v>
      </c>
      <c r="GO51" s="21">
        <f t="shared" si="27"/>
        <v>42.217329894726731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84.31577618130467</v>
      </c>
      <c r="T52" s="59">
        <f t="shared" si="34"/>
        <v>527.2140904310653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83.934795749387362</v>
      </c>
      <c r="AA52" s="21">
        <f>EXP(-LN(2)/25)*AA51+(1-EXP(-LN(2)/25))/(LN(2)/25)*Calculateur!V52*Calculateur!X52*VLOOKUP('Données projet'!$B$9,Paramètres!$A$1:$I$89,3,0)*0.475*44/12</f>
        <v>20.813154402843477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104.74795015223084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6.875</v>
      </c>
      <c r="AI52" s="13">
        <f>IF('Données projet'!$A$62&gt;35,AI51+AH52-AQ51,IF(A52&lt;'Données projet'!$A$62,$AF$205^A52,IF(A52='Données projet'!$A$62,'Données projet'!$B$62,AI51+AH52-AQ51)))</f>
        <v>144.125</v>
      </c>
      <c r="AJ52" s="13">
        <f>AI52*VLOOKUP('Données projet'!$B$10,Paramètres!$A$1:$I$89,3,0)*VLOOKUP('Données projet'!$B$10,Paramètres!$A$1:$I$89,5,0)</f>
        <v>130.40430000000001</v>
      </c>
      <c r="AK52" s="13">
        <f t="shared" si="35"/>
        <v>34.089764301804081</v>
      </c>
      <c r="AL52" s="20">
        <f t="shared" si="4"/>
        <v>286.49382865897542</v>
      </c>
      <c r="AM52" s="59">
        <f t="shared" si="5"/>
        <v>579.82716199230867</v>
      </c>
      <c r="AN52" s="59">
        <f ca="1">AVERAGE(OFFSET($AM$3,0,0,'Données projet'!$E$10+1,1))-AVERAGE(OFFSET($H$3,0,0,'Données projet'!$E$10+1,1))</f>
        <v>297.90790572649428</v>
      </c>
      <c r="AO52" s="59">
        <f t="shared" si="36"/>
        <v>142.96889776844506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6.875</v>
      </c>
      <c r="BD52" s="12">
        <f>IF('Données projet'!$A$88&gt;35,BD51+BC52-BL51,IF(A52&lt;'Données projet'!$A$88,$BA$205^A52,IF(A52='Données projet'!$A$88,'Données projet'!$B$88,BD51+BC52-BL51)))</f>
        <v>144.125</v>
      </c>
      <c r="BE52" s="13">
        <f>BD52*VLOOKUP('Données projet'!$B$11,Paramètres!$A$1:$I$89,3,0)*VLOOKUP('Données projet'!$B$11,Paramètres!$A$1:$I$89,5,0)</f>
        <v>146.14275000000001</v>
      </c>
      <c r="BF52" s="13">
        <f t="shared" si="37"/>
        <v>37.700687097612942</v>
      </c>
      <c r="BG52" s="20">
        <f t="shared" si="7"/>
        <v>320.19398627834249</v>
      </c>
      <c r="BH52" s="59">
        <f t="shared" si="8"/>
        <v>613.52731961167581</v>
      </c>
      <c r="BI52" s="59">
        <f ca="1">AVERAGE(OFFSET($BH$3,0,0,'Données projet'!$E$11+1,1))-AVERAGE(OFFSET($H$3,0,0,'Données projet'!$E$11+1,1))</f>
        <v>345.3294887586967</v>
      </c>
      <c r="BJ52" s="59">
        <f t="shared" si="38"/>
        <v>164.23448598618114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17.399999999999999</v>
      </c>
      <c r="BY52" s="12">
        <f>IF('Données projet'!$A$114&gt;35,BY51+BX52-CG51,IF(A52&lt;'Données projet'!$A$114,$BV$205^A52,IF(A52='Données projet'!$A$114,'Données projet'!$B$114,BY51+BX52-CG51)))</f>
        <v>334.59999999999997</v>
      </c>
      <c r="BZ52" s="13">
        <f>BY52*VLOOKUP('Données projet'!$B$12,Paramètres!$A$1:$I$89,3,0)*VLOOKUP('Données projet'!$B$12,Paramètres!$A$1:$I$89,5,0)</f>
        <v>200.0908</v>
      </c>
      <c r="CA52" s="13">
        <f t="shared" si="39"/>
        <v>49.764122289960234</v>
      </c>
      <c r="CB52" s="20">
        <f t="shared" si="10"/>
        <v>435.16398965501406</v>
      </c>
      <c r="CC52" s="59">
        <f t="shared" si="11"/>
        <v>728.49732298834738</v>
      </c>
      <c r="CD52" s="59">
        <f ca="1">AVERAGE(OFFSET($CC$3,0,0,'Données projet'!$E$12+1,1))-AVERAGE(OFFSET($H$3,0,0,'Données projet'!$E$12+1,1))</f>
        <v>289.07218105343333</v>
      </c>
      <c r="CE52" s="59">
        <f t="shared" si="40"/>
        <v>217.57508587672368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30.63120789559261</v>
      </c>
      <c r="CM52" s="21">
        <f>EXP(-LN(2)/2)*CM51+(1-EXP(-LN(2)/2))/(LN(2)/2)*CG52*CJ52*VLOOKUP('Données projet'!$B$12,Paramètres!$A$1:$I$89,3,0)*0.475*44/12</f>
        <v>4.1801958971729203</v>
      </c>
      <c r="CN52" s="22">
        <f t="shared" si="12"/>
        <v>34.811403792765532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5.7</v>
      </c>
      <c r="CT52" s="12">
        <f>IF('Données projet'!$A$140&gt;35,CT51+CS52-DB51,IF(A52&lt;'Données projet'!$A$140,$CQ$205^A52,IF(A52='Données projet'!$A$140,'Données projet'!$B$140,CT51+CS52-DB51)))</f>
        <v>225.3</v>
      </c>
      <c r="CU52" s="17">
        <f>CT52*VLOOKUP('Données projet'!$B$13,Paramètres!$A$1:$I$89,3,0)*VLOOKUP('Données projet'!$B$13,Paramètres!$A$1:$I$89,5,0)</f>
        <v>196.82208000000003</v>
      </c>
      <c r="CV52" s="13">
        <f t="shared" si="41"/>
        <v>49.045107371453518</v>
      </c>
      <c r="CW52" s="20">
        <f t="shared" si="13"/>
        <v>428.21868467194827</v>
      </c>
      <c r="CX52" s="59">
        <f t="shared" si="14"/>
        <v>721.55201800528152</v>
      </c>
      <c r="CY52" s="59">
        <f ca="1">AVERAGE(OFFSET($CX$3,0,0,'Données projet'!$E$13+1,1))-AVERAGE(OFFSET($H$3,0,0,'Données projet'!$E$13+1,1))</f>
        <v>237.8483058552178</v>
      </c>
      <c r="CZ52" s="59">
        <f t="shared" si="42"/>
        <v>313.36201272119723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6.7757143619243312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0.42620427326180599</v>
      </c>
      <c r="DI52" s="22">
        <f t="shared" si="15"/>
        <v>7.2019186351861375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6.875</v>
      </c>
      <c r="DO52" s="12">
        <f>IF('Données projet'!$A$166&gt;35,DO51+DN52-DW51,IF(A52&lt;'Données projet'!$A$166,$DL$205^A52,IF(A52='Données projet'!$A$166,'Données projet'!$B$166,DO51+DN52-DW51)))</f>
        <v>144.125</v>
      </c>
      <c r="DP52" s="17">
        <f>DO52*VLOOKUP('Données projet'!$B$14,Paramètres!$A$1:$I$89,3,0)*VLOOKUP('Données projet'!$B$14,Paramètres!$A$1:$I$89,5,0)</f>
        <v>139.39770000000001</v>
      </c>
      <c r="DQ52" s="13">
        <f t="shared" si="43"/>
        <v>36.158992419646118</v>
      </c>
      <c r="DR52" s="20">
        <f t="shared" si="16"/>
        <v>305.76123929755039</v>
      </c>
      <c r="DS52" s="59">
        <f t="shared" si="17"/>
        <v>599.0945726308837</v>
      </c>
      <c r="DT52" s="59">
        <f ca="1">AVERAGE(OFFSET($DS$3,0,0,'Données projet'!$E$14+1,1))-AVERAGE(OFFSET($H$3,0,0,'Données projet'!$E$14+1,1))</f>
        <v>325.01961068962373</v>
      </c>
      <c r="DU52" s="59">
        <f t="shared" si="44"/>
        <v>155.12737608540039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7.2</v>
      </c>
      <c r="EJ52" s="12">
        <f>IF('Données projet'!$A$192&gt;35,EJ51+EI52-ER51,IF(A52&lt;'Données projet'!$A$192,$EG$205^A52,IF(A52='Données projet'!$A$192,'Données projet'!$B$192,EJ51+EI52-ER51)))</f>
        <v>211.7999999999999</v>
      </c>
      <c r="EK52" s="17">
        <f>EJ52*VLOOKUP('Données projet'!$B$15,Paramètres!$A$1:$I$89,3,0)*VLOOKUP('Données projet'!$B$15,Paramètres!$A$1:$I$89,5,0)</f>
        <v>142.07543999999993</v>
      </c>
      <c r="EL52" s="13">
        <f t="shared" si="45"/>
        <v>36.772051683063594</v>
      </c>
      <c r="EM52" s="20">
        <f t="shared" si="19"/>
        <v>311.49271468133566</v>
      </c>
      <c r="EN52" s="59">
        <f t="shared" si="20"/>
        <v>604.82604801466891</v>
      </c>
      <c r="EO52" s="59">
        <f ca="1">AVERAGE(OFFSET($EN$3,0,0,'Données projet'!$E$15+1,1))-AVERAGE(OFFSET($H$3,0,0,'Données projet'!$E$15+1,1))</f>
        <v>178.09619481964575</v>
      </c>
      <c r="EP52" s="59">
        <f t="shared" si="46"/>
        <v>178.65167777495174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7.6607683926182872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1.7610779464560702</v>
      </c>
      <c r="EY52" s="22">
        <f t="shared" si="21"/>
        <v>9.4218463390743565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7.2</v>
      </c>
      <c r="FE52" s="12">
        <f>IF('Données projet'!$A$218&gt;35,FE51+FD52-FM51,IF(A52&lt;'Données projet'!$A$218,$FB$205^A52,IF(A52='Données projet'!$A$218,'Données projet'!$B$218,FE51+FD52-FM51)))</f>
        <v>211.7999999999999</v>
      </c>
      <c r="FF52" s="17">
        <f>FE52*VLOOKUP('Données projet'!$B$16,Paramètres!$A$1:$I$89,3,0)*VLOOKUP('Données projet'!$B$16,Paramètres!$A$1:$I$89,5,0)</f>
        <v>168.50807999999992</v>
      </c>
      <c r="FG52" s="13">
        <f t="shared" si="47"/>
        <v>42.755711908378117</v>
      </c>
      <c r="FH52" s="20">
        <f t="shared" si="22"/>
        <v>367.95110424042508</v>
      </c>
      <c r="FI52" s="59">
        <f t="shared" si="23"/>
        <v>661.2844375737584</v>
      </c>
      <c r="FJ52" s="59">
        <f ca="1">AVERAGE(OFFSET($FI$3,0,0,'Données projet'!$E$16+1,1))-AVERAGE(OFFSET($H$3,0,0,'Données projet'!$E$16+1,1))</f>
        <v>219.43439115440339</v>
      </c>
      <c r="FK52" s="59">
        <f t="shared" si="48"/>
        <v>217.8880462742099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9.08602762845425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2.0887203550990603</v>
      </c>
      <c r="FT52" s="22">
        <f t="shared" si="24"/>
        <v>11.17474798355331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5.875</v>
      </c>
      <c r="FZ52" s="12">
        <f>IF('Données projet'!$A$244&gt;35,FZ51+FY52-GH51,IF(A52&lt;'Données projet'!$A$244,$FW$205^A52,IF(A52='Données projet'!$A$244,'Données projet'!$B$244,FZ51+FY52-GH51)))</f>
        <v>281.625</v>
      </c>
      <c r="GA52" s="17">
        <f>FZ52*VLOOKUP('Données projet'!$B$17,Paramètres!$A$1:$I$89,3,0)*VLOOKUP('Données projet'!$B$17,Paramètres!$A$1:$I$89,5,0)</f>
        <v>168.41175000000001</v>
      </c>
      <c r="GB52" s="13">
        <f t="shared" si="49"/>
        <v>42.73411432638013</v>
      </c>
      <c r="GC52" s="20">
        <f t="shared" si="25"/>
        <v>367.74571370177881</v>
      </c>
      <c r="GD52" s="59">
        <f t="shared" si="26"/>
        <v>661.07904703511213</v>
      </c>
      <c r="GE52" s="59">
        <f ca="1">AVERAGE(OFFSET($GD$3,0,0,'Données projet'!$E$17+1,1))-AVERAGE(OFFSET($H$3,0,0,'Données projet'!$E$17+1,1))</f>
        <v>191.77102466144095</v>
      </c>
      <c r="GF52" s="59">
        <f t="shared" si="50"/>
        <v>205.57161411620217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22.723109973259696</v>
      </c>
      <c r="GM52" s="21">
        <f>EXP(-LN(2)/25)*GM51+(1-EXP(-LN(2)/25))/(LN(2)/25)*Calculateur!GH52*Calculateur!GJ52*VLOOKUP('Données projet'!$B$17,Paramètres!$A$1:$I$89,3,0)*0.475*44/12</f>
        <v>16.215247536775834</v>
      </c>
      <c r="GN52" s="21">
        <f>EXP(-LN(2)/2)*GN51+(1-EXP(-LN(2)/2))/(LN(2)/2)*GH52*GK52*VLOOKUP('Données projet'!$B$17,Paramètres!$A$1:$I$89,3,0)*0.475*44/12</f>
        <v>1.6748537977265581</v>
      </c>
      <c r="GO52" s="21">
        <f t="shared" si="27"/>
        <v>40.613211307762086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84.31577618130467</v>
      </c>
      <c r="T53" s="59">
        <f t="shared" si="34"/>
        <v>527.2140904310653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82.288885599912177</v>
      </c>
      <c r="AA53" s="21">
        <f>EXP(-LN(2)/25)*AA52+(1-EXP(-LN(2)/25))/(LN(2)/25)*Calculateur!V53*Calculateur!X53*VLOOKUP('Données projet'!$B$9,Paramètres!$A$1:$I$89,3,0)*0.475*44/12</f>
        <v>20.244017601181501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102.53290320109367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151</v>
      </c>
      <c r="AG53" s="12">
        <f>VLOOKUP(A53,'Données projet'!$A$61:$I$81,9,0)</f>
        <v>6.875</v>
      </c>
      <c r="AH53" s="12">
        <f t="array" ref="AH53">INDEX(AG:AG,MIN(IF(ISNUMBER(AG53:AG249),ROW(AG53:AG249),"")))</f>
        <v>6.875</v>
      </c>
      <c r="AI53" s="13">
        <f>IF('Données projet'!$A$62&gt;35,AI52+AH53-AQ52,IF(A53&lt;'Données projet'!$A$62,$AF$205^A53,IF(A53='Données projet'!$A$62,'Données projet'!$B$62,AI52+AH53-AQ52)))</f>
        <v>151</v>
      </c>
      <c r="AJ53" s="13">
        <f>AI53*VLOOKUP('Données projet'!$B$10,Paramètres!$A$1:$I$89,3,0)*VLOOKUP('Données projet'!$B$10,Paramètres!$A$1:$I$89,5,0)</f>
        <v>136.62479999999999</v>
      </c>
      <c r="AK53" s="13">
        <f t="shared" si="35"/>
        <v>35.522699804888632</v>
      </c>
      <c r="AL53" s="20">
        <f t="shared" si="4"/>
        <v>299.82356216018104</v>
      </c>
      <c r="AM53" s="59">
        <f t="shared" si="5"/>
        <v>593.15689549351441</v>
      </c>
      <c r="AN53" s="59">
        <f ca="1">AVERAGE(OFFSET($AM$3,0,0,'Données projet'!$E$10+1,1))-AVERAGE(OFFSET($H$3,0,0,'Données projet'!$E$10+1,1))</f>
        <v>297.90790572649428</v>
      </c>
      <c r="AO53" s="59">
        <f t="shared" si="36"/>
        <v>142.96889776844506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151</v>
      </c>
      <c r="BB53" s="12">
        <f>VLOOKUP(A53,'Données projet'!$A$87:$I$107,9,0)</f>
        <v>6.875</v>
      </c>
      <c r="BC53" s="12">
        <f t="array" ref="BC53">INDEX(BB:BB,MIN(IF(ISNUMBER(BB53:BB249),ROW(BB53:BB249),"")))</f>
        <v>6.875</v>
      </c>
      <c r="BD53" s="12">
        <f>IF('Données projet'!$A$88&gt;35,BD52+BC53-BL52,IF(A53&lt;'Données projet'!$A$88,$BA$205^A53,IF(A53='Données projet'!$A$88,'Données projet'!$B$88,BD52+BC53-BL52)))</f>
        <v>151</v>
      </c>
      <c r="BE53" s="13">
        <f>BD53*VLOOKUP('Données projet'!$B$11,Paramètres!$A$1:$I$89,3,0)*VLOOKUP('Données projet'!$B$11,Paramètres!$A$1:$I$89,5,0)</f>
        <v>153.114</v>
      </c>
      <c r="BF53" s="13">
        <f t="shared" si="37"/>
        <v>39.285404802158418</v>
      </c>
      <c r="BG53" s="20">
        <f t="shared" si="7"/>
        <v>335.09563003042587</v>
      </c>
      <c r="BH53" s="59">
        <f t="shared" si="8"/>
        <v>628.42896336375918</v>
      </c>
      <c r="BI53" s="59">
        <f ca="1">AVERAGE(OFFSET($BH$3,0,0,'Données projet'!$E$11+1,1))-AVERAGE(OFFSET($H$3,0,0,'Données projet'!$E$11+1,1))</f>
        <v>345.3294887586967</v>
      </c>
      <c r="BJ53" s="59">
        <f t="shared" si="38"/>
        <v>164.23448598618114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352</v>
      </c>
      <c r="BW53" s="12">
        <f>VLOOKUP(A53,'Données projet'!$A$113:$I$133,9,0)</f>
        <v>17.399999999999999</v>
      </c>
      <c r="BX53" s="12">
        <f t="array" ref="BX53">INDEX(BW:BW,MIN(IF(ISNUMBER(BW53:BW249),ROW(BW53:BW249),"")))</f>
        <v>17.399999999999999</v>
      </c>
      <c r="BY53" s="12">
        <f>IF('Données projet'!$A$114&gt;35,BY52+BX53-CG52,IF(A53&lt;'Données projet'!$A$114,$BV$205^A53,IF(A53='Données projet'!$A$114,'Données projet'!$B$114,BY52+BX53-CG52)))</f>
        <v>351.99999999999994</v>
      </c>
      <c r="BZ53" s="13">
        <f>BY53*VLOOKUP('Données projet'!$B$12,Paramètres!$A$1:$I$89,3,0)*VLOOKUP('Données projet'!$B$12,Paramètres!$A$1:$I$89,5,0)</f>
        <v>210.49599999999998</v>
      </c>
      <c r="CA53" s="13">
        <f t="shared" si="39"/>
        <v>52.043959291168463</v>
      </c>
      <c r="CB53" s="20">
        <f t="shared" si="10"/>
        <v>457.25709576545165</v>
      </c>
      <c r="CC53" s="59">
        <f t="shared" si="11"/>
        <v>750.59042909878497</v>
      </c>
      <c r="CD53" s="59">
        <f ca="1">AVERAGE(OFFSET($CC$3,0,0,'Données projet'!$E$12+1,1))-AVERAGE(OFFSET($H$3,0,0,'Données projet'!$E$12+1,1))</f>
        <v>289.07218105343333</v>
      </c>
      <c r="CE53" s="59">
        <f t="shared" si="40"/>
        <v>217.57508587672368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53</v>
      </c>
      <c r="CH53" s="16">
        <f>IF(ISNA(VLOOKUP(A53,'Données projet'!$A$113:$I$133,5,0)),0%,VLOOKUP(A53,'Données projet'!$A$113:$I$133,5,0)*VLOOKUP('Données projet'!$B$12,Paramètres!$A$1:$I$89,7,0))</f>
        <v>9.0000000000000011E-2</v>
      </c>
      <c r="CI53" s="16">
        <f>IF(ISNA(VLOOKUP(A53,'Données projet'!$A$113:$I$133,6,0)),0%,VLOOKUP(A53,'Données projet'!$A$113:$I$133,6,0)*VLOOKUP('Données projet'!$B$12,Paramètres!$A$1:$I$89,7,0))</f>
        <v>0.18000000000000002</v>
      </c>
      <c r="CJ53" s="16">
        <f>IF(ISNA(VLOOKUP(A53,'Données projet'!$A$113:$I$133,7,0)),0%,VLOOKUP(A53,'Données projet'!$A$113:$I$133,7,0))</f>
        <v>0.4</v>
      </c>
      <c r="CK53" s="21">
        <f>EXP(-LN(2)/35)*CK52+(1-EXP(-LN(2)/35))/(LN(2)/35)*CG53*CH53*VLOOKUP('Données projet'!$B$12,Paramètres!$A$1:$I$89,3,0)*0.475*44/12</f>
        <v>3.7839720465630715</v>
      </c>
      <c r="CL53" s="21">
        <f>EXP(-LN(2)/25)*CL52+(1-EXP(-LN(2)/25))/(LN(2)/25)*Calculateur!CG53*Calculateur!CI53*VLOOKUP('Données projet'!$B$12,Paramètres!$A$1:$I$89,3,0)*0.475*44/12</f>
        <v>37.331742118481152</v>
      </c>
      <c r="CM53" s="21">
        <f>EXP(-LN(2)/2)*CM52+(1-EXP(-LN(2)/2))/(LN(2)/2)*CG53*CJ53*VLOOKUP('Données projet'!$B$12,Paramètres!$A$1:$I$89,3,0)*0.475*44/12</f>
        <v>17.309833040700681</v>
      </c>
      <c r="CN53" s="22">
        <f t="shared" si="12"/>
        <v>58.425547205744905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231</v>
      </c>
      <c r="CR53" s="12">
        <f>VLOOKUP(A53,'Données projet'!$A$139:$I$159,9,0)</f>
        <v>5.7</v>
      </c>
      <c r="CS53" s="12">
        <f t="array" ref="CS53">INDEX(CR:CR,MIN(IF(ISNUMBER(CR53:CR249),ROW(CR53:CR249),"")))</f>
        <v>5.7</v>
      </c>
      <c r="CT53" s="12">
        <f>IF('Données projet'!$A$140&gt;35,CT52+CS53-DB52,IF(A53&lt;'Données projet'!$A$140,$CQ$205^A53,IF(A53='Données projet'!$A$140,'Données projet'!$B$140,CT52+CS53-DB52)))</f>
        <v>231</v>
      </c>
      <c r="CU53" s="17">
        <f>CT53*VLOOKUP('Données projet'!$B$13,Paramètres!$A$1:$I$89,3,0)*VLOOKUP('Données projet'!$B$13,Paramètres!$A$1:$I$89,5,0)</f>
        <v>201.80160000000004</v>
      </c>
      <c r="CV53" s="13">
        <f t="shared" si="41"/>
        <v>50.139897992681668</v>
      </c>
      <c r="CW53" s="20">
        <f t="shared" si="13"/>
        <v>438.79810900392067</v>
      </c>
      <c r="CX53" s="59">
        <f t="shared" si="14"/>
        <v>732.13144233725393</v>
      </c>
      <c r="CY53" s="59">
        <f ca="1">AVERAGE(OFFSET($CX$3,0,0,'Données projet'!$E$13+1,1))-AVERAGE(OFFSET($H$3,0,0,'Données projet'!$E$13+1,1))</f>
        <v>237.8483058552178</v>
      </c>
      <c r="CZ53" s="59">
        <f t="shared" si="42"/>
        <v>313.36201272119723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33</v>
      </c>
      <c r="DC53" s="16">
        <f>IF(ISNA(VLOOKUP(A53,'Données projet'!$A$139:$I$159,5,0)),0%,VLOOKUP(A53,'Données projet'!$A$139:$I$159,5,0)*VLOOKUP('Données projet'!$B$13,Paramètres!$A$1:$I$89,7,0))</f>
        <v>0.215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0.3</v>
      </c>
      <c r="DF53" s="21">
        <f>EXP(-LN(2)/35)*DF52+(1-EXP(-LN(2)/35))/(LN(2)/35)*DB53*DC53*VLOOKUP('Données projet'!$B$13,Paramètres!$A$1:$I$89,3,0)*0.475*44/12</f>
        <v>13.494764398722774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8.4615965465268541</v>
      </c>
      <c r="DI53" s="22">
        <f t="shared" si="15"/>
        <v>21.956360945249628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151</v>
      </c>
      <c r="DM53" s="12">
        <f>VLOOKUP(A53,'Données projet'!$A$165:$I$185,9,0)</f>
        <v>6.875</v>
      </c>
      <c r="DN53" s="12">
        <f t="array" ref="DN53">INDEX(DM:DM,MIN(IF(ISNUMBER(DM53:DM249),ROW(DM53:DM249),"")))</f>
        <v>6.875</v>
      </c>
      <c r="DO53" s="12">
        <f>IF('Données projet'!$A$166&gt;35,DO52+DN53-DW52,IF(A53&lt;'Données projet'!$A$166,$DL$205^A53,IF(A53='Données projet'!$A$166,'Données projet'!$B$166,DO52+DN53-DW52)))</f>
        <v>151</v>
      </c>
      <c r="DP53" s="17">
        <f>DO53*VLOOKUP('Données projet'!$B$14,Paramètres!$A$1:$I$89,3,0)*VLOOKUP('Données projet'!$B$14,Paramètres!$A$1:$I$89,5,0)</f>
        <v>146.0472</v>
      </c>
      <c r="DQ53" s="13">
        <f t="shared" si="43"/>
        <v>37.678906242902855</v>
      </c>
      <c r="DR53" s="20">
        <f t="shared" si="16"/>
        <v>319.98963503972249</v>
      </c>
      <c r="DS53" s="59">
        <f t="shared" si="17"/>
        <v>613.3229683730558</v>
      </c>
      <c r="DT53" s="59">
        <f ca="1">AVERAGE(OFFSET($DS$3,0,0,'Données projet'!$E$14+1,1))-AVERAGE(OFFSET($H$3,0,0,'Données projet'!$E$14+1,1))</f>
        <v>325.01961068962373</v>
      </c>
      <c r="DU53" s="59">
        <f t="shared" si="44"/>
        <v>155.12737608540039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35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219</v>
      </c>
      <c r="EH53" s="12">
        <f>VLOOKUP(A53,'Données projet'!$A$191:$I$211,9,0)</f>
        <v>7.2</v>
      </c>
      <c r="EI53" s="12">
        <f t="array" ref="EI53">INDEX(EH:EH,MIN(IF(ISNUMBER(EH53:EH249),ROW(EH53:EH249),"")))</f>
        <v>7.2</v>
      </c>
      <c r="EJ53" s="12">
        <f>IF('Données projet'!$A$192&gt;35,EJ52+EI53-ER52,IF(A53&lt;'Données projet'!$A$192,$EG$205^A53,IF(A53='Données projet'!$A$192,'Données projet'!$B$192,EJ52+EI53-ER52)))</f>
        <v>218.99999999999989</v>
      </c>
      <c r="EK53" s="17">
        <f>EJ53*VLOOKUP('Données projet'!$B$15,Paramètres!$A$1:$I$89,3,0)*VLOOKUP('Données projet'!$B$15,Paramètres!$A$1:$I$89,5,0)</f>
        <v>146.90519999999992</v>
      </c>
      <c r="EL53" s="13">
        <f t="shared" si="45"/>
        <v>37.874430144259527</v>
      </c>
      <c r="EM53" s="20">
        <f t="shared" si="19"/>
        <v>321.82452250125186</v>
      </c>
      <c r="EN53" s="59">
        <f t="shared" si="20"/>
        <v>615.15785583458523</v>
      </c>
      <c r="EO53" s="59">
        <f ca="1">AVERAGE(OFFSET($EN$3,0,0,'Données projet'!$E$15+1,1))-AVERAGE(OFFSET($H$3,0,0,'Données projet'!$E$15+1,1))</f>
        <v>178.09619481964575</v>
      </c>
      <c r="EP53" s="59">
        <f t="shared" si="46"/>
        <v>178.65167777495174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17</v>
      </c>
      <c r="ES53" s="16">
        <f>IF(ISNA(VLOOKUP(A53,'Données projet'!$A$191:$I$211,5,0)),0%,VLOOKUP(A53,'Données projet'!$A$191:$I$211,5,0)*VLOOKUP('Données projet'!$B$15,Paramètres!$A$1:$I$89,7,0))</f>
        <v>0.159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0.4</v>
      </c>
      <c r="EV53" s="21">
        <f>EXP(-LN(2)/35)*EV52+(1-EXP(-LN(2)/35))/(LN(2)/35)*ER53*ES53*VLOOKUP('Données projet'!$B$15,Paramètres!$A$1:$I$89,3,0)*0.475*44/12</f>
        <v>9.5149537782330498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5.5491115674947702</v>
      </c>
      <c r="EY53" s="22">
        <f t="shared" si="21"/>
        <v>15.064065345727819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219</v>
      </c>
      <c r="FC53" s="12">
        <f>VLOOKUP(A53,'Données projet'!$A$217:$I$237,9,0)</f>
        <v>7.2</v>
      </c>
      <c r="FD53" s="12">
        <f t="array" ref="FD53">INDEX(FC:FC,MIN(IF(ISNUMBER(FC53:FC249),ROW(FC53:FC249),"")))</f>
        <v>7.2</v>
      </c>
      <c r="FE53" s="12">
        <f>IF('Données projet'!$A$218&gt;35,FE52+FD53-FM52,IF(A53&lt;'Données projet'!$A$218,$FB$205^A53,IF(A53='Données projet'!$A$218,'Données projet'!$B$218,FE52+FD53-FM52)))</f>
        <v>218.99999999999989</v>
      </c>
      <c r="FF53" s="17">
        <f>FE53*VLOOKUP('Données projet'!$B$16,Paramètres!$A$1:$I$89,3,0)*VLOOKUP('Données projet'!$B$16,Paramètres!$A$1:$I$89,5,0)</f>
        <v>174.23639999999992</v>
      </c>
      <c r="FG53" s="13">
        <f t="shared" si="47"/>
        <v>44.03747274965864</v>
      </c>
      <c r="FH53" s="20">
        <f t="shared" si="22"/>
        <v>380.160328372322</v>
      </c>
      <c r="FI53" s="59">
        <f t="shared" si="23"/>
        <v>673.49366170565531</v>
      </c>
      <c r="FJ53" s="59">
        <f ca="1">AVERAGE(OFFSET($FI$3,0,0,'Données projet'!$E$16+1,1))-AVERAGE(OFFSET($H$3,0,0,'Données projet'!$E$16+1,1))</f>
        <v>219.43439115440339</v>
      </c>
      <c r="FK53" s="59">
        <f t="shared" si="48"/>
        <v>217.8880462742099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17</v>
      </c>
      <c r="FN53" s="16">
        <f>IF(ISNA(VLOOKUP(A53,'Données projet'!$A$217:$I$237,5,0)),0%,VLOOKUP(A53,'Données projet'!$A$217:$I$237,5,0)*VLOOKUP('Données projet'!$B$16,Paramètres!$A$1:$I$89,7,0))</f>
        <v>0.159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0.4</v>
      </c>
      <c r="FQ53" s="21">
        <f>EXP(-LN(2)/35)*FQ52+(1-EXP(-LN(2)/35))/(LN(2)/35)*FM53*FN53*VLOOKUP('Données projet'!$B$16,Paramètres!$A$1:$I$89,3,0)*0.475*44/12</f>
        <v>11.285177736974084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6.5815044172612387</v>
      </c>
      <c r="FT53" s="22">
        <f t="shared" si="24"/>
        <v>17.866682154235324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5.875</v>
      </c>
      <c r="FZ53" s="12">
        <f>IF('Données projet'!$A$244&gt;35,FZ52+FY53-GH52,IF(A53&lt;'Données projet'!$A$244,$FW$205^A53,IF(A53='Données projet'!$A$244,'Données projet'!$B$244,FZ52+FY53-GH52)))</f>
        <v>287.5</v>
      </c>
      <c r="GA53" s="17">
        <f>FZ53*VLOOKUP('Données projet'!$B$17,Paramètres!$A$1:$I$89,3,0)*VLOOKUP('Données projet'!$B$17,Paramètres!$A$1:$I$89,5,0)</f>
        <v>171.92500000000001</v>
      </c>
      <c r="GB53" s="13">
        <f t="shared" si="49"/>
        <v>43.520876607827979</v>
      </c>
      <c r="GC53" s="20">
        <f t="shared" si="25"/>
        <v>375.23490175863367</v>
      </c>
      <c r="GD53" s="59">
        <f t="shared" si="26"/>
        <v>668.56823509196693</v>
      </c>
      <c r="GE53" s="59">
        <f ca="1">AVERAGE(OFFSET($GD$3,0,0,'Données projet'!$E$17+1,1))-AVERAGE(OFFSET($H$3,0,0,'Données projet'!$E$17+1,1))</f>
        <v>191.77102466144095</v>
      </c>
      <c r="GF53" s="59">
        <f t="shared" si="50"/>
        <v>205.57161411620217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22.277523646412622</v>
      </c>
      <c r="GM53" s="21">
        <f>EXP(-LN(2)/25)*GM52+(1-EXP(-LN(2)/25))/(LN(2)/25)*Calculateur!GH53*Calculateur!GJ53*VLOOKUP('Données projet'!$B$17,Paramètres!$A$1:$I$89,3,0)*0.475*44/12</f>
        <v>15.771840740159892</v>
      </c>
      <c r="GN53" s="21">
        <f>EXP(-LN(2)/2)*GN52+(1-EXP(-LN(2)/2))/(LN(2)/2)*GH53*GK53*VLOOKUP('Données projet'!$B$17,Paramètres!$A$1:$I$89,3,0)*0.475*44/12</f>
        <v>1.1843004778684916</v>
      </c>
      <c r="GO53" s="21">
        <f t="shared" si="27"/>
        <v>39.233664864441003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84.31577618130467</v>
      </c>
      <c r="T54" s="59">
        <f t="shared" si="34"/>
        <v>527.2140904310653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80.675250744562135</v>
      </c>
      <c r="AA54" s="21">
        <f>EXP(-LN(2)/25)*AA53+(1-EXP(-LN(2)/25))/(LN(2)/25)*Calculateur!V54*Calculateur!X54*VLOOKUP('Données projet'!$B$9,Paramètres!$A$1:$I$89,3,0)*0.475*44/12</f>
        <v>19.690443875290576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100.36569461985272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7.875</v>
      </c>
      <c r="AI54" s="13">
        <f>IF('Données projet'!$A$62&gt;35,AI53+AH54-AQ53,IF(A54&lt;'Données projet'!$A$62,$AF$205^A54,IF(A54='Données projet'!$A$62,'Données projet'!$B$62,AI53+AH54-AQ53)))</f>
        <v>123.875</v>
      </c>
      <c r="AJ54" s="13">
        <f>AI54*VLOOKUP('Données projet'!$B$10,Paramètres!$A$1:$I$89,3,0)*VLOOKUP('Données projet'!$B$10,Paramètres!$A$1:$I$89,5,0)</f>
        <v>112.0821</v>
      </c>
      <c r="AK54" s="13">
        <f t="shared" si="35"/>
        <v>29.821006931508371</v>
      </c>
      <c r="AL54" s="20">
        <f t="shared" si="4"/>
        <v>247.14791123904374</v>
      </c>
      <c r="AM54" s="59">
        <f t="shared" si="5"/>
        <v>540.48124457237702</v>
      </c>
      <c r="AN54" s="59">
        <f ca="1">AVERAGE(OFFSET($AM$3,0,0,'Données projet'!$E$10+1,1))-AVERAGE(OFFSET($H$3,0,0,'Données projet'!$E$10+1,1))</f>
        <v>297.90790572649428</v>
      </c>
      <c r="AO54" s="59">
        <f t="shared" si="36"/>
        <v>142.96889776844506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7.875</v>
      </c>
      <c r="BD54" s="12">
        <f>IF('Données projet'!$A$88&gt;35,BD53+BC54-BL53,IF(A54&lt;'Données projet'!$A$88,$BA$205^A54,IF(A54='Données projet'!$A$88,'Données projet'!$B$88,BD53+BC54-BL53)))</f>
        <v>123.875</v>
      </c>
      <c r="BE54" s="13">
        <f>BD54*VLOOKUP('Données projet'!$B$11,Paramètres!$A$1:$I$89,3,0)*VLOOKUP('Données projet'!$B$11,Paramètres!$A$1:$I$89,5,0)</f>
        <v>125.60925</v>
      </c>
      <c r="BF54" s="13">
        <f t="shared" si="37"/>
        <v>32.979766046697087</v>
      </c>
      <c r="BG54" s="20">
        <f t="shared" si="7"/>
        <v>276.20920294799743</v>
      </c>
      <c r="BH54" s="59">
        <f t="shared" si="8"/>
        <v>569.54253628133074</v>
      </c>
      <c r="BI54" s="59">
        <f ca="1">AVERAGE(OFFSET($BH$3,0,0,'Données projet'!$E$11+1,1))-AVERAGE(OFFSET($H$3,0,0,'Données projet'!$E$11+1,1))</f>
        <v>345.3294887586967</v>
      </c>
      <c r="BJ54" s="59">
        <f t="shared" si="38"/>
        <v>164.23448598618114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17.625</v>
      </c>
      <c r="BY54" s="12">
        <f>IF('Données projet'!$A$114&gt;35,BY53+BX54-CG53,IF(A54&lt;'Données projet'!$A$114,$BV$205^A54,IF(A54='Données projet'!$A$114,'Données projet'!$B$114,BY53+BX54-CG53)))</f>
        <v>316.62499999999994</v>
      </c>
      <c r="BZ54" s="13">
        <f>BY54*VLOOKUP('Données projet'!$B$12,Paramètres!$A$1:$I$89,3,0)*VLOOKUP('Données projet'!$B$12,Paramètres!$A$1:$I$89,5,0)</f>
        <v>189.34174999999999</v>
      </c>
      <c r="CA54" s="13">
        <f t="shared" si="39"/>
        <v>47.394393740797923</v>
      </c>
      <c r="CB54" s="20">
        <f t="shared" si="10"/>
        <v>412.31545034855634</v>
      </c>
      <c r="CC54" s="59">
        <f t="shared" si="11"/>
        <v>705.64878368188965</v>
      </c>
      <c r="CD54" s="59">
        <f ca="1">AVERAGE(OFFSET($CC$3,0,0,'Données projet'!$E$12+1,1))-AVERAGE(OFFSET($H$3,0,0,'Données projet'!$E$12+1,1))</f>
        <v>289.07218105343333</v>
      </c>
      <c r="CE54" s="59">
        <f t="shared" si="40"/>
        <v>217.57508587672368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3.7097706627250226</v>
      </c>
      <c r="CL54" s="21">
        <f>EXP(-LN(2)/25)*CL53+(1-EXP(-LN(2)/25))/(LN(2)/25)*Calculateur!CG54*Calculateur!CI54*VLOOKUP('Données projet'!$B$12,Paramètres!$A$1:$I$89,3,0)*0.475*44/12</f>
        <v>36.310903667060288</v>
      </c>
      <c r="CM54" s="21">
        <f>EXP(-LN(2)/2)*CM53+(1-EXP(-LN(2)/2))/(LN(2)/2)*CG54*CJ54*VLOOKUP('Données projet'!$B$12,Paramètres!$A$1:$I$89,3,0)*0.475*44/12</f>
        <v>12.239900324286408</v>
      </c>
      <c r="CN54" s="22">
        <f t="shared" si="12"/>
        <v>52.260574654071718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4.4000000000000004</v>
      </c>
      <c r="CT54" s="12">
        <f>IF('Données projet'!$A$140&gt;35,CT53+CS54-DB53,IF(A54&lt;'Données projet'!$A$140,$CQ$205^A54,IF(A54='Données projet'!$A$140,'Données projet'!$B$140,CT53+CS54-DB53)))</f>
        <v>202.4</v>
      </c>
      <c r="CU54" s="17">
        <f>CT54*VLOOKUP('Données projet'!$B$13,Paramètres!$A$1:$I$89,3,0)*VLOOKUP('Données projet'!$B$13,Paramètres!$A$1:$I$89,5,0)</f>
        <v>176.81664000000001</v>
      </c>
      <c r="CV54" s="13">
        <f t="shared" si="41"/>
        <v>44.613213392736419</v>
      </c>
      <c r="CW54" s="20">
        <f t="shared" si="13"/>
        <v>385.65699465901594</v>
      </c>
      <c r="CX54" s="59">
        <f t="shared" si="14"/>
        <v>678.99032799234919</v>
      </c>
      <c r="CY54" s="59">
        <f ca="1">AVERAGE(OFFSET($CX$3,0,0,'Données projet'!$E$13+1,1))-AVERAGE(OFFSET($H$3,0,0,'Données projet'!$E$13+1,1))</f>
        <v>237.8483058552178</v>
      </c>
      <c r="CZ54" s="59">
        <f t="shared" si="42"/>
        <v>313.36201272119723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13.230140299857361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5.9832522977138112</v>
      </c>
      <c r="DI54" s="22">
        <f t="shared" si="15"/>
        <v>19.213392597571172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7.875</v>
      </c>
      <c r="DO54" s="12">
        <f>IF('Données projet'!$A$166&gt;35,DO53+DN54-DW53,IF(A54&lt;'Données projet'!$A$166,$DL$205^A54,IF(A54='Données projet'!$A$166,'Données projet'!$B$166,DO53+DN54-DW53)))</f>
        <v>123.875</v>
      </c>
      <c r="DP54" s="17">
        <f>DO54*VLOOKUP('Données projet'!$B$14,Paramètres!$A$1:$I$89,3,0)*VLOOKUP('Données projet'!$B$14,Paramètres!$A$1:$I$89,5,0)</f>
        <v>119.81189999999999</v>
      </c>
      <c r="DQ54" s="13">
        <f t="shared" si="43"/>
        <v>31.631124053432114</v>
      </c>
      <c r="DR54" s="20">
        <f t="shared" si="16"/>
        <v>263.76326689306092</v>
      </c>
      <c r="DS54" s="59">
        <f t="shared" si="17"/>
        <v>557.09660022639423</v>
      </c>
      <c r="DT54" s="59">
        <f ca="1">AVERAGE(OFFSET($DS$3,0,0,'Données projet'!$E$14+1,1))-AVERAGE(OFFSET($H$3,0,0,'Données projet'!$E$14+1,1))</f>
        <v>325.01961068962373</v>
      </c>
      <c r="DU54" s="59">
        <f t="shared" si="44"/>
        <v>155.12737608540039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</v>
      </c>
      <c r="EJ54" s="12">
        <f>IF('Données projet'!$A$192&gt;35,EJ53+EI54-ER53,IF(A54&lt;'Données projet'!$A$192,$EG$205^A54,IF(A54='Données projet'!$A$192,'Données projet'!$B$192,EJ53+EI54-ER53)))</f>
        <v>207.99999999999989</v>
      </c>
      <c r="EK54" s="17">
        <f>EJ54*VLOOKUP('Données projet'!$B$15,Paramètres!$A$1:$I$89,3,0)*VLOOKUP('Données projet'!$B$15,Paramètres!$A$1:$I$89,5,0)</f>
        <v>139.52639999999994</v>
      </c>
      <c r="EL54" s="13">
        <f t="shared" si="45"/>
        <v>36.188488997813856</v>
      </c>
      <c r="EM54" s="20">
        <f t="shared" si="19"/>
        <v>306.03676500452571</v>
      </c>
      <c r="EN54" s="59">
        <f t="shared" si="20"/>
        <v>599.37009833785896</v>
      </c>
      <c r="EO54" s="59">
        <f ca="1">AVERAGE(OFFSET($EN$3,0,0,'Données projet'!$E$15+1,1))-AVERAGE(OFFSET($H$3,0,0,'Données projet'!$E$15+1,1))</f>
        <v>178.09619481964575</v>
      </c>
      <c r="EP54" s="59">
        <f t="shared" si="46"/>
        <v>178.65167777495174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9.3283713381906512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3.9238144189362645</v>
      </c>
      <c r="EY54" s="22">
        <f t="shared" si="21"/>
        <v>13.252185757126917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</v>
      </c>
      <c r="FE54" s="12">
        <f>IF('Données projet'!$A$218&gt;35,FE53+FD54-FM53,IF(A54&lt;'Données projet'!$A$218,$FB$205^A54,IF(A54='Données projet'!$A$218,'Données projet'!$B$218,FE53+FD54-FM53)))</f>
        <v>207.99999999999989</v>
      </c>
      <c r="FF54" s="17">
        <f>FE54*VLOOKUP('Données projet'!$B$16,Paramètres!$A$1:$I$89,3,0)*VLOOKUP('Données projet'!$B$16,Paramètres!$A$1:$I$89,5,0)</f>
        <v>165.48479999999992</v>
      </c>
      <c r="FG54" s="13">
        <f t="shared" si="47"/>
        <v>42.077190125964002</v>
      </c>
      <c r="FH54" s="20">
        <f t="shared" si="22"/>
        <v>361.5037994693871</v>
      </c>
      <c r="FI54" s="59">
        <f t="shared" si="23"/>
        <v>654.83713280272036</v>
      </c>
      <c r="FJ54" s="59">
        <f ca="1">AVERAGE(OFFSET($FI$3,0,0,'Données projet'!$E$16+1,1))-AVERAGE(OFFSET($H$3,0,0,'Données projet'!$E$16+1,1))</f>
        <v>219.43439115440339</v>
      </c>
      <c r="FK54" s="59">
        <f t="shared" si="48"/>
        <v>217.8880462742099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11.063882284830775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4.6538264038546391</v>
      </c>
      <c r="FT54" s="22">
        <f t="shared" si="24"/>
        <v>15.717708688685414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5.875</v>
      </c>
      <c r="FZ54" s="12">
        <f>IF('Données projet'!$A$244&gt;35,FZ53+FY54-GH53,IF(A54&lt;'Données projet'!$A$244,$FW$205^A54,IF(A54='Données projet'!$A$244,'Données projet'!$B$244,FZ53+FY54-GH53)))</f>
        <v>293.375</v>
      </c>
      <c r="GA54" s="17">
        <f>FZ54*VLOOKUP('Données projet'!$B$17,Paramètres!$A$1:$I$89,3,0)*VLOOKUP('Données projet'!$B$17,Paramètres!$A$1:$I$89,5,0)</f>
        <v>175.43825000000004</v>
      </c>
      <c r="GB54" s="13">
        <f t="shared" si="49"/>
        <v>44.305769576051844</v>
      </c>
      <c r="GC54" s="20">
        <f t="shared" si="25"/>
        <v>382.72083409495696</v>
      </c>
      <c r="GD54" s="59">
        <f t="shared" si="26"/>
        <v>676.05416742829027</v>
      </c>
      <c r="GE54" s="59">
        <f ca="1">AVERAGE(OFFSET($GD$3,0,0,'Données projet'!$E$17+1,1))-AVERAGE(OFFSET($H$3,0,0,'Données projet'!$E$17+1,1))</f>
        <v>191.77102466144095</v>
      </c>
      <c r="GF54" s="59">
        <f t="shared" si="50"/>
        <v>205.57161411620217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21.840674995654197</v>
      </c>
      <c r="GM54" s="21">
        <f>EXP(-LN(2)/25)*GM53+(1-EXP(-LN(2)/25))/(LN(2)/25)*Calculateur!GH54*Calculateur!GJ54*VLOOKUP('Données projet'!$B$17,Paramètres!$A$1:$I$89,3,0)*0.475*44/12</f>
        <v>15.340558925715161</v>
      </c>
      <c r="GN54" s="21">
        <f>EXP(-LN(2)/2)*GN53+(1-EXP(-LN(2)/2))/(LN(2)/2)*GH54*GK54*VLOOKUP('Données projet'!$B$17,Paramètres!$A$1:$I$89,3,0)*0.475*44/12</f>
        <v>0.83742689886327915</v>
      </c>
      <c r="GO54" s="21">
        <f t="shared" si="27"/>
        <v>38.018660820232633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84.31577618130467</v>
      </c>
      <c r="T55" s="59">
        <f t="shared" si="34"/>
        <v>527.2140904310653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79.093258284505438</v>
      </c>
      <c r="AA55" s="21">
        <f>EXP(-LN(2)/25)*AA54+(1-EXP(-LN(2)/25))/(LN(2)/25)*Calculateur!V55*Calculateur!X55*VLOOKUP('Données projet'!$B$9,Paramètres!$A$1:$I$89,3,0)*0.475*44/12</f>
        <v>19.152007652045317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98.245265936550751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7.875</v>
      </c>
      <c r="AI55" s="13">
        <f>IF('Données projet'!$A$62&gt;35,AI54+AH55-AQ54,IF(A55&lt;'Données projet'!$A$62,$AF$205^A55,IF(A55='Données projet'!$A$62,'Données projet'!$B$62,AI54+AH55-AQ54)))</f>
        <v>131.75</v>
      </c>
      <c r="AJ55" s="13">
        <f>AI55*VLOOKUP('Données projet'!$B$10,Paramètres!$A$1:$I$89,3,0)*VLOOKUP('Données projet'!$B$10,Paramètres!$A$1:$I$89,5,0)</f>
        <v>119.20739999999999</v>
      </c>
      <c r="AK55" s="13">
        <f t="shared" si="35"/>
        <v>31.490067122235608</v>
      </c>
      <c r="AL55" s="20">
        <f t="shared" si="4"/>
        <v>262.46475523789366</v>
      </c>
      <c r="AM55" s="59">
        <f t="shared" si="5"/>
        <v>555.79808857122703</v>
      </c>
      <c r="AN55" s="59">
        <f ca="1">AVERAGE(OFFSET($AM$3,0,0,'Données projet'!$E$10+1,1))-AVERAGE(OFFSET($H$3,0,0,'Données projet'!$E$10+1,1))</f>
        <v>297.90790572649428</v>
      </c>
      <c r="AO55" s="59">
        <f t="shared" si="36"/>
        <v>142.96889776844506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7.875</v>
      </c>
      <c r="BD55" s="12">
        <f>IF('Données projet'!$A$88&gt;35,BD54+BC55-BL54,IF(A55&lt;'Données projet'!$A$88,$BA$205^A55,IF(A55='Données projet'!$A$88,'Données projet'!$B$88,BD54+BC55-BL54)))</f>
        <v>131.75</v>
      </c>
      <c r="BE55" s="13">
        <f>BD55*VLOOKUP('Données projet'!$B$11,Paramètres!$A$1:$I$89,3,0)*VLOOKUP('Données projet'!$B$11,Paramètres!$A$1:$I$89,5,0)</f>
        <v>133.59450000000001</v>
      </c>
      <c r="BF55" s="13">
        <f t="shared" si="37"/>
        <v>34.825619700615128</v>
      </c>
      <c r="BG55" s="20">
        <f t="shared" si="7"/>
        <v>293.33170847857133</v>
      </c>
      <c r="BH55" s="59">
        <f t="shared" si="8"/>
        <v>586.66504181190464</v>
      </c>
      <c r="BI55" s="59">
        <f ca="1">AVERAGE(OFFSET($BH$3,0,0,'Données projet'!$E$11+1,1))-AVERAGE(OFFSET($H$3,0,0,'Données projet'!$E$11+1,1))</f>
        <v>345.3294887586967</v>
      </c>
      <c r="BJ55" s="59">
        <f t="shared" si="38"/>
        <v>164.23448598618114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17.625</v>
      </c>
      <c r="BY55" s="12">
        <f>IF('Données projet'!$A$114&gt;35,BY54+BX55-CG54,IF(A55&lt;'Données projet'!$A$114,$BV$205^A55,IF(A55='Données projet'!$A$114,'Données projet'!$B$114,BY54+BX55-CG54)))</f>
        <v>334.24999999999994</v>
      </c>
      <c r="BZ55" s="13">
        <f>BY55*VLOOKUP('Données projet'!$B$12,Paramètres!$A$1:$I$89,3,0)*VLOOKUP('Données projet'!$B$12,Paramètres!$A$1:$I$89,5,0)</f>
        <v>199.88149999999996</v>
      </c>
      <c r="CA55" s="13">
        <f t="shared" si="39"/>
        <v>49.71812411377941</v>
      </c>
      <c r="CB55" s="20">
        <f t="shared" si="10"/>
        <v>434.71934533149914</v>
      </c>
      <c r="CC55" s="59">
        <f t="shared" si="11"/>
        <v>728.05267866483246</v>
      </c>
      <c r="CD55" s="59">
        <f ca="1">AVERAGE(OFFSET($CC$3,0,0,'Données projet'!$E$12+1,1))-AVERAGE(OFFSET($H$3,0,0,'Données projet'!$E$12+1,1))</f>
        <v>289.07218105343333</v>
      </c>
      <c r="CE55" s="59">
        <f t="shared" si="40"/>
        <v>217.57508587672368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3.6370243227656625</v>
      </c>
      <c r="CL55" s="21">
        <f>EXP(-LN(2)/25)*CL54+(1-EXP(-LN(2)/25))/(LN(2)/25)*Calculateur!CG55*Calculateur!CI55*VLOOKUP('Données projet'!$B$12,Paramètres!$A$1:$I$89,3,0)*0.475*44/12</f>
        <v>35.317980096777092</v>
      </c>
      <c r="CM55" s="21">
        <f>EXP(-LN(2)/2)*CM54+(1-EXP(-LN(2)/2))/(LN(2)/2)*CG55*CJ55*VLOOKUP('Données projet'!$B$12,Paramètres!$A$1:$I$89,3,0)*0.475*44/12</f>
        <v>8.6549165203503424</v>
      </c>
      <c r="CN55" s="22">
        <f t="shared" si="12"/>
        <v>47.609920939893094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4.4000000000000004</v>
      </c>
      <c r="CT55" s="12">
        <f>IF('Données projet'!$A$140&gt;35,CT54+CS55-DB54,IF(A55&lt;'Données projet'!$A$140,$CQ$205^A55,IF(A55='Données projet'!$A$140,'Données projet'!$B$140,CT54+CS55-DB54)))</f>
        <v>206.8</v>
      </c>
      <c r="CU55" s="17">
        <f>CT55*VLOOKUP('Données projet'!$B$13,Paramètres!$A$1:$I$89,3,0)*VLOOKUP('Données projet'!$B$13,Paramètres!$A$1:$I$89,5,0)</f>
        <v>180.66048000000004</v>
      </c>
      <c r="CV55" s="13">
        <f t="shared" si="41"/>
        <v>45.469099459918802</v>
      </c>
      <c r="CW55" s="20">
        <f t="shared" si="13"/>
        <v>393.84235089269191</v>
      </c>
      <c r="CX55" s="59">
        <f t="shared" si="14"/>
        <v>687.17568422602517</v>
      </c>
      <c r="CY55" s="59">
        <f ca="1">AVERAGE(OFFSET($CX$3,0,0,'Données projet'!$E$13+1,1))-AVERAGE(OFFSET($H$3,0,0,'Données projet'!$E$13+1,1))</f>
        <v>237.8483058552178</v>
      </c>
      <c r="CZ55" s="59">
        <f t="shared" si="42"/>
        <v>313.36201272119723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12.970705318165935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4.2307982732634279</v>
      </c>
      <c r="DI55" s="22">
        <f t="shared" si="15"/>
        <v>17.201503591429365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7.875</v>
      </c>
      <c r="DO55" s="12">
        <f>IF('Données projet'!$A$166&gt;35,DO54+DN55-DW54,IF(A55&lt;'Données projet'!$A$166,$DL$205^A55,IF(A55='Données projet'!$A$166,'Données projet'!$B$166,DO54+DN55-DW54)))</f>
        <v>131.75</v>
      </c>
      <c r="DP55" s="17">
        <f>DO55*VLOOKUP('Données projet'!$B$14,Paramètres!$A$1:$I$89,3,0)*VLOOKUP('Données projet'!$B$14,Paramètres!$A$1:$I$89,5,0)</f>
        <v>127.4286</v>
      </c>
      <c r="DQ55" s="13">
        <f t="shared" si="43"/>
        <v>33.401495190355625</v>
      </c>
      <c r="DR55" s="20">
        <f t="shared" si="16"/>
        <v>280.11241578986937</v>
      </c>
      <c r="DS55" s="59">
        <f t="shared" si="17"/>
        <v>573.44574912320263</v>
      </c>
      <c r="DT55" s="59">
        <f ca="1">AVERAGE(OFFSET($DS$3,0,0,'Données projet'!$E$14+1,1))-AVERAGE(OFFSET($H$3,0,0,'Données projet'!$E$14+1,1))</f>
        <v>325.01961068962373</v>
      </c>
      <c r="DU55" s="59">
        <f t="shared" si="44"/>
        <v>155.12737608540039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</v>
      </c>
      <c r="EJ55" s="12">
        <f>IF('Données projet'!$A$192&gt;35,EJ54+EI55-ER54,IF(A55&lt;'Données projet'!$A$192,$EG$205^A55,IF(A55='Données projet'!$A$192,'Données projet'!$B$192,EJ54+EI55-ER54)))</f>
        <v>213.99999999999989</v>
      </c>
      <c r="EK55" s="17">
        <f>EJ55*VLOOKUP('Données projet'!$B$15,Paramètres!$A$1:$I$89,3,0)*VLOOKUP('Données projet'!$B$15,Paramètres!$A$1:$I$89,5,0)</f>
        <v>143.55119999999994</v>
      </c>
      <c r="EL55" s="13">
        <f t="shared" si="45"/>
        <v>37.109345732537925</v>
      </c>
      <c r="EM55" s="20">
        <f t="shared" si="19"/>
        <v>314.65045048417011</v>
      </c>
      <c r="EN55" s="59">
        <f t="shared" si="20"/>
        <v>607.98378381750342</v>
      </c>
      <c r="EO55" s="59">
        <f ca="1">AVERAGE(OFFSET($EN$3,0,0,'Données projet'!$E$15+1,1))-AVERAGE(OFFSET($H$3,0,0,'Données projet'!$E$15+1,1))</f>
        <v>178.09619481964575</v>
      </c>
      <c r="EP55" s="59">
        <f t="shared" si="46"/>
        <v>178.65167777495174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9.1454476659934336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2.7745557837473855</v>
      </c>
      <c r="EY55" s="22">
        <f t="shared" si="21"/>
        <v>11.920003449740818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</v>
      </c>
      <c r="FE55" s="12">
        <f>IF('Données projet'!$A$218&gt;35,FE54+FD55-FM54,IF(A55&lt;'Données projet'!$A$218,$FB$205^A55,IF(A55='Données projet'!$A$218,'Données projet'!$B$218,FE54+FD55-FM54)))</f>
        <v>213.99999999999989</v>
      </c>
      <c r="FF55" s="17">
        <f>FE55*VLOOKUP('Données projet'!$B$16,Paramètres!$A$1:$I$89,3,0)*VLOOKUP('Données projet'!$B$16,Paramètres!$A$1:$I$89,5,0)</f>
        <v>170.25839999999991</v>
      </c>
      <c r="FG55" s="13">
        <f t="shared" si="47"/>
        <v>43.147891472685018</v>
      </c>
      <c r="FH55" s="20">
        <f t="shared" si="22"/>
        <v>371.68262431492622</v>
      </c>
      <c r="FI55" s="59">
        <f t="shared" si="23"/>
        <v>665.01595764825947</v>
      </c>
      <c r="FJ55" s="59">
        <f ca="1">AVERAGE(OFFSET($FI$3,0,0,'Données projet'!$E$16+1,1))-AVERAGE(OFFSET($H$3,0,0,'Données projet'!$E$16+1,1))</f>
        <v>219.43439115440339</v>
      </c>
      <c r="FK55" s="59">
        <f t="shared" si="48"/>
        <v>217.8880462742099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10.846926301527098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3.2907522086306198</v>
      </c>
      <c r="FT55" s="22">
        <f t="shared" si="24"/>
        <v>14.137678510157718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5.875</v>
      </c>
      <c r="FZ55" s="12">
        <f>IF('Données projet'!$A$244&gt;35,FZ54+FY55-GH54,IF(A55&lt;'Données projet'!$A$244,$FW$205^A55,IF(A55='Données projet'!$A$244,'Données projet'!$B$244,FZ54+FY55-GH54)))</f>
        <v>299.25</v>
      </c>
      <c r="GA55" s="17">
        <f>FZ55*VLOOKUP('Données projet'!$B$17,Paramètres!$A$1:$I$89,3,0)*VLOOKUP('Données projet'!$B$17,Paramètres!$A$1:$I$89,5,0)</f>
        <v>178.95150000000001</v>
      </c>
      <c r="GB55" s="13">
        <f t="shared" si="49"/>
        <v>45.088834979390157</v>
      </c>
      <c r="GC55" s="20">
        <f t="shared" si="25"/>
        <v>390.20358342243782</v>
      </c>
      <c r="GD55" s="59">
        <f t="shared" si="26"/>
        <v>683.53691675577113</v>
      </c>
      <c r="GE55" s="59">
        <f ca="1">AVERAGE(OFFSET($GD$3,0,0,'Données projet'!$E$17+1,1))-AVERAGE(OFFSET($H$3,0,0,'Données projet'!$E$17+1,1))</f>
        <v>191.77102466144095</v>
      </c>
      <c r="GF55" s="59">
        <f t="shared" si="50"/>
        <v>205.57161411620217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21.412392680485777</v>
      </c>
      <c r="GM55" s="21">
        <f>EXP(-LN(2)/25)*GM54+(1-EXP(-LN(2)/25))/(LN(2)/25)*Calculateur!GH55*Calculateur!GJ55*VLOOKUP('Données projet'!$B$17,Paramètres!$A$1:$I$89,3,0)*0.475*44/12</f>
        <v>14.921070535166548</v>
      </c>
      <c r="GN55" s="21">
        <f>EXP(-LN(2)/2)*GN54+(1-EXP(-LN(2)/2))/(LN(2)/2)*GH55*GK55*VLOOKUP('Données projet'!$B$17,Paramètres!$A$1:$I$89,3,0)*0.475*44/12</f>
        <v>0.59215023893424579</v>
      </c>
      <c r="GO55" s="21">
        <f t="shared" si="27"/>
        <v>36.925613454586568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84.31577618130467</v>
      </c>
      <c r="T56" s="59">
        <f t="shared" si="34"/>
        <v>527.2140904310653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77.542287731670328</v>
      </c>
      <c r="AA56" s="21">
        <f>EXP(-LN(2)/25)*AA55+(1-EXP(-LN(2)/25))/(LN(2)/25)*Calculateur!V56*Calculateur!X56*VLOOKUP('Données projet'!$B$9,Paramètres!$A$1:$I$89,3,0)*0.475*44/12</f>
        <v>18.628294995639827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96.170582727310148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7.875</v>
      </c>
      <c r="AI56" s="13">
        <f>IF('Données projet'!$A$62&gt;35,AI55+AH56-AQ55,IF(A56&lt;'Données projet'!$A$62,$AF$205^A56,IF(A56='Données projet'!$A$62,'Données projet'!$B$62,AI55+AH56-AQ55)))</f>
        <v>139.625</v>
      </c>
      <c r="AJ56" s="13">
        <f>AI56*VLOOKUP('Données projet'!$B$10,Paramètres!$A$1:$I$89,3,0)*VLOOKUP('Données projet'!$B$10,Paramètres!$A$1:$I$89,5,0)</f>
        <v>126.33269999999999</v>
      </c>
      <c r="AK56" s="13">
        <f t="shared" si="35"/>
        <v>33.147547860677506</v>
      </c>
      <c r="AL56" s="20">
        <f t="shared" si="4"/>
        <v>277.7614316906799</v>
      </c>
      <c r="AM56" s="59">
        <f t="shared" si="5"/>
        <v>571.09476502401321</v>
      </c>
      <c r="AN56" s="59">
        <f ca="1">AVERAGE(OFFSET($AM$3,0,0,'Données projet'!$E$10+1,1))-AVERAGE(OFFSET($H$3,0,0,'Données projet'!$E$10+1,1))</f>
        <v>297.90790572649428</v>
      </c>
      <c r="AO56" s="59">
        <f t="shared" si="36"/>
        <v>142.96889776844506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7.875</v>
      </c>
      <c r="BD56" s="12">
        <f>IF('Données projet'!$A$88&gt;35,BD55+BC56-BL55,IF(A56&lt;'Données projet'!$A$88,$BA$205^A56,IF(A56='Données projet'!$A$88,'Données projet'!$B$88,BD55+BC56-BL55)))</f>
        <v>139.625</v>
      </c>
      <c r="BE56" s="13">
        <f>BD56*VLOOKUP('Données projet'!$B$11,Paramètres!$A$1:$I$89,3,0)*VLOOKUP('Données projet'!$B$11,Paramètres!$A$1:$I$89,5,0)</f>
        <v>141.57975000000002</v>
      </c>
      <c r="BF56" s="13">
        <f t="shared" si="37"/>
        <v>36.658667360818853</v>
      </c>
      <c r="BG56" s="20">
        <f t="shared" si="7"/>
        <v>310.43191023675951</v>
      </c>
      <c r="BH56" s="59">
        <f t="shared" si="8"/>
        <v>603.76524357009282</v>
      </c>
      <c r="BI56" s="59">
        <f ca="1">AVERAGE(OFFSET($BH$3,0,0,'Données projet'!$E$11+1,1))-AVERAGE(OFFSET($H$3,0,0,'Données projet'!$E$11+1,1))</f>
        <v>345.3294887586967</v>
      </c>
      <c r="BJ56" s="59">
        <f t="shared" si="38"/>
        <v>164.23448598618114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17.625</v>
      </c>
      <c r="BY56" s="12">
        <f>IF('Données projet'!$A$114&gt;35,BY55+BX56-CG55,IF(A56&lt;'Données projet'!$A$114,$BV$205^A56,IF(A56='Données projet'!$A$114,'Données projet'!$B$114,BY55+BX56-CG55)))</f>
        <v>351.87499999999994</v>
      </c>
      <c r="BZ56" s="13">
        <f>BY56*VLOOKUP('Données projet'!$B$12,Paramètres!$A$1:$I$89,3,0)*VLOOKUP('Données projet'!$B$12,Paramètres!$A$1:$I$89,5,0)</f>
        <v>210.42124999999999</v>
      </c>
      <c r="CA56" s="13">
        <f t="shared" si="39"/>
        <v>52.027628682866947</v>
      </c>
      <c r="CB56" s="20">
        <f t="shared" si="10"/>
        <v>457.09846370599325</v>
      </c>
      <c r="CC56" s="59">
        <f t="shared" si="11"/>
        <v>750.43179703932651</v>
      </c>
      <c r="CD56" s="59">
        <f ca="1">AVERAGE(OFFSET($CC$3,0,0,'Données projet'!$E$12+1,1))-AVERAGE(OFFSET($H$3,0,0,'Données projet'!$E$12+1,1))</f>
        <v>289.07218105343333</v>
      </c>
      <c r="CE56" s="59">
        <f t="shared" si="40"/>
        <v>217.57508587672368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3.5657044941620191</v>
      </c>
      <c r="CL56" s="21">
        <f>EXP(-LN(2)/25)*CL55+(1-EXP(-LN(2)/25))/(LN(2)/25)*Calculateur!CG56*Calculateur!CI56*VLOOKUP('Données projet'!$B$12,Paramètres!$A$1:$I$89,3,0)*0.475*44/12</f>
        <v>34.352208073738872</v>
      </c>
      <c r="CM56" s="21">
        <f>EXP(-LN(2)/2)*CM55+(1-EXP(-LN(2)/2))/(LN(2)/2)*CG56*CJ56*VLOOKUP('Données projet'!$B$12,Paramètres!$A$1:$I$89,3,0)*0.475*44/12</f>
        <v>6.1199501621432049</v>
      </c>
      <c r="CN56" s="22">
        <f t="shared" si="12"/>
        <v>44.037862730044097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4.4000000000000004</v>
      </c>
      <c r="CT56" s="12">
        <f>IF('Données projet'!$A$140&gt;35,CT55+CS56-DB55,IF(A56&lt;'Données projet'!$A$140,$CQ$205^A56,IF(A56='Données projet'!$A$140,'Données projet'!$B$140,CT55+CS56-DB55)))</f>
        <v>211.20000000000002</v>
      </c>
      <c r="CU56" s="17">
        <f>CT56*VLOOKUP('Données projet'!$B$13,Paramètres!$A$1:$I$89,3,0)*VLOOKUP('Données projet'!$B$13,Paramètres!$A$1:$I$89,5,0)</f>
        <v>184.50432000000004</v>
      </c>
      <c r="CV56" s="13">
        <f t="shared" si="41"/>
        <v>46.322868297094622</v>
      </c>
      <c r="CW56" s="20">
        <f t="shared" si="13"/>
        <v>402.02401961743982</v>
      </c>
      <c r="CX56" s="59">
        <f t="shared" si="14"/>
        <v>695.35735295077313</v>
      </c>
      <c r="CY56" s="59">
        <f ca="1">AVERAGE(OFFSET($CX$3,0,0,'Données projet'!$E$13+1,1))-AVERAGE(OFFSET($H$3,0,0,'Données projet'!$E$13+1,1))</f>
        <v>237.8483058552178</v>
      </c>
      <c r="CZ56" s="59">
        <f t="shared" si="42"/>
        <v>313.36201272119723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12.716357698225764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2.991626148856906</v>
      </c>
      <c r="DI56" s="22">
        <f t="shared" si="15"/>
        <v>15.707983847082669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7.875</v>
      </c>
      <c r="DO56" s="12">
        <f>IF('Données projet'!$A$166&gt;35,DO55+DN56-DW55,IF(A56&lt;'Données projet'!$A$166,$DL$205^A56,IF(A56='Données projet'!$A$166,'Données projet'!$B$166,DO55+DN56-DW55)))</f>
        <v>139.625</v>
      </c>
      <c r="DP56" s="17">
        <f>DO56*VLOOKUP('Données projet'!$B$14,Paramètres!$A$1:$I$89,3,0)*VLOOKUP('Données projet'!$B$14,Paramètres!$A$1:$I$89,5,0)</f>
        <v>135.0453</v>
      </c>
      <c r="DQ56" s="13">
        <f t="shared" si="43"/>
        <v>35.159584009228986</v>
      </c>
      <c r="DR56" s="20">
        <f t="shared" si="16"/>
        <v>296.44017298274048</v>
      </c>
      <c r="DS56" s="59">
        <f t="shared" si="17"/>
        <v>589.77350631607374</v>
      </c>
      <c r="DT56" s="59">
        <f ca="1">AVERAGE(OFFSET($DS$3,0,0,'Données projet'!$E$14+1,1))-AVERAGE(OFFSET($H$3,0,0,'Données projet'!$E$14+1,1))</f>
        <v>325.01961068962373</v>
      </c>
      <c r="DU56" s="59">
        <f t="shared" si="44"/>
        <v>155.12737608540039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</v>
      </c>
      <c r="EJ56" s="12">
        <f>IF('Données projet'!$A$192&gt;35,EJ55+EI56-ER55,IF(A56&lt;'Données projet'!$A$192,$EG$205^A56,IF(A56='Données projet'!$A$192,'Données projet'!$B$192,EJ55+EI56-ER55)))</f>
        <v>219.99999999999989</v>
      </c>
      <c r="EK56" s="17">
        <f>EJ56*VLOOKUP('Données projet'!$B$15,Paramètres!$A$1:$I$89,3,0)*VLOOKUP('Données projet'!$B$15,Paramètres!$A$1:$I$89,5,0)</f>
        <v>147.57599999999994</v>
      </c>
      <c r="EL56" s="13">
        <f t="shared" si="45"/>
        <v>38.027201687128048</v>
      </c>
      <c r="EM56" s="20">
        <f t="shared" si="19"/>
        <v>323.25890960508121</v>
      </c>
      <c r="EN56" s="59">
        <f t="shared" si="20"/>
        <v>616.59224293841453</v>
      </c>
      <c r="EO56" s="59">
        <f ca="1">AVERAGE(OFFSET($EN$3,0,0,'Données projet'!$E$15+1,1))-AVERAGE(OFFSET($H$3,0,0,'Données projet'!$E$15+1,1))</f>
        <v>178.09619481964575</v>
      </c>
      <c r="EP56" s="59">
        <f t="shared" si="46"/>
        <v>178.65167777495174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8.9661110154355796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1.9619072094681325</v>
      </c>
      <c r="EY56" s="22">
        <f t="shared" si="21"/>
        <v>10.928018224903711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</v>
      </c>
      <c r="FE56" s="12">
        <f>IF('Données projet'!$A$218&gt;35,FE55+FD56-FM55,IF(A56&lt;'Données projet'!$A$218,$FB$205^A56,IF(A56='Données projet'!$A$218,'Données projet'!$B$218,FE55+FD56-FM55)))</f>
        <v>219.99999999999989</v>
      </c>
      <c r="FF56" s="17">
        <f>FE56*VLOOKUP('Données projet'!$B$16,Paramètres!$A$1:$I$89,3,0)*VLOOKUP('Données projet'!$B$16,Paramètres!$A$1:$I$89,5,0)</f>
        <v>175.03199999999993</v>
      </c>
      <c r="FG56" s="13">
        <f t="shared" si="47"/>
        <v>44.215103743191008</v>
      </c>
      <c r="FH56" s="20">
        <f t="shared" si="22"/>
        <v>381.85537235272426</v>
      </c>
      <c r="FI56" s="59">
        <f t="shared" si="23"/>
        <v>675.18870568605757</v>
      </c>
      <c r="FJ56" s="59">
        <f ca="1">AVERAGE(OFFSET($FI$3,0,0,'Données projet'!$E$16+1,1))-AVERAGE(OFFSET($H$3,0,0,'Données projet'!$E$16+1,1))</f>
        <v>219.43439115440339</v>
      </c>
      <c r="FK56" s="59">
        <f t="shared" si="48"/>
        <v>217.8880462742099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10.634224692725923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2.32691320192732</v>
      </c>
      <c r="FT56" s="22">
        <f t="shared" si="24"/>
        <v>12.961137894653243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5.875</v>
      </c>
      <c r="FZ56" s="12">
        <f>IF('Données projet'!$A$244&gt;35,FZ55+FY56-GH55,IF(A56&lt;'Données projet'!$A$244,$FW$205^A56,IF(A56='Données projet'!$A$244,'Données projet'!$B$244,FZ55+FY56-GH55)))</f>
        <v>305.125</v>
      </c>
      <c r="GA56" s="17">
        <f>FZ56*VLOOKUP('Données projet'!$B$17,Paramètres!$A$1:$I$89,3,0)*VLOOKUP('Données projet'!$B$17,Paramètres!$A$1:$I$89,5,0)</f>
        <v>182.46475000000004</v>
      </c>
      <c r="GB56" s="13">
        <f t="shared" si="49"/>
        <v>45.870112833182944</v>
      </c>
      <c r="GC56" s="20">
        <f t="shared" si="25"/>
        <v>397.68321943446034</v>
      </c>
      <c r="GD56" s="59">
        <f t="shared" si="26"/>
        <v>691.01655276779366</v>
      </c>
      <c r="GE56" s="59">
        <f ca="1">AVERAGE(OFFSET($GD$3,0,0,'Données projet'!$E$17+1,1))-AVERAGE(OFFSET($H$3,0,0,'Données projet'!$E$17+1,1))</f>
        <v>191.77102466144095</v>
      </c>
      <c r="GF56" s="59">
        <f t="shared" si="50"/>
        <v>205.57161411620217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20.99250872029139</v>
      </c>
      <c r="GM56" s="21">
        <f>EXP(-LN(2)/25)*GM55+(1-EXP(-LN(2)/25))/(LN(2)/25)*Calculateur!GH56*Calculateur!GJ56*VLOOKUP('Données projet'!$B$17,Paramètres!$A$1:$I$89,3,0)*0.475*44/12</f>
        <v>14.513053076717421</v>
      </c>
      <c r="GN56" s="21">
        <f>EXP(-LN(2)/2)*GN55+(1-EXP(-LN(2)/2))/(LN(2)/2)*GH56*GK56*VLOOKUP('Données projet'!$B$17,Paramètres!$A$1:$I$89,3,0)*0.475*44/12</f>
        <v>0.41871344943163957</v>
      </c>
      <c r="GO56" s="21">
        <f t="shared" si="27"/>
        <v>35.924275246440452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84.31577618130467</v>
      </c>
      <c r="T57" s="59">
        <f t="shared" si="34"/>
        <v>527.2140904310653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76.021730765377683</v>
      </c>
      <c r="AA57" s="21">
        <f>EXP(-LN(2)/25)*AA56+(1-EXP(-LN(2)/25))/(LN(2)/25)*Calculateur!V57*Calculateur!X57*VLOOKUP('Données projet'!$B$9,Paramètres!$A$1:$I$89,3,0)*0.475*44/12</f>
        <v>18.118903289364596</v>
      </c>
      <c r="AB57" s="21">
        <f>EXP(-LN(2)/2)*AB56+(1-EXP(-LN(2)/2))/(LN(2)/2)*V57*Y57*VLOOKUP('Données projet'!$B$9,Paramètres!$A$1:$I$89,3,0)*0.475*44/12</f>
        <v>0</v>
      </c>
      <c r="AC57" s="22">
        <f t="shared" si="3"/>
        <v>94.140634054742279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7.875</v>
      </c>
      <c r="AI57" s="13">
        <f>IF('Données projet'!$A$62&gt;35,AI56+AH57-AQ56,IF(A57&lt;'Données projet'!$A$62,$AF$205^A57,IF(A57='Données projet'!$A$62,'Données projet'!$B$62,AI56+AH57-AQ56)))</f>
        <v>147.5</v>
      </c>
      <c r="AJ57" s="13">
        <f>AI57*VLOOKUP('Données projet'!$B$10,Paramètres!$A$1:$I$89,3,0)*VLOOKUP('Données projet'!$B$10,Paramètres!$A$1:$I$89,5,0)</f>
        <v>133.458</v>
      </c>
      <c r="AK57" s="13">
        <f t="shared" si="35"/>
        <v>34.794176665003405</v>
      </c>
      <c r="AL57" s="20">
        <f t="shared" si="4"/>
        <v>293.03920769154757</v>
      </c>
      <c r="AM57" s="59">
        <f t="shared" si="5"/>
        <v>586.37254102488089</v>
      </c>
      <c r="AN57" s="59">
        <f ca="1">AVERAGE(OFFSET($AM$3,0,0,'Données projet'!$E$10+1,1))-AVERAGE(OFFSET($H$3,0,0,'Données projet'!$E$10+1,1))</f>
        <v>297.90790572649428</v>
      </c>
      <c r="AO57" s="59">
        <f t="shared" si="36"/>
        <v>142.96889776844506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7.875</v>
      </c>
      <c r="BD57" s="12">
        <f>IF('Données projet'!$A$88&gt;35,BD56+BC57-BL56,IF(A57&lt;'Données projet'!$A$88,$BA$205^A57,IF(A57='Données projet'!$A$88,'Données projet'!$B$88,BD56+BC57-BL56)))</f>
        <v>147.5</v>
      </c>
      <c r="BE57" s="13">
        <f>BD57*VLOOKUP('Données projet'!$B$11,Paramètres!$A$1:$I$89,3,0)*VLOOKUP('Données projet'!$B$11,Paramètres!$A$1:$I$89,5,0)</f>
        <v>149.565</v>
      </c>
      <c r="BF57" s="13">
        <f t="shared" si="37"/>
        <v>38.47971360708231</v>
      </c>
      <c r="BG57" s="20">
        <f t="shared" si="7"/>
        <v>327.51120953233504</v>
      </c>
      <c r="BH57" s="59">
        <f t="shared" si="8"/>
        <v>620.84454286566836</v>
      </c>
      <c r="BI57" s="59">
        <f ca="1">AVERAGE(OFFSET($BH$3,0,0,'Données projet'!$E$11+1,1))-AVERAGE(OFFSET($H$3,0,0,'Données projet'!$E$11+1,1))</f>
        <v>345.3294887586967</v>
      </c>
      <c r="BJ57" s="59">
        <f t="shared" si="38"/>
        <v>164.23448598618114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17.625</v>
      </c>
      <c r="BY57" s="12">
        <f>IF('Données projet'!$A$114&gt;35,BY56+BX57-CG56,IF(A57&lt;'Données projet'!$A$114,$BV$205^A57,IF(A57='Données projet'!$A$114,'Données projet'!$B$114,BY56+BX57-CG56)))</f>
        <v>369.49999999999994</v>
      </c>
      <c r="BZ57" s="13">
        <f>BY57*VLOOKUP('Données projet'!$B$12,Paramètres!$A$1:$I$89,3,0)*VLOOKUP('Données projet'!$B$12,Paramètres!$A$1:$I$89,5,0)</f>
        <v>220.96099999999996</v>
      </c>
      <c r="CA57" s="13">
        <f t="shared" si="39"/>
        <v>54.323701308314696</v>
      </c>
      <c r="CB57" s="20">
        <f t="shared" si="10"/>
        <v>479.45418811198141</v>
      </c>
      <c r="CC57" s="59">
        <f t="shared" si="11"/>
        <v>772.78752144531472</v>
      </c>
      <c r="CD57" s="59">
        <f ca="1">AVERAGE(OFFSET($CC$3,0,0,'Données projet'!$E$12+1,1))-AVERAGE(OFFSET($H$3,0,0,'Données projet'!$E$12+1,1))</f>
        <v>289.07218105343333</v>
      </c>
      <c r="CE57" s="59">
        <f t="shared" si="40"/>
        <v>217.57508587672368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3.4957832038964933</v>
      </c>
      <c r="CL57" s="21">
        <f>EXP(-LN(2)/25)*CL56+(1-EXP(-LN(2)/25))/(LN(2)/25)*Calculateur!CG57*Calculateur!CI57*VLOOKUP('Données projet'!$B$12,Paramètres!$A$1:$I$89,3,0)*0.475*44/12</f>
        <v>33.412845137458376</v>
      </c>
      <c r="CM57" s="21">
        <f>EXP(-LN(2)/2)*CM56+(1-EXP(-LN(2)/2))/(LN(2)/2)*CG57*CJ57*VLOOKUP('Données projet'!$B$12,Paramètres!$A$1:$I$89,3,0)*0.475*44/12</f>
        <v>4.3274582601751712</v>
      </c>
      <c r="CN57" s="22">
        <f t="shared" si="12"/>
        <v>41.23608660153004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4.4000000000000004</v>
      </c>
      <c r="CT57" s="12">
        <f>IF('Données projet'!$A$140&gt;35,CT56+CS57-DB56,IF(A57&lt;'Données projet'!$A$140,$CQ$205^A57,IF(A57='Données projet'!$A$140,'Données projet'!$B$140,CT56+CS57-DB56)))</f>
        <v>215.60000000000002</v>
      </c>
      <c r="CU57" s="17">
        <f>CT57*VLOOKUP('Données projet'!$B$13,Paramètres!$A$1:$I$89,3,0)*VLOOKUP('Données projet'!$B$13,Paramètres!$A$1:$I$89,5,0)</f>
        <v>188.34816000000004</v>
      </c>
      <c r="CV57" s="13">
        <f t="shared" si="41"/>
        <v>47.174569095030364</v>
      </c>
      <c r="CW57" s="20">
        <f t="shared" si="13"/>
        <v>410.20208650717791</v>
      </c>
      <c r="CX57" s="59">
        <f t="shared" si="14"/>
        <v>703.53541984051117</v>
      </c>
      <c r="CY57" s="59">
        <f ca="1">AVERAGE(OFFSET($CX$3,0,0,'Données projet'!$E$13+1,1))-AVERAGE(OFFSET($H$3,0,0,'Données projet'!$E$13+1,1))</f>
        <v>237.8483058552178</v>
      </c>
      <c r="CZ57" s="59">
        <f t="shared" si="42"/>
        <v>313.36201272119723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12.46699767997589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2.1153991366317144</v>
      </c>
      <c r="DI57" s="22">
        <f t="shared" si="15"/>
        <v>14.582396816607604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7.875</v>
      </c>
      <c r="DO57" s="12">
        <f>IF('Données projet'!$A$166&gt;35,DO56+DN57-DW56,IF(A57&lt;'Données projet'!$A$166,$DL$205^A57,IF(A57='Données projet'!$A$166,'Données projet'!$B$166,DO56+DN57-DW56)))</f>
        <v>147.5</v>
      </c>
      <c r="DP57" s="17">
        <f>DO57*VLOOKUP('Données projet'!$B$14,Paramètres!$A$1:$I$89,3,0)*VLOOKUP('Données projet'!$B$14,Paramètres!$A$1:$I$89,5,0)</f>
        <v>142.66200000000001</v>
      </c>
      <c r="DQ57" s="13">
        <f t="shared" si="43"/>
        <v>36.906162188135291</v>
      </c>
      <c r="DR57" s="20">
        <f t="shared" si="16"/>
        <v>312.74788247766895</v>
      </c>
      <c r="DS57" s="59">
        <f t="shared" si="17"/>
        <v>606.08121581100227</v>
      </c>
      <c r="DT57" s="59">
        <f ca="1">AVERAGE(OFFSET($DS$3,0,0,'Données projet'!$E$14+1,1))-AVERAGE(OFFSET($H$3,0,0,'Données projet'!$E$14+1,1))</f>
        <v>325.01961068962373</v>
      </c>
      <c r="DU57" s="59">
        <f t="shared" si="44"/>
        <v>155.12737608540039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</v>
      </c>
      <c r="EJ57" s="12">
        <f>IF('Données projet'!$A$192&gt;35,EJ56+EI57-ER56,IF(A57&lt;'Données projet'!$A$192,$EG$205^A57,IF(A57='Données projet'!$A$192,'Données projet'!$B$192,EJ56+EI57-ER56)))</f>
        <v>225.99999999999989</v>
      </c>
      <c r="EK57" s="17">
        <f>EJ57*VLOOKUP('Données projet'!$B$15,Paramètres!$A$1:$I$89,3,0)*VLOOKUP('Données projet'!$B$15,Paramètres!$A$1:$I$89,5,0)</f>
        <v>151.60079999999994</v>
      </c>
      <c r="EL57" s="13">
        <f t="shared" si="45"/>
        <v>38.942148105194256</v>
      </c>
      <c r="EM57" s="20">
        <f t="shared" si="19"/>
        <v>331.86230128321324</v>
      </c>
      <c r="EN57" s="59">
        <f t="shared" si="20"/>
        <v>625.19563461654661</v>
      </c>
      <c r="EO57" s="59">
        <f ca="1">AVERAGE(OFFSET($EN$3,0,0,'Données projet'!$E$15+1,1))-AVERAGE(OFFSET($H$3,0,0,'Données projet'!$E$15+1,1))</f>
        <v>178.09619481964575</v>
      </c>
      <c r="EP57" s="59">
        <f t="shared" si="46"/>
        <v>178.65167777495174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8.7902910472106086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1.387277891873693</v>
      </c>
      <c r="EY57" s="22">
        <f t="shared" si="21"/>
        <v>10.177568939084301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</v>
      </c>
      <c r="FE57" s="12">
        <f>IF('Données projet'!$A$218&gt;35,FE56+FD57-FM56,IF(A57&lt;'Données projet'!$A$218,$FB$205^A57,IF(A57='Données projet'!$A$218,'Données projet'!$B$218,FE56+FD57-FM56)))</f>
        <v>225.99999999999989</v>
      </c>
      <c r="FF57" s="17">
        <f>FE57*VLOOKUP('Données projet'!$B$16,Paramètres!$A$1:$I$89,3,0)*VLOOKUP('Données projet'!$B$16,Paramètres!$A$1:$I$89,5,0)</f>
        <v>179.80559999999991</v>
      </c>
      <c r="FG57" s="13">
        <f t="shared" si="47"/>
        <v>45.278933028529984</v>
      </c>
      <c r="FH57" s="20">
        <f t="shared" si="22"/>
        <v>392.02222835802286</v>
      </c>
      <c r="FI57" s="59">
        <f t="shared" si="23"/>
        <v>685.35556169135612</v>
      </c>
      <c r="FJ57" s="59">
        <f ca="1">AVERAGE(OFFSET($FI$3,0,0,'Données projet'!$E$16+1,1))-AVERAGE(OFFSET($H$3,0,0,'Données projet'!$E$16+1,1))</f>
        <v>219.43439115440339</v>
      </c>
      <c r="FK57" s="59">
        <f t="shared" si="48"/>
        <v>217.8880462742099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10.425694032738168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1.6453761043153103</v>
      </c>
      <c r="FT57" s="22">
        <f t="shared" si="24"/>
        <v>12.071070137053479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>
        <f>VLOOKUP(A57,'Données projet'!$A$243:$I$263,2,0)</f>
        <v>311</v>
      </c>
      <c r="FX57" s="12">
        <f>VLOOKUP(A57,'Données projet'!$A$243:$I$263,9,0)</f>
        <v>5.875</v>
      </c>
      <c r="FY57" s="12">
        <f t="array" ref="FY57">INDEX(FX:FX,MIN(IF(ISNUMBER(FX57:FX253),ROW(FX57:FX253),"")))</f>
        <v>5.875</v>
      </c>
      <c r="FZ57" s="12">
        <f>IF('Données projet'!$A$244&gt;35,FZ56+FY57-GH56,IF(A57&lt;'Données projet'!$A$244,$FW$205^A57,IF(A57='Données projet'!$A$244,'Données projet'!$B$244,FZ56+FY57-GH56)))</f>
        <v>311</v>
      </c>
      <c r="GA57" s="17">
        <f>FZ57*VLOOKUP('Données projet'!$B$17,Paramètres!$A$1:$I$89,3,0)*VLOOKUP('Données projet'!$B$17,Paramètres!$A$1:$I$89,5,0)</f>
        <v>185.97800000000001</v>
      </c>
      <c r="GB57" s="13">
        <f t="shared" si="49"/>
        <v>46.649641523668571</v>
      </c>
      <c r="GC57" s="20">
        <f t="shared" si="25"/>
        <v>405.15980898705612</v>
      </c>
      <c r="GD57" s="59">
        <f t="shared" si="26"/>
        <v>698.49314232038944</v>
      </c>
      <c r="GE57" s="59">
        <f ca="1">AVERAGE(OFFSET($GD$3,0,0,'Données projet'!$E$17+1,1))-AVERAGE(OFFSET($H$3,0,0,'Données projet'!$E$17+1,1))</f>
        <v>191.77102466144095</v>
      </c>
      <c r="GF57" s="59">
        <f t="shared" si="50"/>
        <v>205.57161411620217</v>
      </c>
      <c r="GG57" s="15">
        <f>IF(ISNA(VLOOKUP(A57,'Données projet'!$A$243:$I$263,3,0)),0,VLOOKUP(A57,'Données projet'!$A$243:$I$263,3,0))</f>
        <v>9</v>
      </c>
      <c r="GH57" s="15">
        <f>IF(ISNA(VLOOKUP(A57,'Données projet'!$A$243:$I$263,4,0)),0,VLOOKUP(A57,'Données projet'!$A$243:$I$263,4,0))</f>
        <v>16</v>
      </c>
      <c r="GI57" s="16">
        <f>IF(ISNA(VLOOKUP(A57,'Données projet'!$A$243:$I$263,5,0)),0%,VLOOKUP(A57,'Données projet'!$A$243:$I$263,5,0)*VLOOKUP('Données projet'!$B$17,Paramètres!$A$1:$I$89,7,0))</f>
        <v>0.36000000000000004</v>
      </c>
      <c r="GJ57" s="16">
        <f>IF(ISNA(VLOOKUP(A57,'Données projet'!$A$243:$I$263,6,0)),0%,VLOOKUP(A57,'Données projet'!$A$243:$I$263,6,0)*VLOOKUP('Données projet'!$B$17,Paramètres!$A$1:$I$89,7,0))</f>
        <v>4.5000000000000005E-2</v>
      </c>
      <c r="GK57" s="16">
        <f>IF(ISNA(VLOOKUP(A57,'Données projet'!$A$243:$I$263,7,0)),0%,VLOOKUP(A57,'Données projet'!$A$243:$I$263,7,0))</f>
        <v>0.1</v>
      </c>
      <c r="GL57" s="21">
        <f>EXP(-LN(2)/35)*GL56+(1-EXP(-LN(2)/35))/(LN(2)/35)*GH57*GI57*VLOOKUP('Données projet'!$B$17,Paramètres!$A$1:$I$89,3,0)*0.475*44/12</f>
        <v>25.150183163924879</v>
      </c>
      <c r="GM57" s="21">
        <f>EXP(-LN(2)/25)*GM56+(1-EXP(-LN(2)/25))/(LN(2)/25)*Calculateur!GH57*Calculateur!GJ57*VLOOKUP('Données projet'!$B$17,Paramètres!$A$1:$I$89,3,0)*0.475*44/12</f>
        <v>14.685109572493744</v>
      </c>
      <c r="GN57" s="21">
        <f>EXP(-LN(2)/2)*GN56+(1-EXP(-LN(2)/2))/(LN(2)/2)*GH57*GK57*VLOOKUP('Données projet'!$B$17,Paramètres!$A$1:$I$89,3,0)*0.475*44/12</f>
        <v>1.3793949817404456</v>
      </c>
      <c r="GO57" s="21">
        <f t="shared" si="27"/>
        <v>41.21468771815907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84.31577618130467</v>
      </c>
      <c r="T58" s="59">
        <f t="shared" si="34"/>
        <v>527.2140904310653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74.53099099374586</v>
      </c>
      <c r="AA58" s="21">
        <f>EXP(-LN(2)/25)*AA57+(1-EXP(-LN(2)/25))/(LN(2)/25)*Calculateur!V58*Calculateur!X58*VLOOKUP('Données projet'!$B$9,Paramètres!$A$1:$I$89,3,0)*0.475*44/12</f>
        <v>17.623440926085209</v>
      </c>
      <c r="AB58" s="21">
        <f>EXP(-LN(2)/2)*AB57+(1-EXP(-LN(2)/2))/(LN(2)/2)*V58*Y58*VLOOKUP('Données projet'!$B$9,Paramètres!$A$1:$I$89,3,0)*0.475*44/12</f>
        <v>0</v>
      </c>
      <c r="AC58" s="22">
        <f t="shared" si="3"/>
        <v>92.154431919831069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7.875</v>
      </c>
      <c r="AI58" s="13">
        <f>IF('Données projet'!$A$62&gt;35,AI57+AH58-AQ57,IF(A58&lt;'Données projet'!$A$62,$AF$205^A58,IF(A58='Données projet'!$A$62,'Données projet'!$B$62,AI57+AH58-AQ57)))</f>
        <v>155.375</v>
      </c>
      <c r="AJ58" s="13">
        <f>AI58*VLOOKUP('Données projet'!$B$10,Paramètres!$A$1:$I$89,3,0)*VLOOKUP('Données projet'!$B$10,Paramètres!$A$1:$I$89,5,0)</f>
        <v>140.58329999999998</v>
      </c>
      <c r="AK58" s="13">
        <f t="shared" si="35"/>
        <v>36.430598981754322</v>
      </c>
      <c r="AL58" s="20">
        <f t="shared" si="4"/>
        <v>308.29920739322205</v>
      </c>
      <c r="AM58" s="59">
        <f t="shared" si="5"/>
        <v>601.63254072655536</v>
      </c>
      <c r="AN58" s="59">
        <f ca="1">AVERAGE(OFFSET($AM$3,0,0,'Données projet'!$E$10+1,1))-AVERAGE(OFFSET($H$3,0,0,'Données projet'!$E$10+1,1))</f>
        <v>297.90790572649428</v>
      </c>
      <c r="AO58" s="59">
        <f t="shared" si="36"/>
        <v>142.96889776844506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7.875</v>
      </c>
      <c r="BD58" s="12">
        <f>IF('Données projet'!$A$88&gt;35,BD57+BC58-BL57,IF(A58&lt;'Données projet'!$A$88,$BA$205^A58,IF(A58='Données projet'!$A$88,'Données projet'!$B$88,BD57+BC58-BL57)))</f>
        <v>155.375</v>
      </c>
      <c r="BE58" s="13">
        <f>BD58*VLOOKUP('Données projet'!$B$11,Paramètres!$A$1:$I$89,3,0)*VLOOKUP('Données projet'!$B$11,Paramètres!$A$1:$I$89,5,0)</f>
        <v>157.55025000000001</v>
      </c>
      <c r="BF58" s="13">
        <f t="shared" si="37"/>
        <v>40.289472254199509</v>
      </c>
      <c r="BG58" s="20">
        <f t="shared" si="7"/>
        <v>344.57084959273078</v>
      </c>
      <c r="BH58" s="59">
        <f t="shared" si="8"/>
        <v>637.9041829260641</v>
      </c>
      <c r="BI58" s="59">
        <f ca="1">AVERAGE(OFFSET($BH$3,0,0,'Données projet'!$E$11+1,1))-AVERAGE(OFFSET($H$3,0,0,'Données projet'!$E$11+1,1))</f>
        <v>345.3294887586967</v>
      </c>
      <c r="BJ58" s="59">
        <f t="shared" si="38"/>
        <v>164.23448598618114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17.625</v>
      </c>
      <c r="BY58" s="12">
        <f>IF('Données projet'!$A$114&gt;35,BY57+BX58-CG57,IF(A58&lt;'Données projet'!$A$114,$BV$205^A58,IF(A58='Données projet'!$A$114,'Données projet'!$B$114,BY57+BX58-CG57)))</f>
        <v>387.12499999999994</v>
      </c>
      <c r="BZ58" s="13">
        <f>BY58*VLOOKUP('Données projet'!$B$12,Paramètres!$A$1:$I$89,3,0)*VLOOKUP('Données projet'!$B$12,Paramètres!$A$1:$I$89,5,0)</f>
        <v>231.50074999999998</v>
      </c>
      <c r="CA58" s="13">
        <f t="shared" si="39"/>
        <v>56.607055837426749</v>
      </c>
      <c r="CB58" s="20">
        <f t="shared" si="10"/>
        <v>501.78776183351812</v>
      </c>
      <c r="CC58" s="59">
        <f t="shared" si="11"/>
        <v>795.12109516685143</v>
      </c>
      <c r="CD58" s="59">
        <f ca="1">AVERAGE(OFFSET($CC$3,0,0,'Données projet'!$E$12+1,1))-AVERAGE(OFFSET($H$3,0,0,'Données projet'!$E$12+1,1))</f>
        <v>289.07218105343333</v>
      </c>
      <c r="CE58" s="59">
        <f t="shared" si="40"/>
        <v>217.57508587672368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3.4272330274852987</v>
      </c>
      <c r="CL58" s="21">
        <f>EXP(-LN(2)/25)*CL57+(1-EXP(-LN(2)/25))/(LN(2)/25)*Calculateur!CG58*Calculateur!CI58*VLOOKUP('Données projet'!$B$12,Paramètres!$A$1:$I$89,3,0)*0.475*44/12</f>
        <v>32.499169130069419</v>
      </c>
      <c r="CM58" s="21">
        <f>EXP(-LN(2)/2)*CM57+(1-EXP(-LN(2)/2))/(LN(2)/2)*CG58*CJ58*VLOOKUP('Données projet'!$B$12,Paramètres!$A$1:$I$89,3,0)*0.475*44/12</f>
        <v>3.0599750810716024</v>
      </c>
      <c r="CN58" s="22">
        <f t="shared" si="12"/>
        <v>38.986377238626318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4.4000000000000004</v>
      </c>
      <c r="CT58" s="12">
        <f>IF('Données projet'!$A$140&gt;35,CT57+CS58-DB57,IF(A58&lt;'Données projet'!$A$140,$CQ$205^A58,IF(A58='Données projet'!$A$140,'Données projet'!$B$140,CT57+CS58-DB57)))</f>
        <v>220.00000000000003</v>
      </c>
      <c r="CU58" s="17">
        <f>CT58*VLOOKUP('Données projet'!$B$13,Paramètres!$A$1:$I$89,3,0)*VLOOKUP('Données projet'!$B$13,Paramètres!$A$1:$I$89,5,0)</f>
        <v>192.19200000000006</v>
      </c>
      <c r="CV58" s="13">
        <f t="shared" si="41"/>
        <v>48.02424892193244</v>
      </c>
      <c r="CW58" s="20">
        <f t="shared" si="13"/>
        <v>418.37663353903241</v>
      </c>
      <c r="CX58" s="59">
        <f t="shared" si="14"/>
        <v>711.70996687236573</v>
      </c>
      <c r="CY58" s="59">
        <f ca="1">AVERAGE(OFFSET($CX$3,0,0,'Données projet'!$E$13+1,1))-AVERAGE(OFFSET($H$3,0,0,'Données projet'!$E$13+1,1))</f>
        <v>237.8483058552178</v>
      </c>
      <c r="CZ58" s="59">
        <f t="shared" si="42"/>
        <v>313.36201272119723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12.222527459589303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1.4958130744284532</v>
      </c>
      <c r="DI58" s="22">
        <f t="shared" si="15"/>
        <v>13.718340534017756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7.875</v>
      </c>
      <c r="DO58" s="12">
        <f>IF('Données projet'!$A$166&gt;35,DO57+DN58-DW57,IF(A58&lt;'Données projet'!$A$166,$DL$205^A58,IF(A58='Données projet'!$A$166,'Données projet'!$B$166,DO57+DN58-DW57)))</f>
        <v>155.375</v>
      </c>
      <c r="DP58" s="17">
        <f>DO58*VLOOKUP('Données projet'!$B$14,Paramètres!$A$1:$I$89,3,0)*VLOOKUP('Données projet'!$B$14,Paramètres!$A$1:$I$89,5,0)</f>
        <v>150.27869999999999</v>
      </c>
      <c r="DQ58" s="13">
        <f t="shared" si="43"/>
        <v>38.64191435183109</v>
      </c>
      <c r="DR58" s="20">
        <f t="shared" si="16"/>
        <v>329.03673666277251</v>
      </c>
      <c r="DS58" s="59">
        <f t="shared" si="17"/>
        <v>622.37006999610583</v>
      </c>
      <c r="DT58" s="59">
        <f ca="1">AVERAGE(OFFSET($DS$3,0,0,'Données projet'!$E$14+1,1))-AVERAGE(OFFSET($H$3,0,0,'Données projet'!$E$14+1,1))</f>
        <v>325.01961068962373</v>
      </c>
      <c r="DU58" s="59">
        <f t="shared" si="44"/>
        <v>155.12737608540039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232</v>
      </c>
      <c r="EH58" s="12">
        <f>VLOOKUP(A58,'Données projet'!$A$191:$I$211,9,0)</f>
        <v>6</v>
      </c>
      <c r="EI58" s="12">
        <f t="array" ref="EI58">INDEX(EH:EH,MIN(IF(ISNUMBER(EH58:EH254),ROW(EH58:EH254),"")))</f>
        <v>6</v>
      </c>
      <c r="EJ58" s="12">
        <f>IF('Données projet'!$A$192&gt;35,EJ57+EI58-ER57,IF(A58&lt;'Données projet'!$A$192,$EG$205^A58,IF(A58='Données projet'!$A$192,'Données projet'!$B$192,EJ57+EI58-ER57)))</f>
        <v>231.99999999999989</v>
      </c>
      <c r="EK58" s="17">
        <f>EJ58*VLOOKUP('Données projet'!$B$15,Paramètres!$A$1:$I$89,3,0)*VLOOKUP('Données projet'!$B$15,Paramètres!$A$1:$I$89,5,0)</f>
        <v>155.62559999999993</v>
      </c>
      <c r="EL58" s="13">
        <f t="shared" si="45"/>
        <v>39.854271109683118</v>
      </c>
      <c r="EM58" s="20">
        <f t="shared" si="19"/>
        <v>340.46077551603128</v>
      </c>
      <c r="EN58" s="59">
        <f t="shared" si="20"/>
        <v>633.79410884936465</v>
      </c>
      <c r="EO58" s="59">
        <f ca="1">AVERAGE(OFFSET($EN$3,0,0,'Données projet'!$E$15+1,1))-AVERAGE(OFFSET($H$3,0,0,'Données projet'!$E$15+1,1))</f>
        <v>178.09619481964575</v>
      </c>
      <c r="EP58" s="59">
        <f t="shared" si="46"/>
        <v>178.65167777495174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13</v>
      </c>
      <c r="ES58" s="16">
        <f>IF(ISNA(VLOOKUP(A58,'Données projet'!$A$191:$I$211,5,0)),0%,VLOOKUP(A58,'Données projet'!$A$191:$I$211,5,0)*VLOOKUP('Données projet'!$B$15,Paramètres!$A$1:$I$89,7,0))</f>
        <v>0.26500000000000001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0.3</v>
      </c>
      <c r="EV58" s="21">
        <f>EXP(-LN(2)/35)*EV57+(1-EXP(-LN(2)/35))/(LN(2)/35)*ER58*ES58*VLOOKUP('Données projet'!$B$15,Paramètres!$A$1:$I$89,3,0)*0.475*44/12</f>
        <v>11.172556934207909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3.4493332365715141</v>
      </c>
      <c r="EY58" s="22">
        <f t="shared" si="21"/>
        <v>14.621890170779423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232</v>
      </c>
      <c r="FC58" s="12">
        <f>VLOOKUP(A58,'Données projet'!$A$217:$I$237,9,0)</f>
        <v>6</v>
      </c>
      <c r="FD58" s="12">
        <f t="array" ref="FD58">INDEX(FC:FC,MIN(IF(ISNUMBER(FC58:FC254),ROW(FC58:FC254),"")))</f>
        <v>6</v>
      </c>
      <c r="FE58" s="12">
        <f>IF('Données projet'!$A$218&gt;35,FE57+FD58-FM57,IF(A58&lt;'Données projet'!$A$218,$FB$205^A58,IF(A58='Données projet'!$A$218,'Données projet'!$B$218,FE57+FD58-FM57)))</f>
        <v>231.99999999999989</v>
      </c>
      <c r="FF58" s="17">
        <f>FE58*VLOOKUP('Données projet'!$B$16,Paramètres!$A$1:$I$89,3,0)*VLOOKUP('Données projet'!$B$16,Paramètres!$A$1:$I$89,5,0)</f>
        <v>184.57919999999993</v>
      </c>
      <c r="FG58" s="13">
        <f t="shared" si="47"/>
        <v>46.339479465836618</v>
      </c>
      <c r="FH58" s="20">
        <f t="shared" si="22"/>
        <v>402.18336673633195</v>
      </c>
      <c r="FI58" s="59">
        <f t="shared" si="23"/>
        <v>695.51670006966526</v>
      </c>
      <c r="FJ58" s="59">
        <f ca="1">AVERAGE(OFFSET($FI$3,0,0,'Données projet'!$E$16+1,1))-AVERAGE(OFFSET($H$3,0,0,'Données projet'!$E$16+1,1))</f>
        <v>219.43439115440339</v>
      </c>
      <c r="FK58" s="59">
        <f t="shared" si="48"/>
        <v>217.8880462742099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13</v>
      </c>
      <c r="FN58" s="16">
        <f>IF(ISNA(VLOOKUP(A58,'Données projet'!$A$217:$I$237,5,0)),0%,VLOOKUP(A58,'Données projet'!$A$217:$I$237,5,0)*VLOOKUP('Données projet'!$B$16,Paramètres!$A$1:$I$89,7,0))</f>
        <v>0.26500000000000001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0.3</v>
      </c>
      <c r="FQ58" s="21">
        <f>EXP(-LN(2)/35)*FQ57+(1-EXP(-LN(2)/35))/(LN(2)/35)*FM58*FN58*VLOOKUP('Données projet'!$B$16,Paramètres!$A$1:$I$89,3,0)*0.475*44/12</f>
        <v>13.251172177781479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4.0910696526778425</v>
      </c>
      <c r="FT58" s="22">
        <f t="shared" si="24"/>
        <v>17.342241830459322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2.625</v>
      </c>
      <c r="FZ58" s="12">
        <f>IF('Données projet'!$A$244&gt;35,FZ57+FY58-GH57,IF(A58&lt;'Données projet'!$A$244,$FW$205^A58,IF(A58='Données projet'!$A$244,'Données projet'!$B$244,FZ57+FY58-GH57)))</f>
        <v>297.625</v>
      </c>
      <c r="GA58" s="17">
        <f>FZ58*VLOOKUP('Données projet'!$B$17,Paramètres!$A$1:$I$89,3,0)*VLOOKUP('Données projet'!$B$17,Paramètres!$A$1:$I$89,5,0)</f>
        <v>177.97975</v>
      </c>
      <c r="GB58" s="13">
        <f t="shared" si="49"/>
        <v>44.87242292972973</v>
      </c>
      <c r="GC58" s="20">
        <f t="shared" si="25"/>
        <v>388.13420118594587</v>
      </c>
      <c r="GD58" s="59">
        <f t="shared" si="26"/>
        <v>681.46753451927918</v>
      </c>
      <c r="GE58" s="59">
        <f ca="1">AVERAGE(OFFSET($GD$3,0,0,'Données projet'!$E$17+1,1))-AVERAGE(OFFSET($H$3,0,0,'Données projet'!$E$17+1,1))</f>
        <v>191.77102466144095</v>
      </c>
      <c r="GF58" s="59">
        <f t="shared" si="50"/>
        <v>205.57161411620217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24.657003412177332</v>
      </c>
      <c r="GM58" s="21">
        <f>EXP(-LN(2)/25)*GM57+(1-EXP(-LN(2)/25))/(LN(2)/25)*Calculateur!GH58*Calculateur!GJ58*VLOOKUP('Données projet'!$B$17,Paramètres!$A$1:$I$89,3,0)*0.475*44/12</f>
        <v>14.283544478977554</v>
      </c>
      <c r="GN58" s="21">
        <f>EXP(-LN(2)/2)*GN57+(1-EXP(-LN(2)/2))/(LN(2)/2)*GH58*GK58*VLOOKUP('Données projet'!$B$17,Paramètres!$A$1:$I$89,3,0)*0.475*44/12</f>
        <v>0.97537954552336303</v>
      </c>
      <c r="GO58" s="21">
        <f t="shared" si="27"/>
        <v>39.915927436678245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84.31577618130467</v>
      </c>
      <c r="T59" s="59">
        <f t="shared" si="34"/>
        <v>527.2140904310653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73.069483719774269</v>
      </c>
      <c r="AA59" s="21">
        <f>EXP(-LN(2)/25)*AA58+(1-EXP(-LN(2)/25))/(LN(2)/25)*Calculateur!V59*Calculateur!X59*VLOOKUP('Données projet'!$B$9,Paramètres!$A$1:$I$89,3,0)*0.475*44/12</f>
        <v>17.14152700718493</v>
      </c>
      <c r="AB59" s="21">
        <f>EXP(-LN(2)/2)*AB58+(1-EXP(-LN(2)/2))/(LN(2)/2)*V59*Y59*VLOOKUP('Données projet'!$B$9,Paramètres!$A$1:$I$89,3,0)*0.475*44/12</f>
        <v>0</v>
      </c>
      <c r="AC59" s="22">
        <f t="shared" si="3"/>
        <v>90.211010726959202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7.875</v>
      </c>
      <c r="AI59" s="13">
        <f>IF('Données projet'!$A$62&gt;35,AI58+AH59-AQ58,IF(A59&lt;'Données projet'!$A$62,$AF$205^A59,IF(A59='Données projet'!$A$62,'Données projet'!$B$62,AI58+AH59-AQ58)))</f>
        <v>163.25</v>
      </c>
      <c r="AJ59" s="13">
        <f>AI59*VLOOKUP('Données projet'!$B$10,Paramètres!$A$1:$I$89,3,0)*VLOOKUP('Données projet'!$B$10,Paramètres!$A$1:$I$89,5,0)</f>
        <v>147.70859999999999</v>
      </c>
      <c r="AK59" s="13">
        <f t="shared" si="35"/>
        <v>38.057391134324966</v>
      </c>
      <c r="AL59" s="20">
        <f t="shared" si="4"/>
        <v>323.54243455894931</v>
      </c>
      <c r="AM59" s="59">
        <f t="shared" si="5"/>
        <v>616.87576789228262</v>
      </c>
      <c r="AN59" s="59">
        <f ca="1">AVERAGE(OFFSET($AM$3,0,0,'Données projet'!$E$10+1,1))-AVERAGE(OFFSET($H$3,0,0,'Données projet'!$E$10+1,1))</f>
        <v>297.90790572649428</v>
      </c>
      <c r="AO59" s="59">
        <f t="shared" si="36"/>
        <v>142.96889776844506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7.875</v>
      </c>
      <c r="BD59" s="12">
        <f>IF('Données projet'!$A$88&gt;35,BD58+BC59-BL58,IF(A59&lt;'Données projet'!$A$88,$BA$205^A59,IF(A59='Données projet'!$A$88,'Données projet'!$B$88,BD58+BC59-BL58)))</f>
        <v>163.25</v>
      </c>
      <c r="BE59" s="13">
        <f>BD59*VLOOKUP('Données projet'!$B$11,Paramètres!$A$1:$I$89,3,0)*VLOOKUP('Données projet'!$B$11,Paramètres!$A$1:$I$89,5,0)</f>
        <v>165.53550000000001</v>
      </c>
      <c r="BF59" s="13">
        <f t="shared" si="37"/>
        <v>42.08858067202079</v>
      </c>
      <c r="BG59" s="20">
        <f t="shared" si="7"/>
        <v>361.61194050376952</v>
      </c>
      <c r="BH59" s="59">
        <f t="shared" si="8"/>
        <v>654.94527383710283</v>
      </c>
      <c r="BI59" s="59">
        <f ca="1">AVERAGE(OFFSET($BH$3,0,0,'Données projet'!$E$11+1,1))-AVERAGE(OFFSET($H$3,0,0,'Données projet'!$E$11+1,1))</f>
        <v>345.3294887586967</v>
      </c>
      <c r="BJ59" s="59">
        <f t="shared" si="38"/>
        <v>164.23448598618114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17.625</v>
      </c>
      <c r="BY59" s="12">
        <f>IF('Données projet'!$A$114&gt;35,BY58+BX59-CG58,IF(A59&lt;'Données projet'!$A$114,$BV$205^A59,IF(A59='Données projet'!$A$114,'Données projet'!$B$114,BY58+BX59-CG58)))</f>
        <v>404.74999999999994</v>
      </c>
      <c r="BZ59" s="13">
        <f>BY59*VLOOKUP('Données projet'!$B$12,Paramètres!$A$1:$I$89,3,0)*VLOOKUP('Données projet'!$B$12,Paramètres!$A$1:$I$89,5,0)</f>
        <v>242.04049999999998</v>
      </c>
      <c r="CA59" s="13">
        <f t="shared" si="39"/>
        <v>58.878337443371535</v>
      </c>
      <c r="CB59" s="20">
        <f t="shared" si="10"/>
        <v>524.10030854720526</v>
      </c>
      <c r="CC59" s="59">
        <f t="shared" si="11"/>
        <v>817.43364188053852</v>
      </c>
      <c r="CD59" s="59">
        <f ca="1">AVERAGE(OFFSET($CC$3,0,0,'Données projet'!$E$12+1,1))-AVERAGE(OFFSET($H$3,0,0,'Données projet'!$E$12+1,1))</f>
        <v>289.07218105343333</v>
      </c>
      <c r="CE59" s="59">
        <f t="shared" si="40"/>
        <v>217.57508587672368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3.3600270782220485</v>
      </c>
      <c r="CL59" s="21">
        <f>EXP(-LN(2)/25)*CL58+(1-EXP(-LN(2)/25))/(LN(2)/25)*Calculateur!CG59*Calculateur!CI59*VLOOKUP('Données projet'!$B$12,Paramètres!$A$1:$I$89,3,0)*0.475*44/12</f>
        <v>31.610477641150645</v>
      </c>
      <c r="CM59" s="21">
        <f>EXP(-LN(2)/2)*CM58+(1-EXP(-LN(2)/2))/(LN(2)/2)*CG59*CJ59*VLOOKUP('Données projet'!$B$12,Paramètres!$A$1:$I$89,3,0)*0.475*44/12</f>
        <v>2.1637291300875856</v>
      </c>
      <c r="CN59" s="22">
        <f t="shared" si="12"/>
        <v>37.13423384946028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4.4000000000000004</v>
      </c>
      <c r="CT59" s="12">
        <f>IF('Données projet'!$A$140&gt;35,CT58+CS59-DB58,IF(A59&lt;'Données projet'!$A$140,$CQ$205^A59,IF(A59='Données projet'!$A$140,'Données projet'!$B$140,CT58+CS59-DB58)))</f>
        <v>224.40000000000003</v>
      </c>
      <c r="CU59" s="17">
        <f>CT59*VLOOKUP('Données projet'!$B$13,Paramètres!$A$1:$I$89,3,0)*VLOOKUP('Données projet'!$B$13,Paramètres!$A$1:$I$89,5,0)</f>
        <v>196.03584000000006</v>
      </c>
      <c r="CV59" s="13">
        <f t="shared" si="41"/>
        <v>48.871952855623455</v>
      </c>
      <c r="CW59" s="20">
        <f t="shared" si="13"/>
        <v>426.54773922354428</v>
      </c>
      <c r="CX59" s="59">
        <f t="shared" si="14"/>
        <v>719.8810725568776</v>
      </c>
      <c r="CY59" s="59">
        <f ca="1">AVERAGE(OFFSET($CX$3,0,0,'Données projet'!$E$13+1,1))-AVERAGE(OFFSET($H$3,0,0,'Données projet'!$E$13+1,1))</f>
        <v>237.8483058552178</v>
      </c>
      <c r="CZ59" s="59">
        <f t="shared" si="42"/>
        <v>313.36201272119723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11.982851151112387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1.0576995683158572</v>
      </c>
      <c r="DI59" s="22">
        <f t="shared" si="15"/>
        <v>13.040550719428245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7.875</v>
      </c>
      <c r="DO59" s="12">
        <f>IF('Données projet'!$A$166&gt;35,DO58+DN59-DW58,IF(A59&lt;'Données projet'!$A$166,$DL$205^A59,IF(A59='Données projet'!$A$166,'Données projet'!$B$166,DO58+DN59-DW58)))</f>
        <v>163.25</v>
      </c>
      <c r="DP59" s="17">
        <f>DO59*VLOOKUP('Données projet'!$B$14,Paramètres!$A$1:$I$89,3,0)*VLOOKUP('Données projet'!$B$14,Paramètres!$A$1:$I$89,5,0)</f>
        <v>157.89540000000002</v>
      </c>
      <c r="DQ59" s="13">
        <f t="shared" si="43"/>
        <v>40.367451806193266</v>
      </c>
      <c r="DR59" s="20">
        <f t="shared" si="16"/>
        <v>345.30780022911995</v>
      </c>
      <c r="DS59" s="59">
        <f t="shared" si="17"/>
        <v>638.64113356245321</v>
      </c>
      <c r="DT59" s="59">
        <f ca="1">AVERAGE(OFFSET($DS$3,0,0,'Données projet'!$E$14+1,1))-AVERAGE(OFFSET($H$3,0,0,'Données projet'!$E$14+1,1))</f>
        <v>325.01961068962373</v>
      </c>
      <c r="DU59" s="59">
        <f t="shared" si="44"/>
        <v>155.12737608540039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5.2</v>
      </c>
      <c r="EJ59" s="12">
        <f>IF('Données projet'!$A$192&gt;35,EJ58+EI59-ER58,IF(A59&lt;'Données projet'!$A$192,$EG$205^A59,IF(A59='Données projet'!$A$192,'Données projet'!$B$192,EJ58+EI59-ER58)))</f>
        <v>224.19999999999987</v>
      </c>
      <c r="EK59" s="17">
        <f>EJ59*VLOOKUP('Données projet'!$B$15,Paramètres!$A$1:$I$89,3,0)*VLOOKUP('Données projet'!$B$15,Paramètres!$A$1:$I$89,5,0)</f>
        <v>150.39335999999992</v>
      </c>
      <c r="EL59" s="13">
        <f t="shared" si="45"/>
        <v>38.667964462260457</v>
      </c>
      <c r="EM59" s="20">
        <f t="shared" si="19"/>
        <v>329.28180677177016</v>
      </c>
      <c r="EN59" s="59">
        <f t="shared" si="20"/>
        <v>622.61514010510348</v>
      </c>
      <c r="EO59" s="59">
        <f ca="1">AVERAGE(OFFSET($EN$3,0,0,'Données projet'!$E$15+1,1))-AVERAGE(OFFSET($H$3,0,0,'Données projet'!$E$15+1,1))</f>
        <v>178.09619481964575</v>
      </c>
      <c r="EP59" s="59">
        <f t="shared" si="46"/>
        <v>178.65167777495174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10.953469907314938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2.4390469221518596</v>
      </c>
      <c r="EY59" s="22">
        <f t="shared" si="21"/>
        <v>13.392516829466798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5.2</v>
      </c>
      <c r="FE59" s="12">
        <f>IF('Données projet'!$A$218&gt;35,FE58+FD59-FM58,IF(A59&lt;'Données projet'!$A$218,$FB$205^A59,IF(A59='Données projet'!$A$218,'Données projet'!$B$218,FE58+FD59-FM58)))</f>
        <v>224.19999999999987</v>
      </c>
      <c r="FF59" s="17">
        <f>FE59*VLOOKUP('Données projet'!$B$16,Paramètres!$A$1:$I$89,3,0)*VLOOKUP('Données projet'!$B$16,Paramètres!$A$1:$I$89,5,0)</f>
        <v>178.37351999999993</v>
      </c>
      <c r="FG59" s="13">
        <f t="shared" si="47"/>
        <v>44.960133388294842</v>
      </c>
      <c r="FH59" s="20">
        <f t="shared" si="22"/>
        <v>388.97277965128006</v>
      </c>
      <c r="FI59" s="59">
        <f t="shared" si="23"/>
        <v>682.30611298461338</v>
      </c>
      <c r="FJ59" s="59">
        <f ca="1">AVERAGE(OFFSET($FI$3,0,0,'Données projet'!$E$16+1,1))-AVERAGE(OFFSET($H$3,0,0,'Données projet'!$E$16+1,1))</f>
        <v>219.43439115440339</v>
      </c>
      <c r="FK59" s="59">
        <f t="shared" si="48"/>
        <v>217.8880462742099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12.99132477379214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2.8928230937149966</v>
      </c>
      <c r="FT59" s="22">
        <f t="shared" si="24"/>
        <v>15.884147867507137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2.625</v>
      </c>
      <c r="FZ59" s="12">
        <f>IF('Données projet'!$A$244&gt;35,FZ58+FY59-GH58,IF(A59&lt;'Données projet'!$A$244,$FW$205^A59,IF(A59='Données projet'!$A$244,'Données projet'!$B$244,FZ58+FY59-GH58)))</f>
        <v>300.25</v>
      </c>
      <c r="GA59" s="17">
        <f>FZ59*VLOOKUP('Données projet'!$B$17,Paramètres!$A$1:$I$89,3,0)*VLOOKUP('Données projet'!$B$17,Paramètres!$A$1:$I$89,5,0)</f>
        <v>179.54950000000002</v>
      </c>
      <c r="GB59" s="13">
        <f t="shared" si="49"/>
        <v>45.221943603548368</v>
      </c>
      <c r="GC59" s="20">
        <f t="shared" si="25"/>
        <v>391.47693094284676</v>
      </c>
      <c r="GD59" s="59">
        <f t="shared" si="26"/>
        <v>684.81026427618008</v>
      </c>
      <c r="GE59" s="59">
        <f ca="1">AVERAGE(OFFSET($GD$3,0,0,'Données projet'!$E$17+1,1))-AVERAGE(OFFSET($H$3,0,0,'Données projet'!$E$17+1,1))</f>
        <v>191.77102466144095</v>
      </c>
      <c r="GF59" s="59">
        <f t="shared" si="50"/>
        <v>205.57161411620217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24.173494614551611</v>
      </c>
      <c r="GM59" s="21">
        <f>EXP(-LN(2)/25)*GM58+(1-EXP(-LN(2)/25))/(LN(2)/25)*Calculateur!GH59*Calculateur!GJ59*VLOOKUP('Données projet'!$B$17,Paramètres!$A$1:$I$89,3,0)*0.475*44/12</f>
        <v>13.892960204060953</v>
      </c>
      <c r="GN59" s="21">
        <f>EXP(-LN(2)/2)*GN58+(1-EXP(-LN(2)/2))/(LN(2)/2)*GH59*GK59*VLOOKUP('Données projet'!$B$17,Paramètres!$A$1:$I$89,3,0)*0.475*44/12</f>
        <v>0.68969749087022292</v>
      </c>
      <c r="GO59" s="21">
        <f t="shared" si="27"/>
        <v>38.756152309482786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84.31577618130467</v>
      </c>
      <c r="T60" s="59">
        <f t="shared" si="34"/>
        <v>527.2140904310653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71.636635712013842</v>
      </c>
      <c r="AA60" s="21">
        <f>EXP(-LN(2)/25)*AA59+(1-EXP(-LN(2)/25))/(LN(2)/25)*Calculateur!V60*Calculateur!X60*VLOOKUP('Données projet'!$B$9,Paramètres!$A$1:$I$89,3,0)*0.475*44/12</f>
        <v>16.672791049739729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88.309426761753571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7.875</v>
      </c>
      <c r="AI60" s="13">
        <f>IF('Données projet'!$A$62&gt;35,AI59+AH60-AQ59,IF(A60&lt;'Données projet'!$A$62,$AF$205^A60,IF(A60='Données projet'!$A$62,'Données projet'!$B$62,AI59+AH60-AQ59)))</f>
        <v>171.125</v>
      </c>
      <c r="AJ60" s="13">
        <f>AI60*VLOOKUP('Données projet'!$B$10,Paramètres!$A$1:$I$89,3,0)*VLOOKUP('Données projet'!$B$10,Paramètres!$A$1:$I$89,5,0)</f>
        <v>154.8339</v>
      </c>
      <c r="AK60" s="13">
        <f t="shared" si="35"/>
        <v>39.675070702121111</v>
      </c>
      <c r="AL60" s="20">
        <f t="shared" si="4"/>
        <v>338.76979063952757</v>
      </c>
      <c r="AM60" s="59">
        <f t="shared" si="5"/>
        <v>632.10312397286089</v>
      </c>
      <c r="AN60" s="59">
        <f ca="1">AVERAGE(OFFSET($AM$3,0,0,'Données projet'!$E$10+1,1))-AVERAGE(OFFSET($H$3,0,0,'Données projet'!$E$10+1,1))</f>
        <v>297.90790572649428</v>
      </c>
      <c r="AO60" s="59">
        <f t="shared" si="36"/>
        <v>142.96889776844506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7.875</v>
      </c>
      <c r="BD60" s="12">
        <f>IF('Données projet'!$A$88&gt;35,BD59+BC60-BL59,IF(A60&lt;'Données projet'!$A$88,$BA$205^A60,IF(A60='Données projet'!$A$88,'Données projet'!$B$88,BD59+BC60-BL59)))</f>
        <v>171.125</v>
      </c>
      <c r="BE60" s="13">
        <f>BD60*VLOOKUP('Données projet'!$B$11,Paramètres!$A$1:$I$89,3,0)*VLOOKUP('Données projet'!$B$11,Paramètres!$A$1:$I$89,5,0)</f>
        <v>173.52075000000002</v>
      </c>
      <c r="BF60" s="13">
        <f t="shared" si="37"/>
        <v>43.877611264011577</v>
      </c>
      <c r="BG60" s="20">
        <f t="shared" si="7"/>
        <v>378.63547920148682</v>
      </c>
      <c r="BH60" s="59">
        <f t="shared" si="8"/>
        <v>671.96881253482013</v>
      </c>
      <c r="BI60" s="59">
        <f ca="1">AVERAGE(OFFSET($BH$3,0,0,'Données projet'!$E$11+1,1))-AVERAGE(OFFSET($H$3,0,0,'Données projet'!$E$11+1,1))</f>
        <v>345.3294887586967</v>
      </c>
      <c r="BJ60" s="59">
        <f t="shared" si="38"/>
        <v>164.23448598618114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17.625</v>
      </c>
      <c r="BY60" s="12">
        <f>IF('Données projet'!$A$114&gt;35,BY59+BX60-CG59,IF(A60&lt;'Données projet'!$A$114,$BV$205^A60,IF(A60='Données projet'!$A$114,'Données projet'!$B$114,BY59+BX60-CG59)))</f>
        <v>422.37499999999994</v>
      </c>
      <c r="BZ60" s="13">
        <f>BY60*VLOOKUP('Données projet'!$B$12,Paramètres!$A$1:$I$89,3,0)*VLOOKUP('Données projet'!$B$12,Paramètres!$A$1:$I$89,5,0)</f>
        <v>252.58025000000001</v>
      </c>
      <c r="CA60" s="13">
        <f t="shared" si="39"/>
        <v>61.138131933251593</v>
      </c>
      <c r="CB60" s="20">
        <f t="shared" si="10"/>
        <v>546.39284853374647</v>
      </c>
      <c r="CC60" s="59">
        <f t="shared" si="11"/>
        <v>839.72618186707973</v>
      </c>
      <c r="CD60" s="59">
        <f ca="1">AVERAGE(OFFSET($CC$3,0,0,'Données projet'!$E$12+1,1))-AVERAGE(OFFSET($H$3,0,0,'Données projet'!$E$12+1,1))</f>
        <v>289.07218105343333</v>
      </c>
      <c r="CE60" s="59">
        <f t="shared" si="40"/>
        <v>217.57508587672368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3.2941389966322689</v>
      </c>
      <c r="CL60" s="21">
        <f>EXP(-LN(2)/25)*CL59+(1-EXP(-LN(2)/25))/(LN(2)/25)*Calculateur!CG60*Calculateur!CI60*VLOOKUP('Données projet'!$B$12,Paramètres!$A$1:$I$89,3,0)*0.475*44/12</f>
        <v>30.746087467730607</v>
      </c>
      <c r="CM60" s="21">
        <f>EXP(-LN(2)/2)*CM59+(1-EXP(-LN(2)/2))/(LN(2)/2)*CG60*CJ60*VLOOKUP('Données projet'!$B$12,Paramètres!$A$1:$I$89,3,0)*0.475*44/12</f>
        <v>1.5299875405358012</v>
      </c>
      <c r="CN60" s="22">
        <f t="shared" si="12"/>
        <v>35.570214004898673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4.4000000000000004</v>
      </c>
      <c r="CT60" s="12">
        <f>IF('Données projet'!$A$140&gt;35,CT59+CS60-DB59,IF(A60&lt;'Données projet'!$A$140,$CQ$205^A60,IF(A60='Données projet'!$A$140,'Données projet'!$B$140,CT59+CS60-DB59)))</f>
        <v>228.80000000000004</v>
      </c>
      <c r="CU60" s="17">
        <f>CT60*VLOOKUP('Données projet'!$B$13,Paramètres!$A$1:$I$89,3,0)*VLOOKUP('Données projet'!$B$13,Paramètres!$A$1:$I$89,5,0)</f>
        <v>199.87968000000006</v>
      </c>
      <c r="CV60" s="13">
        <f t="shared" si="41"/>
        <v>49.717724105058785</v>
      </c>
      <c r="CW60" s="20">
        <f t="shared" si="13"/>
        <v>434.71547881631085</v>
      </c>
      <c r="CX60" s="59">
        <f t="shared" si="14"/>
        <v>728.04881214964416</v>
      </c>
      <c r="CY60" s="59">
        <f ca="1">AVERAGE(OFFSET($CX$3,0,0,'Données projet'!$E$13+1,1))-AVERAGE(OFFSET($H$3,0,0,'Données projet'!$E$13+1,1))</f>
        <v>237.8483058552178</v>
      </c>
      <c r="CZ60" s="59">
        <f t="shared" si="42"/>
        <v>313.36201272119723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11.747874748856589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0.74790653721422662</v>
      </c>
      <c r="DI60" s="22">
        <f t="shared" si="15"/>
        <v>12.495781286070816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7.875</v>
      </c>
      <c r="DO60" s="12">
        <f>IF('Données projet'!$A$166&gt;35,DO59+DN60-DW59,IF(A60&lt;'Données projet'!$A$166,$DL$205^A60,IF(A60='Données projet'!$A$166,'Données projet'!$B$166,DO59+DN60-DW59)))</f>
        <v>171.125</v>
      </c>
      <c r="DP60" s="17">
        <f>DO60*VLOOKUP('Données projet'!$B$14,Paramètres!$A$1:$I$89,3,0)*VLOOKUP('Données projet'!$B$14,Paramètres!$A$1:$I$89,5,0)</f>
        <v>165.5121</v>
      </c>
      <c r="DQ60" s="13">
        <f t="shared" si="43"/>
        <v>42.083323547385099</v>
      </c>
      <c r="DR60" s="20">
        <f t="shared" si="16"/>
        <v>361.56202934502903</v>
      </c>
      <c r="DS60" s="59">
        <f t="shared" si="17"/>
        <v>654.89536267836229</v>
      </c>
      <c r="DT60" s="59">
        <f ca="1">AVERAGE(OFFSET($DS$3,0,0,'Données projet'!$E$14+1,1))-AVERAGE(OFFSET($H$3,0,0,'Données projet'!$E$14+1,1))</f>
        <v>325.01961068962373</v>
      </c>
      <c r="DU60" s="59">
        <f t="shared" si="44"/>
        <v>155.12737608540039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5.2</v>
      </c>
      <c r="EJ60" s="12">
        <f>IF('Données projet'!$A$192&gt;35,EJ59+EI60-ER59,IF(A60&lt;'Données projet'!$A$192,$EG$205^A60,IF(A60='Données projet'!$A$192,'Données projet'!$B$192,EJ59+EI60-ER59)))</f>
        <v>229.39999999999986</v>
      </c>
      <c r="EK60" s="17">
        <f>EJ60*VLOOKUP('Données projet'!$B$15,Paramètres!$A$1:$I$89,3,0)*VLOOKUP('Données projet'!$B$15,Paramètres!$A$1:$I$89,5,0)</f>
        <v>153.88151999999991</v>
      </c>
      <c r="EL60" s="13">
        <f t="shared" si="45"/>
        <v>39.459359136474234</v>
      </c>
      <c r="EM60" s="20">
        <f t="shared" si="19"/>
        <v>336.7353644960258</v>
      </c>
      <c r="EN60" s="59">
        <f t="shared" si="20"/>
        <v>630.06869782935905</v>
      </c>
      <c r="EO60" s="59">
        <f ca="1">AVERAGE(OFFSET($EN$3,0,0,'Données projet'!$E$15+1,1))-AVERAGE(OFFSET($H$3,0,0,'Données projet'!$E$15+1,1))</f>
        <v>178.09619481964575</v>
      </c>
      <c r="EP60" s="59">
        <f t="shared" si="46"/>
        <v>178.65167777495174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10.738679043389446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1.7246666182857573</v>
      </c>
      <c r="EY60" s="22">
        <f t="shared" si="21"/>
        <v>12.463345661675204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5.2</v>
      </c>
      <c r="FE60" s="12">
        <f>IF('Données projet'!$A$218&gt;35,FE59+FD60-FM59,IF(A60&lt;'Données projet'!$A$218,$FB$205^A60,IF(A60='Données projet'!$A$218,'Données projet'!$B$218,FE59+FD60-FM59)))</f>
        <v>229.39999999999986</v>
      </c>
      <c r="FF60" s="17">
        <f>FE60*VLOOKUP('Données projet'!$B$16,Paramètres!$A$1:$I$89,3,0)*VLOOKUP('Données projet'!$B$16,Paramètres!$A$1:$I$89,5,0)</f>
        <v>182.51063999999988</v>
      </c>
      <c r="FG60" s="13">
        <f t="shared" si="47"/>
        <v>45.880306213791371</v>
      </c>
      <c r="FH60" s="20">
        <f t="shared" si="22"/>
        <v>397.78089798901971</v>
      </c>
      <c r="FI60" s="59">
        <f t="shared" si="23"/>
        <v>691.11423132235302</v>
      </c>
      <c r="FJ60" s="59">
        <f ca="1">AVERAGE(OFFSET($FI$3,0,0,'Données projet'!$E$16+1,1))-AVERAGE(OFFSET($H$3,0,0,'Données projet'!$E$16+1,1))</f>
        <v>219.43439115440339</v>
      </c>
      <c r="FK60" s="59">
        <f t="shared" si="48"/>
        <v>217.8880462742099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12.736572818903765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2.0455348263389217</v>
      </c>
      <c r="FT60" s="22">
        <f t="shared" si="24"/>
        <v>14.782107645242686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2.625</v>
      </c>
      <c r="FZ60" s="12">
        <f>IF('Données projet'!$A$244&gt;35,FZ59+FY60-GH59,IF(A60&lt;'Données projet'!$A$244,$FW$205^A60,IF(A60='Données projet'!$A$244,'Données projet'!$B$244,FZ59+FY60-GH59)))</f>
        <v>302.875</v>
      </c>
      <c r="GA60" s="17">
        <f>FZ60*VLOOKUP('Données projet'!$B$17,Paramètres!$A$1:$I$89,3,0)*VLOOKUP('Données projet'!$B$17,Paramètres!$A$1:$I$89,5,0)</f>
        <v>181.11925000000002</v>
      </c>
      <c r="GB60" s="13">
        <f t="shared" si="49"/>
        <v>45.571108763102352</v>
      </c>
      <c r="GC60" s="20">
        <f t="shared" si="25"/>
        <v>394.81904151240332</v>
      </c>
      <c r="GD60" s="59">
        <f t="shared" si="26"/>
        <v>688.15237484573663</v>
      </c>
      <c r="GE60" s="59">
        <f ca="1">AVERAGE(OFFSET($GD$3,0,0,'Données projet'!$E$17+1,1))-AVERAGE(OFFSET($H$3,0,0,'Données projet'!$E$17+1,1))</f>
        <v>191.77102466144095</v>
      </c>
      <c r="GF60" s="59">
        <f t="shared" si="50"/>
        <v>205.57161411620217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23.699467129536082</v>
      </c>
      <c r="GM60" s="21">
        <f>EXP(-LN(2)/25)*GM59+(1-EXP(-LN(2)/25))/(LN(2)/25)*Calculateur!GH60*Calculateur!GJ60*VLOOKUP('Données projet'!$B$17,Paramètres!$A$1:$I$89,3,0)*0.475*44/12</f>
        <v>13.513056476681882</v>
      </c>
      <c r="GN60" s="21">
        <f>EXP(-LN(2)/2)*GN59+(1-EXP(-LN(2)/2))/(LN(2)/2)*GH60*GK60*VLOOKUP('Données projet'!$B$17,Paramètres!$A$1:$I$89,3,0)*0.475*44/12</f>
        <v>0.48768977276168163</v>
      </c>
      <c r="GO60" s="21">
        <f t="shared" si="27"/>
        <v>37.700213378979647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84.31577618130467</v>
      </c>
      <c r="T61" s="59">
        <f t="shared" si="34"/>
        <v>527.2140904310653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70.231884979734602</v>
      </c>
      <c r="AA61" s="21">
        <f>EXP(-LN(2)/25)*AA60+(1-EXP(-LN(2)/25))/(LN(2)/25)*Calculateur!V61*Calculateur!X61*VLOOKUP('Données projet'!$B$9,Paramètres!$A$1:$I$89,3,0)*0.475*44/12</f>
        <v>16.21687270170062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86.448757681435225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179</v>
      </c>
      <c r="AG61" s="12">
        <f>VLOOKUP(A61,'Données projet'!$A$61:$I$81,9,0)</f>
        <v>7.875</v>
      </c>
      <c r="AH61" s="12">
        <f t="array" ref="AH61">INDEX(AG:AG,MIN(IF(ISNUMBER(AG61:AG257),ROW(AG61:AG257),"")))</f>
        <v>7.875</v>
      </c>
      <c r="AI61" s="13">
        <f>IF('Données projet'!$A$62&gt;35,AI60+AH61-AQ60,IF(A61&lt;'Données projet'!$A$62,$AF$205^A61,IF(A61='Données projet'!$A$62,'Données projet'!$B$62,AI60+AH61-AQ60)))</f>
        <v>179</v>
      </c>
      <c r="AJ61" s="13">
        <f>AI61*VLOOKUP('Données projet'!$B$10,Paramètres!$A$1:$I$89,3,0)*VLOOKUP('Données projet'!$B$10,Paramètres!$A$1:$I$89,5,0)</f>
        <v>161.95919999999998</v>
      </c>
      <c r="AK61" s="13">
        <f t="shared" si="35"/>
        <v>41.284104935125683</v>
      </c>
      <c r="AL61" s="20">
        <f t="shared" si="4"/>
        <v>353.98208942867717</v>
      </c>
      <c r="AM61" s="59">
        <f t="shared" si="5"/>
        <v>647.31542276201048</v>
      </c>
      <c r="AN61" s="59">
        <f ca="1">AVERAGE(OFFSET($AM$3,0,0,'Données projet'!$E$10+1,1))-AVERAGE(OFFSET($H$3,0,0,'Données projet'!$E$10+1,1))</f>
        <v>297.90790572649428</v>
      </c>
      <c r="AO61" s="59">
        <f t="shared" si="36"/>
        <v>142.96889776844506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0.215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9.4249158337624799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9.4249158337624799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179</v>
      </c>
      <c r="BB61" s="12">
        <f>VLOOKUP(A61,'Données projet'!$A$87:$I$107,9,0)</f>
        <v>7.875</v>
      </c>
      <c r="BC61" s="12">
        <f t="array" ref="BC61">INDEX(BB:BB,MIN(IF(ISNUMBER(BB61:BB257),ROW(BB61:BB257),"")))</f>
        <v>7.875</v>
      </c>
      <c r="BD61" s="12">
        <f>IF('Données projet'!$A$88&gt;35,BD60+BC61-BL60,IF(A61&lt;'Données projet'!$A$88,$BA$205^A61,IF(A61='Données projet'!$A$88,'Données projet'!$B$88,BD60+BC61-BL60)))</f>
        <v>179</v>
      </c>
      <c r="BE61" s="13">
        <f>BD61*VLOOKUP('Données projet'!$B$11,Paramètres!$A$1:$I$89,3,0)*VLOOKUP('Données projet'!$B$11,Paramètres!$A$1:$I$89,5,0)</f>
        <v>181.50600000000003</v>
      </c>
      <c r="BF61" s="13">
        <f t="shared" si="37"/>
        <v>45.657080773122978</v>
      </c>
      <c r="BG61" s="20">
        <f t="shared" si="7"/>
        <v>395.64236567985586</v>
      </c>
      <c r="BH61" s="59">
        <f t="shared" si="8"/>
        <v>688.97569901318911</v>
      </c>
      <c r="BI61" s="59">
        <f ca="1">AVERAGE(OFFSET($BH$3,0,0,'Données projet'!$E$11+1,1))-AVERAGE(OFFSET($H$3,0,0,'Données projet'!$E$11+1,1))</f>
        <v>345.3294887586967</v>
      </c>
      <c r="BJ61" s="59">
        <f t="shared" si="38"/>
        <v>164.23448598618114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0.215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10.562405675768298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10.562405675768298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440</v>
      </c>
      <c r="BW61" s="12">
        <f>VLOOKUP(A61,'Données projet'!$A$113:$I$133,9,0)</f>
        <v>17.625</v>
      </c>
      <c r="BX61" s="12">
        <f t="array" ref="BX61">INDEX(BW:BW,MIN(IF(ISNUMBER(BW61:BW257),ROW(BW61:BW257),"")))</f>
        <v>17.625</v>
      </c>
      <c r="BY61" s="12">
        <f>IF('Données projet'!$A$114&gt;35,BY60+BX61-CG60,IF(A61&lt;'Données projet'!$A$114,$BV$205^A61,IF(A61='Données projet'!$A$114,'Données projet'!$B$114,BY60+BX61-CG60)))</f>
        <v>439.99999999999994</v>
      </c>
      <c r="BZ61" s="13">
        <f>BY61*VLOOKUP('Données projet'!$B$12,Paramètres!$A$1:$I$89,3,0)*VLOOKUP('Données projet'!$B$12,Paramètres!$A$1:$I$89,5,0)</f>
        <v>263.12</v>
      </c>
      <c r="CA61" s="13">
        <f t="shared" si="39"/>
        <v>63.386973458752003</v>
      </c>
      <c r="CB61" s="20">
        <f t="shared" si="10"/>
        <v>568.66631210732646</v>
      </c>
      <c r="CC61" s="59">
        <f t="shared" si="11"/>
        <v>861.99964544065983</v>
      </c>
      <c r="CD61" s="59">
        <f ca="1">AVERAGE(OFFSET($CC$3,0,0,'Données projet'!$E$12+1,1))-AVERAGE(OFFSET($H$3,0,0,'Données projet'!$E$12+1,1))</f>
        <v>289.07218105343333</v>
      </c>
      <c r="CE61" s="59">
        <f t="shared" si="40"/>
        <v>217.57508587672368</v>
      </c>
      <c r="CF61" s="15">
        <f>IF(ISNA(VLOOKUP(A61,'Données projet'!$A$113:$I$133,3,0)),0,VLOOKUP(A61,'Données projet'!$A$113:$I$133,3,0))</f>
        <v>8</v>
      </c>
      <c r="CG61" s="15">
        <f>IF(ISNA(VLOOKUP(A61,'Données projet'!$A$113:$I$133,4,0)),0,VLOOKUP(A61,'Données projet'!$A$113:$I$133,4,0))</f>
        <v>78</v>
      </c>
      <c r="CH61" s="16">
        <f>IF(ISNA(VLOOKUP(A61,'Données projet'!$A$113:$I$133,5,0)),0%,VLOOKUP(A61,'Données projet'!$A$113:$I$133,5,0)*VLOOKUP('Données projet'!$B$12,Paramètres!$A$1:$I$89,7,0))</f>
        <v>0.13500000000000001</v>
      </c>
      <c r="CI61" s="16">
        <f>IF(ISNA(VLOOKUP(A61,'Données projet'!$A$113:$I$133,6,0)),0%,VLOOKUP(A61,'Données projet'!$A$113:$I$133,6,0)*VLOOKUP('Données projet'!$B$12,Paramètres!$A$1:$I$89,7,0))</f>
        <v>0.18000000000000002</v>
      </c>
      <c r="CJ61" s="16">
        <f>IF(ISNA(VLOOKUP(A61,'Données projet'!$A$113:$I$133,7,0)),0%,VLOOKUP(A61,'Données projet'!$A$113:$I$133,7,0))</f>
        <v>0.3</v>
      </c>
      <c r="CK61" s="21">
        <f>EXP(-LN(2)/35)*CK60+(1-EXP(-LN(2)/35))/(LN(2)/35)*CG61*CH61*VLOOKUP('Données projet'!$B$12,Paramètres!$A$1:$I$89,3,0)*0.475*44/12</f>
        <v>11.582839722170162</v>
      </c>
      <c r="CL61" s="21">
        <f>EXP(-LN(2)/25)*CL60+(1-EXP(-LN(2)/25))/(LN(2)/25)*Calculateur!CG61*Calculateur!CI61*VLOOKUP('Données projet'!$B$12,Paramètres!$A$1:$I$89,3,0)*0.475*44/12</f>
        <v>40.999209648724353</v>
      </c>
      <c r="CM61" s="21">
        <f>EXP(-LN(2)/2)*CM60+(1-EXP(-LN(2)/2))/(LN(2)/2)*CG61*CJ61*VLOOKUP('Données projet'!$B$12,Paramètres!$A$1:$I$89,3,0)*0.475*44/12</f>
        <v>16.925417550791138</v>
      </c>
      <c r="CN61" s="22">
        <f t="shared" si="12"/>
        <v>69.507466921685648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4.4000000000000004</v>
      </c>
      <c r="CT61" s="12">
        <f>IF('Données projet'!$A$140&gt;35,CT60+CS61-DB60,IF(A61&lt;'Données projet'!$A$140,$CQ$205^A61,IF(A61='Données projet'!$A$140,'Données projet'!$B$140,CT60+CS61-DB60)))</f>
        <v>233.20000000000005</v>
      </c>
      <c r="CU61" s="17">
        <f>CT61*VLOOKUP('Données projet'!$B$13,Paramètres!$A$1:$I$89,3,0)*VLOOKUP('Données projet'!$B$13,Paramètres!$A$1:$I$89,5,0)</f>
        <v>203.72352000000006</v>
      </c>
      <c r="CV61" s="13">
        <f t="shared" si="41"/>
        <v>50.561604122231515</v>
      </c>
      <c r="CW61" s="20">
        <f t="shared" si="13"/>
        <v>442.87992451288665</v>
      </c>
      <c r="CX61" s="59">
        <f t="shared" si="14"/>
        <v>736.2132578462199</v>
      </c>
      <c r="CY61" s="59">
        <f ca="1">AVERAGE(OFFSET($CX$3,0,0,'Données projet'!$E$13+1,1))-AVERAGE(OFFSET($H$3,0,0,'Données projet'!$E$13+1,1))</f>
        <v>237.8483058552178</v>
      </c>
      <c r="CZ61" s="59">
        <f t="shared" si="42"/>
        <v>313.36201272119723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11.517506090527574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0.5288497841579286</v>
      </c>
      <c r="DI61" s="22">
        <f t="shared" si="15"/>
        <v>12.046355874685503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179</v>
      </c>
      <c r="DM61" s="12">
        <f>VLOOKUP(A61,'Données projet'!$A$165:$I$185,9,0)</f>
        <v>7.875</v>
      </c>
      <c r="DN61" s="12">
        <f t="array" ref="DN61">INDEX(DM:DM,MIN(IF(ISNUMBER(DM61:DM257),ROW(DM61:DM257),"")))</f>
        <v>7.875</v>
      </c>
      <c r="DO61" s="12">
        <f>IF('Données projet'!$A$166&gt;35,DO60+DN61-DW60,IF(A61&lt;'Données projet'!$A$166,$DL$205^A61,IF(A61='Données projet'!$A$166,'Données projet'!$B$166,DO60+DN61-DW60)))</f>
        <v>179</v>
      </c>
      <c r="DP61" s="17">
        <f>DO61*VLOOKUP('Données projet'!$B$14,Paramètres!$A$1:$I$89,3,0)*VLOOKUP('Données projet'!$B$14,Paramètres!$A$1:$I$89,5,0)</f>
        <v>173.12880000000001</v>
      </c>
      <c r="DQ61" s="13">
        <f t="shared" si="43"/>
        <v>43.790025187181634</v>
      </c>
      <c r="DR61" s="20">
        <f t="shared" si="16"/>
        <v>377.80028720100808</v>
      </c>
      <c r="DS61" s="59">
        <f t="shared" si="17"/>
        <v>671.13362053434139</v>
      </c>
      <c r="DT61" s="59">
        <f ca="1">AVERAGE(OFFSET($DS$3,0,0,'Données projet'!$E$14+1,1))-AVERAGE(OFFSET($H$3,0,0,'Données projet'!$E$14+1,1))</f>
        <v>325.01961068962373</v>
      </c>
      <c r="DU61" s="59">
        <f t="shared" si="44"/>
        <v>155.12737608540039</v>
      </c>
      <c r="DV61" s="15">
        <f>IF(ISNA(VLOOKUP(A61,'Données projet'!$A$165:$I$185,3,0)),0,VLOOKUP(A61,'Données projet'!$A$165:$I$185,3,0))</f>
        <v>3</v>
      </c>
      <c r="DW61" s="15">
        <f>IF(ISNA(VLOOKUP(A61,'Données projet'!$A$165:$I$185,4,0)),0,VLOOKUP(A61,'Données projet'!$A$165:$I$185,4,0))</f>
        <v>44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0.215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10.074910029194374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10.074910029194374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5.2</v>
      </c>
      <c r="EJ61" s="12">
        <f>IF('Données projet'!$A$192&gt;35,EJ60+EI61-ER60,IF(A61&lt;'Données projet'!$A$192,$EG$205^A61,IF(A61='Données projet'!$A$192,'Données projet'!$B$192,EJ60+EI61-ER60)))</f>
        <v>234.59999999999985</v>
      </c>
      <c r="EK61" s="17">
        <f>EJ61*VLOOKUP('Données projet'!$B$15,Paramètres!$A$1:$I$89,3,0)*VLOOKUP('Données projet'!$B$15,Paramètres!$A$1:$I$89,5,0)</f>
        <v>157.3696799999999</v>
      </c>
      <c r="EL61" s="13">
        <f t="shared" si="45"/>
        <v>40.248668251494898</v>
      </c>
      <c r="EM61" s="20">
        <f t="shared" si="19"/>
        <v>344.18528987135346</v>
      </c>
      <c r="EN61" s="59">
        <f t="shared" si="20"/>
        <v>637.51862320468672</v>
      </c>
      <c r="EO61" s="59">
        <f ca="1">AVERAGE(OFFSET($EN$3,0,0,'Données projet'!$E$15+1,1))-AVERAGE(OFFSET($H$3,0,0,'Données projet'!$E$15+1,1))</f>
        <v>178.09619481964575</v>
      </c>
      <c r="EP61" s="59">
        <f t="shared" si="46"/>
        <v>178.65167777495174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10.528100097296042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1.21952346107593</v>
      </c>
      <c r="EY61" s="22">
        <f t="shared" si="21"/>
        <v>11.747623558371972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5.2</v>
      </c>
      <c r="FE61" s="12">
        <f>IF('Données projet'!$A$218&gt;35,FE60+FD61-FM60,IF(A61&lt;'Données projet'!$A$218,$FB$205^A61,IF(A61='Données projet'!$A$218,'Données projet'!$B$218,FE60+FD61-FM60)))</f>
        <v>234.59999999999985</v>
      </c>
      <c r="FF61" s="17">
        <f>FE61*VLOOKUP('Données projet'!$B$16,Paramètres!$A$1:$I$89,3,0)*VLOOKUP('Données projet'!$B$16,Paramètres!$A$1:$I$89,5,0)</f>
        <v>186.64775999999989</v>
      </c>
      <c r="FG61" s="13">
        <f t="shared" si="47"/>
        <v>46.79805411155214</v>
      </c>
      <c r="FH61" s="20">
        <f t="shared" si="22"/>
        <v>406.58479291095313</v>
      </c>
      <c r="FI61" s="59">
        <f t="shared" si="23"/>
        <v>699.91812624428644</v>
      </c>
      <c r="FJ61" s="59">
        <f ca="1">AVERAGE(OFFSET($FI$3,0,0,'Données projet'!$E$16+1,1))-AVERAGE(OFFSET($H$3,0,0,'Données projet'!$E$16+1,1))</f>
        <v>219.43439115440339</v>
      </c>
      <c r="FK61" s="59">
        <f t="shared" si="48"/>
        <v>217.8880462742099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12.486816394467402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1.4464115468574985</v>
      </c>
      <c r="FT61" s="22">
        <f t="shared" si="24"/>
        <v>13.933227941324901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2.625</v>
      </c>
      <c r="FZ61" s="12">
        <f>IF('Données projet'!$A$244&gt;35,FZ60+FY61-GH60,IF(A61&lt;'Données projet'!$A$244,$FW$205^A61,IF(A61='Données projet'!$A$244,'Données projet'!$B$244,FZ60+FY61-GH60)))</f>
        <v>305.5</v>
      </c>
      <c r="GA61" s="17">
        <f>FZ61*VLOOKUP('Données projet'!$B$17,Paramètres!$A$1:$I$89,3,0)*VLOOKUP('Données projet'!$B$17,Paramètres!$A$1:$I$89,5,0)</f>
        <v>182.68900000000002</v>
      </c>
      <c r="GB61" s="13">
        <f t="shared" si="49"/>
        <v>45.919921846619154</v>
      </c>
      <c r="GC61" s="20">
        <f t="shared" si="25"/>
        <v>398.16053888286166</v>
      </c>
      <c r="GD61" s="59">
        <f t="shared" si="26"/>
        <v>691.49387221619497</v>
      </c>
      <c r="GE61" s="59">
        <f ca="1">AVERAGE(OFFSET($GD$3,0,0,'Données projet'!$E$17+1,1))-AVERAGE(OFFSET($H$3,0,0,'Données projet'!$E$17+1,1))</f>
        <v>191.77102466144095</v>
      </c>
      <c r="GF61" s="59">
        <f t="shared" si="50"/>
        <v>205.57161411620217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23.23473503437349</v>
      </c>
      <c r="GM61" s="21">
        <f>EXP(-LN(2)/25)*GM60+(1-EXP(-LN(2)/25))/(LN(2)/25)*Calculateur!GH61*Calculateur!GJ61*VLOOKUP('Données projet'!$B$17,Paramètres!$A$1:$I$89,3,0)*0.475*44/12</f>
        <v>13.143541236706261</v>
      </c>
      <c r="GN61" s="21">
        <f>EXP(-LN(2)/2)*GN60+(1-EXP(-LN(2)/2))/(LN(2)/2)*GH61*GK61*VLOOKUP('Données projet'!$B$17,Paramètres!$A$1:$I$89,3,0)*0.475*44/12</f>
        <v>0.34484874543511151</v>
      </c>
      <c r="GO61" s="21">
        <f t="shared" si="27"/>
        <v>36.723125016514857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84.31577618130467</v>
      </c>
      <c r="T62" s="59">
        <f t="shared" si="34"/>
        <v>527.2140904310653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68.854680552502018</v>
      </c>
      <c r="AA62" s="21">
        <f>EXP(-LN(2)/25)*AA61+(1-EXP(-LN(2)/25))/(LN(2)/25)*Calculateur!V62*Calculateur!X62*VLOOKUP('Données projet'!$B$9,Paramètres!$A$1:$I$89,3,0)*0.475*44/12</f>
        <v>15.773421464864345</v>
      </c>
      <c r="AB62" s="21">
        <f>EXP(-LN(2)/2)*AB61+(1-EXP(-LN(2)/2))/(LN(2)/2)*V62*Y62*VLOOKUP('Données projet'!$B$9,Paramètres!$A$1:$I$89,3,0)*0.475*44/12</f>
        <v>0</v>
      </c>
      <c r="AC62" s="22">
        <f t="shared" si="3"/>
        <v>84.628102017366359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6.875</v>
      </c>
      <c r="AI62" s="13">
        <f>IF('Données projet'!$A$62&gt;35,AI61+AH62-AQ61,IF(A62&lt;'Données projet'!$A$62,$AF$205^A62,IF(A62='Données projet'!$A$62,'Données projet'!$B$62,AI61+AH62-AQ61)))</f>
        <v>141.875</v>
      </c>
      <c r="AJ62" s="13">
        <f>AI62*VLOOKUP('Données projet'!$B$10,Paramètres!$A$1:$I$89,3,0)*VLOOKUP('Données projet'!$B$10,Paramètres!$A$1:$I$89,5,0)</f>
        <v>128.36849999999998</v>
      </c>
      <c r="AK62" s="13">
        <f t="shared" si="35"/>
        <v>33.619090931219688</v>
      </c>
      <c r="AL62" s="20">
        <f t="shared" si="4"/>
        <v>282.12838753854095</v>
      </c>
      <c r="AM62" s="59">
        <f t="shared" si="5"/>
        <v>575.46172087187426</v>
      </c>
      <c r="AN62" s="59">
        <f ca="1">AVERAGE(OFFSET($AM$3,0,0,'Données projet'!$E$10+1,1))-AVERAGE(OFFSET($H$3,0,0,'Données projet'!$E$10+1,1))</f>
        <v>297.90790572649428</v>
      </c>
      <c r="AO62" s="59">
        <f t="shared" si="36"/>
        <v>142.96889776844506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9.1671910146534614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9.1671910146534614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6.875</v>
      </c>
      <c r="BD62" s="12">
        <f>IF('Données projet'!$A$88&gt;35,BD61+BC62-BL61,IF(A62&lt;'Données projet'!$A$88,$BA$205^A62,IF(A62='Données projet'!$A$88,'Données projet'!$B$88,BD61+BC62-BL61)))</f>
        <v>141.875</v>
      </c>
      <c r="BE62" s="13">
        <f>BD62*VLOOKUP('Données projet'!$B$11,Paramètres!$A$1:$I$89,3,0)*VLOOKUP('Données projet'!$B$11,Paramètres!$A$1:$I$89,5,0)</f>
        <v>143.86125000000001</v>
      </c>
      <c r="BF62" s="13">
        <f t="shared" si="37"/>
        <v>37.180158140226112</v>
      </c>
      <c r="BG62" s="20">
        <f t="shared" si="7"/>
        <v>315.31378584422714</v>
      </c>
      <c r="BH62" s="59">
        <f t="shared" si="8"/>
        <v>608.6471191775604</v>
      </c>
      <c r="BI62" s="59">
        <f ca="1">AVERAGE(OFFSET($BH$3,0,0,'Données projet'!$E$11+1,1))-AVERAGE(OFFSET($H$3,0,0,'Données projet'!$E$11+1,1))</f>
        <v>345.3294887586967</v>
      </c>
      <c r="BJ62" s="59">
        <f t="shared" si="38"/>
        <v>164.23448598618114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10.27357613711164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10.27357613711164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16.625</v>
      </c>
      <c r="BY62" s="12">
        <f>IF('Données projet'!$A$114&gt;35,BY61+BX62-CG61,IF(A62&lt;'Données projet'!$A$114,$BV$205^A62,IF(A62='Données projet'!$A$114,'Données projet'!$B$114,BY61+BX62-CG61)))</f>
        <v>378.62499999999994</v>
      </c>
      <c r="BZ62" s="13">
        <f>BY62*VLOOKUP('Données projet'!$B$12,Paramètres!$A$1:$I$89,3,0)*VLOOKUP('Données projet'!$B$12,Paramètres!$A$1:$I$89,5,0)</f>
        <v>226.41774999999998</v>
      </c>
      <c r="CA62" s="13">
        <f t="shared" si="39"/>
        <v>55.507409107649494</v>
      </c>
      <c r="CB62" s="20">
        <f t="shared" si="10"/>
        <v>491.0196521124895</v>
      </c>
      <c r="CC62" s="59">
        <f t="shared" si="11"/>
        <v>784.35298544582281</v>
      </c>
      <c r="CD62" s="59">
        <f ca="1">AVERAGE(OFFSET($CC$3,0,0,'Données projet'!$E$12+1,1))-AVERAGE(OFFSET($H$3,0,0,'Données projet'!$E$12+1,1))</f>
        <v>289.07218105343333</v>
      </c>
      <c r="CE62" s="59">
        <f t="shared" si="40"/>
        <v>217.57508587672368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11.355707300053041</v>
      </c>
      <c r="CL62" s="21">
        <f>EXP(-LN(2)/25)*CL61+(1-EXP(-LN(2)/25))/(LN(2)/25)*Calculateur!CG62*Calculateur!CI62*VLOOKUP('Données projet'!$B$12,Paramètres!$A$1:$I$89,3,0)*0.475*44/12</f>
        <v>39.878084104825255</v>
      </c>
      <c r="CM62" s="21">
        <f>EXP(-LN(2)/2)*CM61+(1-EXP(-LN(2)/2))/(LN(2)/2)*CG62*CJ62*VLOOKUP('Données projet'!$B$12,Paramètres!$A$1:$I$89,3,0)*0.475*44/12</f>
        <v>11.968077524578222</v>
      </c>
      <c r="CN62" s="22">
        <f t="shared" si="12"/>
        <v>63.201868929456516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4.4000000000000004</v>
      </c>
      <c r="CT62" s="12">
        <f>IF('Données projet'!$A$140&gt;35,CT61+CS62-DB61,IF(A62&lt;'Données projet'!$A$140,$CQ$205^A62,IF(A62='Données projet'!$A$140,'Données projet'!$B$140,CT61+CS62-DB61)))</f>
        <v>237.60000000000005</v>
      </c>
      <c r="CU62" s="17">
        <f>CT62*VLOOKUP('Données projet'!$B$13,Paramètres!$A$1:$I$89,3,0)*VLOOKUP('Données projet'!$B$13,Paramètres!$A$1:$I$89,5,0)</f>
        <v>207.56736000000006</v>
      </c>
      <c r="CV62" s="13">
        <f t="shared" si="41"/>
        <v>51.403632705393022</v>
      </c>
      <c r="CW62" s="20">
        <f t="shared" si="13"/>
        <v>451.0411456285596</v>
      </c>
      <c r="CX62" s="59">
        <f t="shared" si="14"/>
        <v>744.37447896189292</v>
      </c>
      <c r="CY62" s="59">
        <f ca="1">AVERAGE(OFFSET($CX$3,0,0,'Données projet'!$E$13+1,1))-AVERAGE(OFFSET($H$3,0,0,'Données projet'!$E$13+1,1))</f>
        <v>237.8483058552178</v>
      </c>
      <c r="CZ62" s="59">
        <f t="shared" si="42"/>
        <v>313.36201272119723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11.291654821077383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0.37395326860711331</v>
      </c>
      <c r="DI62" s="22">
        <f t="shared" si="15"/>
        <v>11.665608089684497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6.875</v>
      </c>
      <c r="DO62" s="12">
        <f>IF('Données projet'!$A$166&gt;35,DO61+DN62-DW61,IF(A62&lt;'Données projet'!$A$166,$DL$205^A62,IF(A62='Données projet'!$A$166,'Données projet'!$B$166,DO61+DN62-DW61)))</f>
        <v>141.875</v>
      </c>
      <c r="DP62" s="17">
        <f>DO62*VLOOKUP('Données projet'!$B$14,Paramètres!$A$1:$I$89,3,0)*VLOOKUP('Données projet'!$B$14,Paramètres!$A$1:$I$89,5,0)</f>
        <v>137.22150000000002</v>
      </c>
      <c r="DQ62" s="13">
        <f t="shared" si="43"/>
        <v>35.65974945954769</v>
      </c>
      <c r="DR62" s="20">
        <f t="shared" si="16"/>
        <v>301.10150947537892</v>
      </c>
      <c r="DS62" s="59">
        <f t="shared" si="17"/>
        <v>594.43484280871223</v>
      </c>
      <c r="DT62" s="59">
        <f ca="1">AVERAGE(OFFSET($DS$3,0,0,'Données projet'!$E$14+1,1))-AVERAGE(OFFSET($H$3,0,0,'Données projet'!$E$14+1,1))</f>
        <v>325.01961068962373</v>
      </c>
      <c r="DU62" s="59">
        <f t="shared" si="44"/>
        <v>155.12737608540039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9.7994110846295612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9.7994110846295612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5.2</v>
      </c>
      <c r="EJ62" s="12">
        <f>IF('Données projet'!$A$192&gt;35,EJ61+EI62-ER61,IF(A62&lt;'Données projet'!$A$192,$EG$205^A62,IF(A62='Données projet'!$A$192,'Données projet'!$B$192,EJ61+EI62-ER61)))</f>
        <v>239.79999999999984</v>
      </c>
      <c r="EK62" s="17">
        <f>EJ62*VLOOKUP('Données projet'!$B$15,Paramètres!$A$1:$I$89,3,0)*VLOOKUP('Données projet'!$B$15,Paramètres!$A$1:$I$89,5,0)</f>
        <v>160.8578399999999</v>
      </c>
      <c r="EL62" s="13">
        <f t="shared" si="45"/>
        <v>41.035943357409813</v>
      </c>
      <c r="EM62" s="20">
        <f t="shared" si="19"/>
        <v>351.63167268082196</v>
      </c>
      <c r="EN62" s="59">
        <f t="shared" si="20"/>
        <v>644.96500601415528</v>
      </c>
      <c r="EO62" s="59">
        <f ca="1">AVERAGE(OFFSET($EN$3,0,0,'Données projet'!$E$15+1,1))-AVERAGE(OFFSET($H$3,0,0,'Données projet'!$E$15+1,1))</f>
        <v>178.09619481964575</v>
      </c>
      <c r="EP62" s="59">
        <f t="shared" si="46"/>
        <v>178.65167777495174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10.321650475895055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0.86233330914287876</v>
      </c>
      <c r="EY62" s="22">
        <f t="shared" si="21"/>
        <v>11.183983785037933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5.2</v>
      </c>
      <c r="FE62" s="12">
        <f>IF('Données projet'!$A$218&gt;35,FE61+FD62-FM61,IF(A62&lt;'Données projet'!$A$218,$FB$205^A62,IF(A62='Données projet'!$A$218,'Données projet'!$B$218,FE61+FD62-FM61)))</f>
        <v>239.79999999999984</v>
      </c>
      <c r="FF62" s="17">
        <f>FE62*VLOOKUP('Données projet'!$B$16,Paramètres!$A$1:$I$89,3,0)*VLOOKUP('Données projet'!$B$16,Paramètres!$A$1:$I$89,5,0)</f>
        <v>190.78487999999987</v>
      </c>
      <c r="FG62" s="13">
        <f t="shared" si="47"/>
        <v>47.713437020051622</v>
      </c>
      <c r="FH62" s="20">
        <f t="shared" si="22"/>
        <v>415.384568809923</v>
      </c>
      <c r="FI62" s="59">
        <f t="shared" si="23"/>
        <v>708.71790214325631</v>
      </c>
      <c r="FJ62" s="59">
        <f ca="1">AVERAGE(OFFSET($FI$3,0,0,'Données projet'!$E$16+1,1))-AVERAGE(OFFSET($H$3,0,0,'Données projet'!$E$16+1,1))</f>
        <v>219.43439115440339</v>
      </c>
      <c r="FK62" s="59">
        <f t="shared" si="48"/>
        <v>217.8880462742099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12.241957541177859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1.0227674131694611</v>
      </c>
      <c r="FT62" s="22">
        <f t="shared" si="24"/>
        <v>13.26472495434732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2.625</v>
      </c>
      <c r="FZ62" s="12">
        <f>IF('Données projet'!$A$244&gt;35,FZ61+FY62-GH61,IF(A62&lt;'Données projet'!$A$244,$FW$205^A62,IF(A62='Données projet'!$A$244,'Données projet'!$B$244,FZ61+FY62-GH61)))</f>
        <v>308.125</v>
      </c>
      <c r="GA62" s="17">
        <f>FZ62*VLOOKUP('Données projet'!$B$17,Paramètres!$A$1:$I$89,3,0)*VLOOKUP('Données projet'!$B$17,Paramètres!$A$1:$I$89,5,0)</f>
        <v>184.25875000000002</v>
      </c>
      <c r="GB62" s="13">
        <f t="shared" si="49"/>
        <v>46.26838622983076</v>
      </c>
      <c r="GC62" s="20">
        <f t="shared" si="25"/>
        <v>401.50142893362187</v>
      </c>
      <c r="GD62" s="59">
        <f t="shared" si="26"/>
        <v>694.83476226695518</v>
      </c>
      <c r="GE62" s="59">
        <f ca="1">AVERAGE(OFFSET($GD$3,0,0,'Données projet'!$E$17+1,1))-AVERAGE(OFFSET($H$3,0,0,'Données projet'!$E$17+1,1))</f>
        <v>191.77102466144095</v>
      </c>
      <c r="GF62" s="59">
        <f t="shared" si="50"/>
        <v>205.57161411620217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22.779116052138448</v>
      </c>
      <c r="GM62" s="21">
        <f>EXP(-LN(2)/25)*GM61+(1-EXP(-LN(2)/25))/(LN(2)/25)*Calculateur!GH62*Calculateur!GJ62*VLOOKUP('Données projet'!$B$17,Paramètres!$A$1:$I$89,3,0)*0.475*44/12</f>
        <v>12.784130410399735</v>
      </c>
      <c r="GN62" s="21">
        <f>EXP(-LN(2)/2)*GN61+(1-EXP(-LN(2)/2))/(LN(2)/2)*GH62*GK62*VLOOKUP('Données projet'!$B$17,Paramètres!$A$1:$I$89,3,0)*0.475*44/12</f>
        <v>0.24384488638084084</v>
      </c>
      <c r="GO62" s="21">
        <f t="shared" si="27"/>
        <v>35.807091348919023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84.31577618130467</v>
      </c>
      <c r="T63" s="59">
        <f t="shared" si="34"/>
        <v>527.2140904310653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67.504482264075705</v>
      </c>
      <c r="AA63" s="21">
        <f>EXP(-LN(2)/25)*AA62+(1-EXP(-LN(2)/25))/(LN(2)/25)*Calculateur!V63*Calculateur!X63*VLOOKUP('Données projet'!$B$9,Paramètres!$A$1:$I$89,3,0)*0.475*44/12</f>
        <v>15.342096425419445</v>
      </c>
      <c r="AB63" s="21">
        <f>EXP(-LN(2)/2)*AB62+(1-EXP(-LN(2)/2))/(LN(2)/2)*V63*Y63*VLOOKUP('Données projet'!$B$9,Paramètres!$A$1:$I$89,3,0)*0.475*44/12</f>
        <v>0</v>
      </c>
      <c r="AC63" s="22">
        <f t="shared" si="3"/>
        <v>82.846578689495146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6.875</v>
      </c>
      <c r="AI63" s="13">
        <f>IF('Données projet'!$A$62&gt;35,AI62+AH63-AQ62,IF(A63&lt;'Données projet'!$A$62,$AF$205^A63,IF(A63='Données projet'!$A$62,'Données projet'!$B$62,AI62+AH63-AQ62)))</f>
        <v>148.75</v>
      </c>
      <c r="AJ63" s="13">
        <f>AI63*VLOOKUP('Données projet'!$B$10,Paramètres!$A$1:$I$89,3,0)*VLOOKUP('Données projet'!$B$10,Paramètres!$A$1:$I$89,5,0)</f>
        <v>134.589</v>
      </c>
      <c r="AK63" s="13">
        <f t="shared" si="35"/>
        <v>35.054592075821937</v>
      </c>
      <c r="AL63" s="20">
        <f t="shared" si="4"/>
        <v>295.46258953205654</v>
      </c>
      <c r="AM63" s="59">
        <f t="shared" si="5"/>
        <v>588.79592286538991</v>
      </c>
      <c r="AN63" s="59">
        <f ca="1">AVERAGE(OFFSET($AM$3,0,0,'Données projet'!$E$10+1,1))-AVERAGE(OFFSET($H$3,0,0,'Données projet'!$E$10+1,1))</f>
        <v>297.90790572649428</v>
      </c>
      <c r="AO63" s="59">
        <f t="shared" si="36"/>
        <v>142.96889776844506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8.9165136942761389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8.9165136942761389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6.875</v>
      </c>
      <c r="BD63" s="12">
        <f>IF('Données projet'!$A$88&gt;35,BD62+BC63-BL62,IF(A63&lt;'Données projet'!$A$88,$BA$205^A63,IF(A63='Données projet'!$A$88,'Données projet'!$B$88,BD62+BC63-BL62)))</f>
        <v>148.75</v>
      </c>
      <c r="BE63" s="13">
        <f>BD63*VLOOKUP('Données projet'!$B$11,Paramètres!$A$1:$I$89,3,0)*VLOOKUP('Données projet'!$B$11,Paramètres!$A$1:$I$89,5,0)</f>
        <v>150.83250000000001</v>
      </c>
      <c r="BF63" s="13">
        <f t="shared" si="37"/>
        <v>38.767713249196177</v>
      </c>
      <c r="BG63" s="20">
        <f t="shared" si="7"/>
        <v>330.22037140901671</v>
      </c>
      <c r="BH63" s="59">
        <f t="shared" si="8"/>
        <v>623.55370474234996</v>
      </c>
      <c r="BI63" s="59">
        <f ca="1">AVERAGE(OFFSET($BH$3,0,0,'Données projet'!$E$11+1,1))-AVERAGE(OFFSET($H$3,0,0,'Données projet'!$E$11+1,1))</f>
        <v>345.3294887586967</v>
      </c>
      <c r="BJ63" s="59">
        <f t="shared" si="38"/>
        <v>164.23448598618114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9.9926446573784329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9.9926446573784329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16.625</v>
      </c>
      <c r="BY63" s="12">
        <f>IF('Données projet'!$A$114&gt;35,BY62+BX63-CG62,IF(A63&lt;'Données projet'!$A$114,$BV$205^A63,IF(A63='Données projet'!$A$114,'Données projet'!$B$114,BY62+BX63-CG62)))</f>
        <v>395.24999999999994</v>
      </c>
      <c r="BZ63" s="13">
        <f>BY63*VLOOKUP('Données projet'!$B$12,Paramètres!$A$1:$I$89,3,0)*VLOOKUP('Données projet'!$B$12,Paramètres!$A$1:$I$89,5,0)</f>
        <v>236.35949999999997</v>
      </c>
      <c r="CA63" s="13">
        <f t="shared" si="39"/>
        <v>57.655563749416167</v>
      </c>
      <c r="CB63" s="20">
        <f t="shared" si="10"/>
        <v>512.07623603023308</v>
      </c>
      <c r="CC63" s="59">
        <f t="shared" si="11"/>
        <v>805.40956936356633</v>
      </c>
      <c r="CD63" s="59">
        <f ca="1">AVERAGE(OFFSET($CC$3,0,0,'Données projet'!$E$12+1,1))-AVERAGE(OFFSET($H$3,0,0,'Données projet'!$E$12+1,1))</f>
        <v>289.07218105343333</v>
      </c>
      <c r="CE63" s="59">
        <f t="shared" si="40"/>
        <v>217.57508587672368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11.133028806196538</v>
      </c>
      <c r="CL63" s="21">
        <f>EXP(-LN(2)/25)*CL62+(1-EXP(-LN(2)/25))/(LN(2)/25)*Calculateur!CG63*Calculateur!CI63*VLOOKUP('Données projet'!$B$12,Paramètres!$A$1:$I$89,3,0)*0.475*44/12</f>
        <v>38.787615797881507</v>
      </c>
      <c r="CM63" s="21">
        <f>EXP(-LN(2)/2)*CM62+(1-EXP(-LN(2)/2))/(LN(2)/2)*CG63*CJ63*VLOOKUP('Données projet'!$B$12,Paramètres!$A$1:$I$89,3,0)*0.475*44/12</f>
        <v>8.462708775395571</v>
      </c>
      <c r="CN63" s="22">
        <f t="shared" si="12"/>
        <v>58.383353379473618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242</v>
      </c>
      <c r="CR63" s="12">
        <f>VLOOKUP(A63,'Données projet'!$A$139:$I$159,9,0)</f>
        <v>4.4000000000000004</v>
      </c>
      <c r="CS63" s="12">
        <f t="array" ref="CS63">INDEX(CR:CR,MIN(IF(ISNUMBER(CR63:CR259),ROW(CR63:CR259),"")))</f>
        <v>4.4000000000000004</v>
      </c>
      <c r="CT63" s="12">
        <f>IF('Données projet'!$A$140&gt;35,CT62+CS63-DB62,IF(A63&lt;'Données projet'!$A$140,$CQ$205^A63,IF(A63='Données projet'!$A$140,'Données projet'!$B$140,CT62+CS63-DB62)))</f>
        <v>242.00000000000006</v>
      </c>
      <c r="CU63" s="17">
        <f>CT63*VLOOKUP('Données projet'!$B$13,Paramètres!$A$1:$I$89,3,0)*VLOOKUP('Données projet'!$B$13,Paramètres!$A$1:$I$89,5,0)</f>
        <v>211.41120000000006</v>
      </c>
      <c r="CV63" s="13">
        <f t="shared" si="41"/>
        <v>52.243848094411156</v>
      </c>
      <c r="CW63" s="20">
        <f t="shared" si="13"/>
        <v>459.19920876443285</v>
      </c>
      <c r="CX63" s="59">
        <f t="shared" si="14"/>
        <v>752.53254209776617</v>
      </c>
      <c r="CY63" s="59">
        <f ca="1">AVERAGE(OFFSET($CX$3,0,0,'Données projet'!$E$13+1,1))-AVERAGE(OFFSET($H$3,0,0,'Données projet'!$E$13+1,1))</f>
        <v>237.8483058552178</v>
      </c>
      <c r="CZ63" s="59">
        <f t="shared" si="42"/>
        <v>313.36201272119723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26</v>
      </c>
      <c r="DC63" s="16">
        <f>IF(ISNA(VLOOKUP(A63,'Données projet'!$A$139:$I$159,5,0)),0%,VLOOKUP(A63,'Données projet'!$A$139:$I$159,5,0)*VLOOKUP('Données projet'!$B$13,Paramètres!$A$1:$I$89,7,0))</f>
        <v>0.30099999999999999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0.2</v>
      </c>
      <c r="DF63" s="21">
        <f>EXP(-LN(2)/35)*DF62+(1-EXP(-LN(2)/35))/(LN(2)/35)*DB63*DC63*VLOOKUP('Données projet'!$B$13,Paramètres!$A$1:$I$89,3,0)*0.475*44/12</f>
        <v>18.628105173045885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4.5506034775951534</v>
      </c>
      <c r="DI63" s="22">
        <f t="shared" si="15"/>
        <v>23.178708650641038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6.875</v>
      </c>
      <c r="DO63" s="12">
        <f>IF('Données projet'!$A$166&gt;35,DO62+DN63-DW62,IF(A63&lt;'Données projet'!$A$166,$DL$205^A63,IF(A63='Données projet'!$A$166,'Données projet'!$B$166,DO62+DN63-DW62)))</f>
        <v>148.75</v>
      </c>
      <c r="DP63" s="17">
        <f>DO63*VLOOKUP('Données projet'!$B$14,Paramètres!$A$1:$I$89,3,0)*VLOOKUP('Données projet'!$B$14,Paramètres!$A$1:$I$89,5,0)</f>
        <v>143.87100000000001</v>
      </c>
      <c r="DQ63" s="13">
        <f t="shared" si="43"/>
        <v>37.182384657213724</v>
      </c>
      <c r="DR63" s="20">
        <f t="shared" si="16"/>
        <v>315.33464494464727</v>
      </c>
      <c r="DS63" s="59">
        <f t="shared" si="17"/>
        <v>608.66797827798064</v>
      </c>
      <c r="DT63" s="59">
        <f ca="1">AVERAGE(OFFSET($DS$3,0,0,'Données projet'!$E$14+1,1))-AVERAGE(OFFSET($H$3,0,0,'Données projet'!$E$14+1,1))</f>
        <v>325.01961068962373</v>
      </c>
      <c r="DU63" s="59">
        <f t="shared" si="44"/>
        <v>155.12737608540039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9.5314456731917332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9.5314456731917332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245</v>
      </c>
      <c r="EH63" s="12">
        <f>VLOOKUP(A63,'Données projet'!$A$191:$I$211,9,0)</f>
        <v>5.2</v>
      </c>
      <c r="EI63" s="12">
        <f t="array" ref="EI63">INDEX(EH:EH,MIN(IF(ISNUMBER(EH63:EH259),ROW(EH63:EH259),"")))</f>
        <v>5.2</v>
      </c>
      <c r="EJ63" s="12">
        <f>IF('Données projet'!$A$192&gt;35,EJ62+EI63-ER62,IF(A63&lt;'Données projet'!$A$192,$EG$205^A63,IF(A63='Données projet'!$A$192,'Données projet'!$B$192,EJ62+EI63-ER62)))</f>
        <v>244.99999999999983</v>
      </c>
      <c r="EK63" s="17">
        <f>EJ63*VLOOKUP('Données projet'!$B$15,Paramètres!$A$1:$I$89,3,0)*VLOOKUP('Données projet'!$B$15,Paramètres!$A$1:$I$89,5,0)</f>
        <v>164.34599999999989</v>
      </c>
      <c r="EL63" s="13">
        <f t="shared" si="45"/>
        <v>41.821233640915111</v>
      </c>
      <c r="EM63" s="20">
        <f t="shared" si="19"/>
        <v>359.07459859126033</v>
      </c>
      <c r="EN63" s="59">
        <f t="shared" si="20"/>
        <v>652.40793192459364</v>
      </c>
      <c r="EO63" s="59">
        <f ca="1">AVERAGE(OFFSET($EN$3,0,0,'Données projet'!$E$15+1,1))-AVERAGE(OFFSET($H$3,0,0,'Données projet'!$E$15+1,1))</f>
        <v>178.09619481964575</v>
      </c>
      <c r="EP63" s="59">
        <f t="shared" si="46"/>
        <v>178.65167777495174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12</v>
      </c>
      <c r="ES63" s="16">
        <f>IF(ISNA(VLOOKUP(A63,'Données projet'!$A$191:$I$211,5,0)),0%,VLOOKUP(A63,'Données projet'!$A$191:$I$211,5,0)*VLOOKUP('Données projet'!$B$15,Paramètres!$A$1:$I$89,7,0))</f>
        <v>0.26500000000000001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0.3</v>
      </c>
      <c r="EV63" s="21">
        <f>EXP(-LN(2)/35)*EV62+(1-EXP(-LN(2)/35))/(LN(2)/35)*ER63*ES63*VLOOKUP('Données projet'!$B$15,Paramètres!$A$1:$I$89,3,0)*0.475*44/12</f>
        <v>12.477376712926342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2.8882660060802245</v>
      </c>
      <c r="EY63" s="22">
        <f t="shared" si="21"/>
        <v>15.365642719006566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245</v>
      </c>
      <c r="FC63" s="12">
        <f>VLOOKUP(A63,'Données projet'!$A$217:$I$237,9,0)</f>
        <v>5.2</v>
      </c>
      <c r="FD63" s="12">
        <f t="array" ref="FD63">INDEX(FC:FC,MIN(IF(ISNUMBER(FC63:FC259),ROW(FC63:FC259),"")))</f>
        <v>5.2</v>
      </c>
      <c r="FE63" s="12">
        <f>IF('Données projet'!$A$218&gt;35,FE62+FD63-FM62,IF(A63&lt;'Données projet'!$A$218,$FB$205^A63,IF(A63='Données projet'!$A$218,'Données projet'!$B$218,FE62+FD63-FM62)))</f>
        <v>244.99999999999983</v>
      </c>
      <c r="FF63" s="17">
        <f>FE63*VLOOKUP('Données projet'!$B$16,Paramètres!$A$1:$I$89,3,0)*VLOOKUP('Données projet'!$B$16,Paramètres!$A$1:$I$89,5,0)</f>
        <v>194.92199999999988</v>
      </c>
      <c r="FG63" s="13">
        <f t="shared" si="47"/>
        <v>48.626512129794925</v>
      </c>
      <c r="FH63" s="20">
        <f t="shared" si="22"/>
        <v>424.18032529272591</v>
      </c>
      <c r="FI63" s="59">
        <f t="shared" si="23"/>
        <v>717.51365862605917</v>
      </c>
      <c r="FJ63" s="59">
        <f ca="1">AVERAGE(OFFSET($FI$3,0,0,'Données projet'!$E$16+1,1))-AVERAGE(OFFSET($H$3,0,0,'Données projet'!$E$16+1,1))</f>
        <v>219.43439115440339</v>
      </c>
      <c r="FK63" s="59">
        <f t="shared" si="48"/>
        <v>217.8880462742099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12</v>
      </c>
      <c r="FN63" s="16">
        <f>IF(ISNA(VLOOKUP(A63,'Données projet'!$A$217:$I$237,5,0)),0%,VLOOKUP(A63,'Données projet'!$A$217:$I$237,5,0)*VLOOKUP('Données projet'!$B$16,Paramètres!$A$1:$I$89,7,0))</f>
        <v>0.26500000000000001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0.3</v>
      </c>
      <c r="FQ63" s="21">
        <f>EXP(-LN(2)/35)*FQ62+(1-EXP(-LN(2)/35))/(LN(2)/35)*FM63*FN63*VLOOKUP('Données projet'!$B$16,Paramètres!$A$1:$I$89,3,0)*0.475*44/12</f>
        <v>14.798749124633572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3.4256178211649173</v>
      </c>
      <c r="FT63" s="22">
        <f t="shared" si="24"/>
        <v>18.22436694579849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2.625</v>
      </c>
      <c r="FZ63" s="12">
        <f>IF('Données projet'!$A$244&gt;35,FZ62+FY63-GH62,IF(A63&lt;'Données projet'!$A$244,$FW$205^A63,IF(A63='Données projet'!$A$244,'Données projet'!$B$244,FZ62+FY63-GH62)))</f>
        <v>310.75</v>
      </c>
      <c r="GA63" s="17">
        <f>FZ63*VLOOKUP('Données projet'!$B$17,Paramètres!$A$1:$I$89,3,0)*VLOOKUP('Données projet'!$B$17,Paramètres!$A$1:$I$89,5,0)</f>
        <v>185.82849999999999</v>
      </c>
      <c r="GB63" s="13">
        <f t="shared" si="49"/>
        <v>46.616505227631926</v>
      </c>
      <c r="GC63" s="20">
        <f t="shared" si="25"/>
        <v>404.84171743812561</v>
      </c>
      <c r="GD63" s="59">
        <f t="shared" si="26"/>
        <v>698.17505077145893</v>
      </c>
      <c r="GE63" s="59">
        <f ca="1">AVERAGE(OFFSET($GD$3,0,0,'Données projet'!$E$17+1,1))-AVERAGE(OFFSET($H$3,0,0,'Données projet'!$E$17+1,1))</f>
        <v>191.77102466144095</v>
      </c>
      <c r="GF63" s="59">
        <f t="shared" si="50"/>
        <v>205.57161411620217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22.332431480244896</v>
      </c>
      <c r="GM63" s="21">
        <f>EXP(-LN(2)/25)*GM62+(1-EXP(-LN(2)/25))/(LN(2)/25)*Calculateur!GH63*Calculateur!GJ63*VLOOKUP('Données projet'!$B$17,Paramètres!$A$1:$I$89,3,0)*0.475*44/12</f>
        <v>12.434547692039155</v>
      </c>
      <c r="GN63" s="21">
        <f>EXP(-LN(2)/2)*GN62+(1-EXP(-LN(2)/2))/(LN(2)/2)*GH63*GK63*VLOOKUP('Données projet'!$B$17,Paramètres!$A$1:$I$89,3,0)*0.475*44/12</f>
        <v>0.17242437271755578</v>
      </c>
      <c r="GO63" s="21">
        <f t="shared" si="27"/>
        <v>34.93940354500161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84.31577618130467</v>
      </c>
      <c r="T64" s="59">
        <f t="shared" si="34"/>
        <v>527.2140904310653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66.180760540545805</v>
      </c>
      <c r="AA64" s="21">
        <f>EXP(-LN(2)/25)*AA63+(1-EXP(-LN(2)/25))/(LN(2)/25)*Calculateur!V64*Calculateur!X64*VLOOKUP('Données projet'!$B$9,Paramètres!$A$1:$I$89,3,0)*0.475*44/12</f>
        <v>14.922565991860564</v>
      </c>
      <c r="AB64" s="21">
        <f>EXP(-LN(2)/2)*AB63+(1-EXP(-LN(2)/2))/(LN(2)/2)*V64*Y64*VLOOKUP('Données projet'!$B$9,Paramètres!$A$1:$I$89,3,0)*0.475*44/12</f>
        <v>0</v>
      </c>
      <c r="AC64" s="22">
        <f t="shared" si="3"/>
        <v>81.103326532406371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6.875</v>
      </c>
      <c r="AI64" s="13">
        <f>IF('Données projet'!$A$62&gt;35,AI63+AH64-AQ63,IF(A64&lt;'Données projet'!$A$62,$AF$205^A64,IF(A64='Données projet'!$A$62,'Données projet'!$B$62,AI63+AH64-AQ63)))</f>
        <v>155.625</v>
      </c>
      <c r="AJ64" s="13">
        <f>AI64*VLOOKUP('Données projet'!$B$10,Paramètres!$A$1:$I$89,3,0)*VLOOKUP('Données projet'!$B$10,Paramètres!$A$1:$I$89,5,0)</f>
        <v>140.80949999999999</v>
      </c>
      <c r="AK64" s="13">
        <f t="shared" si="35"/>
        <v>36.482388305395361</v>
      </c>
      <c r="AL64" s="20">
        <f t="shared" si="4"/>
        <v>308.78337213189684</v>
      </c>
      <c r="AM64" s="59">
        <f t="shared" si="5"/>
        <v>602.1167054652301</v>
      </c>
      <c r="AN64" s="59">
        <f ca="1">AVERAGE(OFFSET($AM$3,0,0,'Données projet'!$E$10+1,1))-AVERAGE(OFFSET($H$3,0,0,'Données projet'!$E$10+1,1))</f>
        <v>297.90790572649428</v>
      </c>
      <c r="AO64" s="59">
        <f t="shared" si="36"/>
        <v>142.96889776844506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8.6726911584070816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8.6726911584070816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6.875</v>
      </c>
      <c r="BD64" s="12">
        <f>IF('Données projet'!$A$88&gt;35,BD63+BC64-BL63,IF(A64&lt;'Données projet'!$A$88,$BA$205^A64,IF(A64='Données projet'!$A$88,'Données projet'!$B$88,BD63+BC64-BL63)))</f>
        <v>155.625</v>
      </c>
      <c r="BE64" s="13">
        <f>BD64*VLOOKUP('Données projet'!$B$11,Paramètres!$A$1:$I$89,3,0)*VLOOKUP('Données projet'!$B$11,Paramètres!$A$1:$I$89,5,0)</f>
        <v>157.80375000000001</v>
      </c>
      <c r="BF64" s="13">
        <f t="shared" si="37"/>
        <v>40.346747308033947</v>
      </c>
      <c r="BG64" s="20">
        <f t="shared" si="7"/>
        <v>345.11211614482573</v>
      </c>
      <c r="BH64" s="59">
        <f t="shared" si="8"/>
        <v>638.44544947815905</v>
      </c>
      <c r="BI64" s="59">
        <f ca="1">AVERAGE(OFFSET($BH$3,0,0,'Données projet'!$E$11+1,1))-AVERAGE(OFFSET($H$3,0,0,'Données projet'!$E$11+1,1))</f>
        <v>345.3294887586967</v>
      </c>
      <c r="BJ64" s="59">
        <f t="shared" si="38"/>
        <v>164.23448598618114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9.7193952637320749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9.7193952637320749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16.625</v>
      </c>
      <c r="BY64" s="12">
        <f>IF('Données projet'!$A$114&gt;35,BY63+BX64-CG63,IF(A64&lt;'Données projet'!$A$114,$BV$205^A64,IF(A64='Données projet'!$A$114,'Données projet'!$B$114,BY63+BX64-CG63)))</f>
        <v>411.87499999999994</v>
      </c>
      <c r="BZ64" s="13">
        <f>BY64*VLOOKUP('Données projet'!$B$12,Paramètres!$A$1:$I$89,3,0)*VLOOKUP('Données projet'!$B$12,Paramètres!$A$1:$I$89,5,0)</f>
        <v>246.30124999999998</v>
      </c>
      <c r="CA64" s="13">
        <f t="shared" si="39"/>
        <v>59.793223430016852</v>
      </c>
      <c r="CB64" s="20">
        <f t="shared" si="10"/>
        <v>533.11454122394582</v>
      </c>
      <c r="CC64" s="59">
        <f t="shared" si="11"/>
        <v>826.44787455727919</v>
      </c>
      <c r="CD64" s="59">
        <f ca="1">AVERAGE(OFFSET($CC$3,0,0,'Données projet'!$E$12+1,1))-AVERAGE(OFFSET($H$3,0,0,'Données projet'!$E$12+1,1))</f>
        <v>289.07218105343333</v>
      </c>
      <c r="CE64" s="59">
        <f t="shared" si="40"/>
        <v>217.57508587672368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10.914716901784091</v>
      </c>
      <c r="CL64" s="21">
        <f>EXP(-LN(2)/25)*CL63+(1-EXP(-LN(2)/25))/(LN(2)/25)*Calculateur!CG64*Calculateur!CI64*VLOOKUP('Données projet'!$B$12,Paramètres!$A$1:$I$89,3,0)*0.475*44/12</f>
        <v>37.72696640413637</v>
      </c>
      <c r="CM64" s="21">
        <f>EXP(-LN(2)/2)*CM63+(1-EXP(-LN(2)/2))/(LN(2)/2)*CG64*CJ64*VLOOKUP('Données projet'!$B$12,Paramètres!$A$1:$I$89,3,0)*0.475*44/12</f>
        <v>5.9840387622891118</v>
      </c>
      <c r="CN64" s="22">
        <f t="shared" si="12"/>
        <v>54.625722068209569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3.3</v>
      </c>
      <c r="CT64" s="12">
        <f>IF('Données projet'!$A$140&gt;35,CT63+CS64-DB63,IF(A64&lt;'Données projet'!$A$140,$CQ$205^A64,IF(A64='Données projet'!$A$140,'Données projet'!$B$140,CT63+CS64-DB63)))</f>
        <v>219.30000000000007</v>
      </c>
      <c r="CU64" s="17">
        <f>CT64*VLOOKUP('Données projet'!$B$13,Paramètres!$A$1:$I$89,3,0)*VLOOKUP('Données projet'!$B$13,Paramètres!$A$1:$I$89,5,0)</f>
        <v>191.58048000000008</v>
      </c>
      <c r="CV64" s="13">
        <f t="shared" si="41"/>
        <v>47.889205896476554</v>
      </c>
      <c r="CW64" s="20">
        <f t="shared" si="13"/>
        <v>417.07636960303012</v>
      </c>
      <c r="CX64" s="59">
        <f t="shared" si="14"/>
        <v>710.40970293636337</v>
      </c>
      <c r="CY64" s="59">
        <f ca="1">AVERAGE(OFFSET($CX$3,0,0,'Données projet'!$E$13+1,1))-AVERAGE(OFFSET($H$3,0,0,'Données projet'!$E$13+1,1))</f>
        <v>237.8483058552178</v>
      </c>
      <c r="CZ64" s="59">
        <f t="shared" si="42"/>
        <v>313.36201272119723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18.262819392624703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3.2177625774986187</v>
      </c>
      <c r="DI64" s="22">
        <f t="shared" si="15"/>
        <v>21.480581970123321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6.875</v>
      </c>
      <c r="DO64" s="12">
        <f>IF('Données projet'!$A$166&gt;35,DO63+DN64-DW63,IF(A64&lt;'Données projet'!$A$166,$DL$205^A64,IF(A64='Données projet'!$A$166,'Données projet'!$B$166,DO63+DN64-DW63)))</f>
        <v>155.625</v>
      </c>
      <c r="DP64" s="17">
        <f>DO64*VLOOKUP('Données projet'!$B$14,Paramètres!$A$1:$I$89,3,0)*VLOOKUP('Données projet'!$B$14,Paramètres!$A$1:$I$89,5,0)</f>
        <v>150.5205</v>
      </c>
      <c r="DQ64" s="13">
        <f t="shared" si="43"/>
        <v>38.696847256159117</v>
      </c>
      <c r="DR64" s="20">
        <f t="shared" si="16"/>
        <v>329.55354647114376</v>
      </c>
      <c r="DS64" s="59">
        <f t="shared" si="17"/>
        <v>622.88687980447708</v>
      </c>
      <c r="DT64" s="59">
        <f ca="1">AVERAGE(OFFSET($DS$3,0,0,'Données projet'!$E$14+1,1))-AVERAGE(OFFSET($H$3,0,0,'Données projet'!$E$14+1,1))</f>
        <v>325.01961068962373</v>
      </c>
      <c r="DU64" s="59">
        <f t="shared" si="44"/>
        <v>155.12737608540039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9.2708077900213617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9.2708077900213617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4.4000000000000004</v>
      </c>
      <c r="EJ64" s="12">
        <f>IF('Données projet'!$A$192&gt;35,EJ63+EI64-ER63,IF(A64&lt;'Données projet'!$A$192,$EG$205^A64,IF(A64='Données projet'!$A$192,'Données projet'!$B$192,EJ63+EI64-ER63)))</f>
        <v>237.39999999999984</v>
      </c>
      <c r="EK64" s="17">
        <f>EJ64*VLOOKUP('Données projet'!$B$15,Paramètres!$A$1:$I$89,3,0)*VLOOKUP('Données projet'!$B$15,Paramètres!$A$1:$I$89,5,0)</f>
        <v>159.24791999999988</v>
      </c>
      <c r="EL64" s="13">
        <f t="shared" si="45"/>
        <v>40.672835175461827</v>
      </c>
      <c r="EM64" s="20">
        <f t="shared" si="19"/>
        <v>348.1953152639291</v>
      </c>
      <c r="EN64" s="59">
        <f t="shared" si="20"/>
        <v>641.52864859726242</v>
      </c>
      <c r="EO64" s="59">
        <f ca="1">AVERAGE(OFFSET($EN$3,0,0,'Données projet'!$E$15+1,1))-AVERAGE(OFFSET($H$3,0,0,'Données projet'!$E$15+1,1))</f>
        <v>178.09619481964575</v>
      </c>
      <c r="EP64" s="59">
        <f t="shared" si="46"/>
        <v>178.65167777495174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12.232702966034182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2.042312478769913</v>
      </c>
      <c r="EY64" s="22">
        <f t="shared" si="21"/>
        <v>14.275015444804096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4.4000000000000004</v>
      </c>
      <c r="FE64" s="12">
        <f>IF('Données projet'!$A$218&gt;35,FE63+FD64-FM63,IF(A64&lt;'Données projet'!$A$218,$FB$205^A64,IF(A64='Données projet'!$A$218,'Données projet'!$B$218,FE63+FD64-FM63)))</f>
        <v>237.39999999999984</v>
      </c>
      <c r="FF64" s="17">
        <f>FE64*VLOOKUP('Données projet'!$B$16,Paramètres!$A$1:$I$89,3,0)*VLOOKUP('Données projet'!$B$16,Paramètres!$A$1:$I$89,5,0)</f>
        <v>188.87543999999988</v>
      </c>
      <c r="FG64" s="13">
        <f t="shared" si="47"/>
        <v>47.291242769027726</v>
      </c>
      <c r="FH64" s="20">
        <f t="shared" si="22"/>
        <v>411.32363915605634</v>
      </c>
      <c r="FI64" s="59">
        <f t="shared" si="23"/>
        <v>704.65697248938966</v>
      </c>
      <c r="FJ64" s="59">
        <f ca="1">AVERAGE(OFFSET($FI$3,0,0,'Données projet'!$E$16+1,1))-AVERAGE(OFFSET($H$3,0,0,'Données projet'!$E$16+1,1))</f>
        <v>219.43439115440339</v>
      </c>
      <c r="FK64" s="59">
        <f t="shared" si="48"/>
        <v>217.8880462742099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14.508554680645195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2.4222775910991992</v>
      </c>
      <c r="FT64" s="22">
        <f t="shared" si="24"/>
        <v>16.930832271744393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2.625</v>
      </c>
      <c r="FZ64" s="12">
        <f>IF('Données projet'!$A$244&gt;35,FZ63+FY64-GH63,IF(A64&lt;'Données projet'!$A$244,$FW$205^A64,IF(A64='Données projet'!$A$244,'Données projet'!$B$244,FZ63+FY64-GH63)))</f>
        <v>313.375</v>
      </c>
      <c r="GA64" s="17">
        <f>FZ64*VLOOKUP('Données projet'!$B$17,Paramètres!$A$1:$I$89,3,0)*VLOOKUP('Données projet'!$B$17,Paramètres!$A$1:$I$89,5,0)</f>
        <v>187.39825000000002</v>
      </c>
      <c r="GB64" s="13">
        <f t="shared" si="49"/>
        <v>46.964282095681376</v>
      </c>
      <c r="GC64" s="20">
        <f t="shared" si="25"/>
        <v>408.18141006664501</v>
      </c>
      <c r="GD64" s="59">
        <f t="shared" si="26"/>
        <v>701.51474339997833</v>
      </c>
      <c r="GE64" s="59">
        <f ca="1">AVERAGE(OFFSET($GD$3,0,0,'Données projet'!$E$17+1,1))-AVERAGE(OFFSET($H$3,0,0,'Données projet'!$E$17+1,1))</f>
        <v>191.77102466144095</v>
      </c>
      <c r="GF64" s="59">
        <f t="shared" si="50"/>
        <v>205.57161411620217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21.894506120355491</v>
      </c>
      <c r="GM64" s="21">
        <f>EXP(-LN(2)/25)*GM63+(1-EXP(-LN(2)/25))/(LN(2)/25)*Calculateur!GH64*Calculateur!GJ64*VLOOKUP('Données projet'!$B$17,Paramètres!$A$1:$I$89,3,0)*0.475*44/12</f>
        <v>12.094524331495901</v>
      </c>
      <c r="GN64" s="21">
        <f>EXP(-LN(2)/2)*GN63+(1-EXP(-LN(2)/2))/(LN(2)/2)*GH64*GK64*VLOOKUP('Données projet'!$B$17,Paramètres!$A$1:$I$89,3,0)*0.475*44/12</f>
        <v>0.12192244319042043</v>
      </c>
      <c r="GO64" s="21">
        <f t="shared" si="27"/>
        <v>34.110952895041812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84.31577618130467</v>
      </c>
      <c r="T65" s="59">
        <f t="shared" si="34"/>
        <v>527.2140904310653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64.882996192623793</v>
      </c>
      <c r="AA65" s="21">
        <f>EXP(-LN(2)/25)*AA64+(1-EXP(-LN(2)/25))/(LN(2)/25)*Calculateur!V65*Calculateur!X65*VLOOKUP('Données projet'!$B$9,Paramètres!$A$1:$I$89,3,0)*0.475*44/12</f>
        <v>14.514507640069498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79.397503832693289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6.875</v>
      </c>
      <c r="AI65" s="13">
        <f>IF('Données projet'!$A$62&gt;35,AI64+AH65-AQ64,IF(A65&lt;'Données projet'!$A$62,$AF$205^A65,IF(A65='Données projet'!$A$62,'Données projet'!$B$62,AI64+AH65-AQ64)))</f>
        <v>162.5</v>
      </c>
      <c r="AJ65" s="13">
        <f>AI65*VLOOKUP('Données projet'!$B$10,Paramètres!$A$1:$I$89,3,0)*VLOOKUP('Données projet'!$B$10,Paramètres!$A$1:$I$89,5,0)</f>
        <v>147.03</v>
      </c>
      <c r="AK65" s="13">
        <f t="shared" si="35"/>
        <v>37.90285889427615</v>
      </c>
      <c r="AL65" s="20">
        <f t="shared" si="4"/>
        <v>322.09139590753097</v>
      </c>
      <c r="AM65" s="59">
        <f t="shared" si="5"/>
        <v>615.42472924086428</v>
      </c>
      <c r="AN65" s="59">
        <f ca="1">AVERAGE(OFFSET($AM$3,0,0,'Données projet'!$E$10+1,1))-AVERAGE(OFFSET($H$3,0,0,'Données projet'!$E$10+1,1))</f>
        <v>297.90790572649428</v>
      </c>
      <c r="AO65" s="59">
        <f t="shared" si="36"/>
        <v>142.96889776844506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8.4355359626034332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8.4355359626034332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6.875</v>
      </c>
      <c r="BD65" s="12">
        <f>IF('Données projet'!$A$88&gt;35,BD64+BC65-BL64,IF(A65&lt;'Données projet'!$A$88,$BA$205^A65,IF(A65='Données projet'!$A$88,'Données projet'!$B$88,BD64+BC65-BL64)))</f>
        <v>162.5</v>
      </c>
      <c r="BE65" s="13">
        <f>BD65*VLOOKUP('Données projet'!$B$11,Paramètres!$A$1:$I$89,3,0)*VLOOKUP('Données projet'!$B$11,Paramètres!$A$1:$I$89,5,0)</f>
        <v>164.77500000000001</v>
      </c>
      <c r="BF65" s="13">
        <f t="shared" si="37"/>
        <v>41.917679765314709</v>
      </c>
      <c r="BG65" s="20">
        <f t="shared" si="7"/>
        <v>359.9897505912565</v>
      </c>
      <c r="BH65" s="59">
        <f t="shared" si="8"/>
        <v>653.32308392458981</v>
      </c>
      <c r="BI65" s="59">
        <f ca="1">AVERAGE(OFFSET($BH$3,0,0,'Données projet'!$E$11+1,1))-AVERAGE(OFFSET($H$3,0,0,'Données projet'!$E$11+1,1))</f>
        <v>345.3294887586967</v>
      </c>
      <c r="BJ65" s="59">
        <f t="shared" si="38"/>
        <v>164.23448598618114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9.4536178891245388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9.4536178891245388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16.625</v>
      </c>
      <c r="BY65" s="12">
        <f>IF('Données projet'!$A$114&gt;35,BY64+BX65-CG64,IF(A65&lt;'Données projet'!$A$114,$BV$205^A65,IF(A65='Données projet'!$A$114,'Données projet'!$B$114,BY64+BX65-CG64)))</f>
        <v>428.49999999999994</v>
      </c>
      <c r="BZ65" s="13">
        <f>BY65*VLOOKUP('Données projet'!$B$12,Paramètres!$A$1:$I$89,3,0)*VLOOKUP('Données projet'!$B$12,Paramètres!$A$1:$I$89,5,0)</f>
        <v>256.24299999999999</v>
      </c>
      <c r="CA65" s="13">
        <f t="shared" si="39"/>
        <v>61.920860231490025</v>
      </c>
      <c r="CB65" s="20">
        <f t="shared" si="10"/>
        <v>554.13538990317852</v>
      </c>
      <c r="CC65" s="59">
        <f t="shared" si="11"/>
        <v>847.46872323651178</v>
      </c>
      <c r="CD65" s="59">
        <f ca="1">AVERAGE(OFFSET($CC$3,0,0,'Données projet'!$E$12+1,1))-AVERAGE(OFFSET($H$3,0,0,'Données projet'!$E$12+1,1))</f>
        <v>289.07218105343333</v>
      </c>
      <c r="CE65" s="59">
        <f t="shared" si="40"/>
        <v>217.57508587672368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10.70068596066006</v>
      </c>
      <c r="CL65" s="21">
        <f>EXP(-LN(2)/25)*CL64+(1-EXP(-LN(2)/25))/(LN(2)/25)*Calculateur!CG65*Calculateur!CI65*VLOOKUP('Données projet'!$B$12,Paramètres!$A$1:$I$89,3,0)*0.475*44/12</f>
        <v>36.695320523840323</v>
      </c>
      <c r="CM65" s="21">
        <f>EXP(-LN(2)/2)*CM64+(1-EXP(-LN(2)/2))/(LN(2)/2)*CG65*CJ65*VLOOKUP('Données projet'!$B$12,Paramètres!$A$1:$I$89,3,0)*0.475*44/12</f>
        <v>4.2313543876977864</v>
      </c>
      <c r="CN65" s="22">
        <f t="shared" si="12"/>
        <v>51.627360872198167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3.3</v>
      </c>
      <c r="CT65" s="12">
        <f>IF('Données projet'!$A$140&gt;35,CT64+CS65-DB64,IF(A65&lt;'Données projet'!$A$140,$CQ$205^A65,IF(A65='Données projet'!$A$140,'Données projet'!$B$140,CT64+CS65-DB64)))</f>
        <v>222.60000000000008</v>
      </c>
      <c r="CU65" s="17">
        <f>CT65*VLOOKUP('Données projet'!$B$13,Paramètres!$A$1:$I$89,3,0)*VLOOKUP('Données projet'!$B$13,Paramètres!$A$1:$I$89,5,0)</f>
        <v>194.46336000000011</v>
      </c>
      <c r="CV65" s="13">
        <f t="shared" si="41"/>
        <v>48.525400894162686</v>
      </c>
      <c r="CW65" s="20">
        <f t="shared" si="13"/>
        <v>423.20542522400018</v>
      </c>
      <c r="CX65" s="59">
        <f t="shared" si="14"/>
        <v>716.53875855733349</v>
      </c>
      <c r="CY65" s="59">
        <f ca="1">AVERAGE(OFFSET($CX$3,0,0,'Données projet'!$E$13+1,1))-AVERAGE(OFFSET($H$3,0,0,'Données projet'!$E$13+1,1))</f>
        <v>237.8483058552178</v>
      </c>
      <c r="CZ65" s="59">
        <f t="shared" si="42"/>
        <v>313.36201272119723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17.904696643555255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2.2753017387975771</v>
      </c>
      <c r="DI65" s="22">
        <f t="shared" si="15"/>
        <v>20.179998382352831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6.875</v>
      </c>
      <c r="DO65" s="12">
        <f>IF('Données projet'!$A$166&gt;35,DO64+DN65-DW64,IF(A65&lt;'Données projet'!$A$166,$DL$205^A65,IF(A65='Données projet'!$A$166,'Données projet'!$B$166,DO64+DN65-DW64)))</f>
        <v>162.5</v>
      </c>
      <c r="DP65" s="17">
        <f>DO65*VLOOKUP('Données projet'!$B$14,Paramètres!$A$1:$I$89,3,0)*VLOOKUP('Données projet'!$B$14,Paramètres!$A$1:$I$89,5,0)</f>
        <v>157.17000000000002</v>
      </c>
      <c r="DQ65" s="13">
        <f t="shared" si="43"/>
        <v>40.203539552443232</v>
      </c>
      <c r="DR65" s="20">
        <f t="shared" si="16"/>
        <v>343.75891472050535</v>
      </c>
      <c r="DS65" s="59">
        <f t="shared" si="17"/>
        <v>637.0922480538386</v>
      </c>
      <c r="DT65" s="59">
        <f ca="1">AVERAGE(OFFSET($DS$3,0,0,'Données projet'!$E$14+1,1))-AVERAGE(OFFSET($H$3,0,0,'Données projet'!$E$14+1,1))</f>
        <v>325.01961068962373</v>
      </c>
      <c r="DU65" s="59">
        <f t="shared" si="44"/>
        <v>155.12737608540039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9.0172970634726344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9.0172970634726344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4.4000000000000004</v>
      </c>
      <c r="EJ65" s="12">
        <f>IF('Données projet'!$A$192&gt;35,EJ64+EI65-ER64,IF(A65&lt;'Données projet'!$A$192,$EG$205^A65,IF(A65='Données projet'!$A$192,'Données projet'!$B$192,EJ64+EI65-ER64)))</f>
        <v>241.79999999999984</v>
      </c>
      <c r="EK65" s="17">
        <f>EJ65*VLOOKUP('Données projet'!$B$15,Paramètres!$A$1:$I$89,3,0)*VLOOKUP('Données projet'!$B$15,Paramètres!$A$1:$I$89,5,0)</f>
        <v>162.1994399999999</v>
      </c>
      <c r="EL65" s="13">
        <f t="shared" si="45"/>
        <v>41.338210358918261</v>
      </c>
      <c r="EM65" s="20">
        <f t="shared" si="19"/>
        <v>354.49474104178239</v>
      </c>
      <c r="EN65" s="59">
        <f t="shared" si="20"/>
        <v>647.82807437511565</v>
      </c>
      <c r="EO65" s="59">
        <f ca="1">AVERAGE(OFFSET($EN$3,0,0,'Données projet'!$E$15+1,1))-AVERAGE(OFFSET($H$3,0,0,'Données projet'!$E$15+1,1))</f>
        <v>178.09619481964575</v>
      </c>
      <c r="EP65" s="59">
        <f t="shared" si="46"/>
        <v>178.65167777495174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11.992827122082328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1.4441330030401125</v>
      </c>
      <c r="EY65" s="22">
        <f t="shared" si="21"/>
        <v>13.436960125122441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4.4000000000000004</v>
      </c>
      <c r="FE65" s="12">
        <f>IF('Données projet'!$A$218&gt;35,FE64+FD65-FM64,IF(A65&lt;'Données projet'!$A$218,$FB$205^A65,IF(A65='Données projet'!$A$218,'Données projet'!$B$218,FE64+FD65-FM64)))</f>
        <v>241.79999999999984</v>
      </c>
      <c r="FF65" s="17">
        <f>FE65*VLOOKUP('Données projet'!$B$16,Paramètres!$A$1:$I$89,3,0)*VLOOKUP('Données projet'!$B$16,Paramètres!$A$1:$I$89,5,0)</f>
        <v>192.37607999999989</v>
      </c>
      <c r="FG65" s="13">
        <f t="shared" si="47"/>
        <v>48.064889828485896</v>
      </c>
      <c r="FH65" s="20">
        <f t="shared" si="22"/>
        <v>418.76802245127936</v>
      </c>
      <c r="FI65" s="59">
        <f t="shared" si="23"/>
        <v>712.10135578461268</v>
      </c>
      <c r="FJ65" s="59">
        <f ca="1">AVERAGE(OFFSET($FI$3,0,0,'Données projet'!$E$16+1,1))-AVERAGE(OFFSET($H$3,0,0,'Données projet'!$E$16+1,1))</f>
        <v>219.43439115440339</v>
      </c>
      <c r="FK65" s="59">
        <f t="shared" si="48"/>
        <v>217.8880462742099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14.224050772702299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1.7128089105824589</v>
      </c>
      <c r="FT65" s="22">
        <f t="shared" si="24"/>
        <v>15.936859683284757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>
        <f>VLOOKUP(A65,'Données projet'!$A$243:$I$263,2,0)</f>
        <v>316</v>
      </c>
      <c r="FX65" s="12">
        <f>VLOOKUP(A65,'Données projet'!$A$243:$I$263,9,0)</f>
        <v>2.625</v>
      </c>
      <c r="FY65" s="12">
        <f t="array" ref="FY65">INDEX(FX:FX,MIN(IF(ISNUMBER(FX65:FX261),ROW(FX65:FX261),"")))</f>
        <v>2.625</v>
      </c>
      <c r="FZ65" s="12">
        <f>IF('Données projet'!$A$244&gt;35,FZ64+FY65-GH64,IF(A65&lt;'Données projet'!$A$244,$FW$205^A65,IF(A65='Données projet'!$A$244,'Données projet'!$B$244,FZ64+FY65-GH64)))</f>
        <v>316</v>
      </c>
      <c r="GA65" s="17">
        <f>FZ65*VLOOKUP('Données projet'!$B$17,Paramètres!$A$1:$I$89,3,0)*VLOOKUP('Données projet'!$B$17,Paramètres!$A$1:$I$89,5,0)</f>
        <v>188.96800000000002</v>
      </c>
      <c r="GB65" s="13">
        <f t="shared" si="49"/>
        <v>47.311720031947068</v>
      </c>
      <c r="GC65" s="20">
        <f t="shared" si="25"/>
        <v>411.52051238897451</v>
      </c>
      <c r="GD65" s="59">
        <f t="shared" si="26"/>
        <v>704.85384572230782</v>
      </c>
      <c r="GE65" s="59">
        <f ca="1">AVERAGE(OFFSET($GD$3,0,0,'Données projet'!$E$17+1,1))-AVERAGE(OFFSET($H$3,0,0,'Données projet'!$E$17+1,1))</f>
        <v>191.77102466144095</v>
      </c>
      <c r="GF65" s="59">
        <f t="shared" si="50"/>
        <v>205.57161411620217</v>
      </c>
      <c r="GG65" s="15" t="str">
        <f>IF(ISNA(VLOOKUP(A65,'Données projet'!$A$243:$I$263,3,0)),0,VLOOKUP(A65,'Données projet'!$A$243:$I$263,3,0))</f>
        <v>CR</v>
      </c>
      <c r="GH65" s="15">
        <f>IF(ISNA(VLOOKUP(A65,'Données projet'!$A$243:$I$263,4,0)),0,VLOOKUP(A65,'Données projet'!$A$243:$I$263,4,0))</f>
        <v>316</v>
      </c>
      <c r="GI65" s="16">
        <f>IF(ISNA(VLOOKUP(A65,'Données projet'!$A$243:$I$263,5,0)),0%,VLOOKUP(A65,'Données projet'!$A$243:$I$263,5,0)*VLOOKUP('Données projet'!$B$17,Paramètres!$A$1:$I$89,7,0))</f>
        <v>0.36000000000000004</v>
      </c>
      <c r="GJ65" s="16">
        <f>IF(ISNA(VLOOKUP(A65,'Données projet'!$A$243:$I$263,6,0)),0%,VLOOKUP(A65,'Données projet'!$A$243:$I$263,6,0)*VLOOKUP('Données projet'!$B$17,Paramètres!$A$1:$I$89,7,0))</f>
        <v>4.5000000000000005E-2</v>
      </c>
      <c r="GK65" s="16">
        <f>IF(ISNA(VLOOKUP(A65,'Données projet'!$A$243:$I$263,7,0)),0%,VLOOKUP(A65,'Données projet'!$A$243:$I$263,7,0))</f>
        <v>0.1</v>
      </c>
      <c r="GL65" s="21">
        <f>EXP(-LN(2)/35)*GL64+(1-EXP(-LN(2)/35))/(LN(2)/35)*GH65*GI65*VLOOKUP('Données projet'!$B$17,Paramètres!$A$1:$I$89,3,0)*0.475*44/12</f>
        <v>111.70933173524509</v>
      </c>
      <c r="GM65" s="21">
        <f>EXP(-LN(2)/25)*GM64+(1-EXP(-LN(2)/25))/(LN(2)/25)*Calculateur!GH65*Calculateur!GJ65*VLOOKUP('Données projet'!$B$17,Paramètres!$A$1:$I$89,3,0)*0.475*44/12</f>
        <v>22.999903661134923</v>
      </c>
      <c r="GN65" s="21">
        <f>EXP(-LN(2)/2)*GN64+(1-EXP(-LN(2)/2))/(LN(2)/2)*GH65*GK65*VLOOKUP('Données projet'!$B$17,Paramètres!$A$1:$I$89,3,0)*0.475*44/12</f>
        <v>21.481779466256899</v>
      </c>
      <c r="GO65" s="21">
        <f t="shared" si="27"/>
        <v>156.19101486263691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84.31577618130467</v>
      </c>
      <c r="T66" s="59">
        <f t="shared" si="34"/>
        <v>527.2140904310653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63.610680212006436</v>
      </c>
      <c r="AA66" s="21">
        <f>EXP(-LN(2)/25)*AA65+(1-EXP(-LN(2)/25))/(LN(2)/25)*Calculateur!V66*Calculateur!X66*VLOOKUP('Données projet'!$B$9,Paramètres!$A$1:$I$89,3,0)*0.475*44/12</f>
        <v>14.117607665367014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77.728287877373447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6.875</v>
      </c>
      <c r="AI66" s="13">
        <f>IF('Données projet'!$A$62&gt;35,AI65+AH66-AQ65,IF(A66&lt;'Données projet'!$A$62,$AF$205^A66,IF(A66='Données projet'!$A$62,'Données projet'!$B$62,AI65+AH66-AQ65)))</f>
        <v>169.375</v>
      </c>
      <c r="AJ66" s="13">
        <f>AI66*VLOOKUP('Données projet'!$B$10,Paramètres!$A$1:$I$89,3,0)*VLOOKUP('Données projet'!$B$10,Paramètres!$A$1:$I$89,5,0)</f>
        <v>153.25049999999999</v>
      </c>
      <c r="AK66" s="13">
        <f t="shared" si="35"/>
        <v>39.316349209004791</v>
      </c>
      <c r="AL66" s="20">
        <f t="shared" si="4"/>
        <v>335.38726237234994</v>
      </c>
      <c r="AM66" s="59">
        <f t="shared" si="5"/>
        <v>628.72059570568331</v>
      </c>
      <c r="AN66" s="59">
        <f ca="1">AVERAGE(OFFSET($AM$3,0,0,'Données projet'!$E$10+1,1))-AVERAGE(OFFSET($H$3,0,0,'Données projet'!$E$10+1,1))</f>
        <v>297.90790572649428</v>
      </c>
      <c r="AO66" s="59">
        <f t="shared" si="36"/>
        <v>142.96889776844506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8.2048657881004861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8.2048657881004861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6.875</v>
      </c>
      <c r="BD66" s="12">
        <f>IF('Données projet'!$A$88&gt;35,BD65+BC66-BL65,IF(A66&lt;'Données projet'!$A$88,$BA$205^A66,IF(A66='Données projet'!$A$88,'Données projet'!$B$88,BD65+BC66-BL65)))</f>
        <v>169.375</v>
      </c>
      <c r="BE66" s="13">
        <f>BD66*VLOOKUP('Données projet'!$B$11,Paramètres!$A$1:$I$89,3,0)*VLOOKUP('Données projet'!$B$11,Paramètres!$A$1:$I$89,5,0)</f>
        <v>171.74625</v>
      </c>
      <c r="BF66" s="13">
        <f t="shared" si="37"/>
        <v>43.480892570170354</v>
      </c>
      <c r="BG66" s="20">
        <f t="shared" si="7"/>
        <v>374.85393997637999</v>
      </c>
      <c r="BH66" s="59">
        <f t="shared" si="8"/>
        <v>668.18727330971331</v>
      </c>
      <c r="BI66" s="59">
        <f ca="1">AVERAGE(OFFSET($BH$3,0,0,'Données projet'!$E$11+1,1))-AVERAGE(OFFSET($H$3,0,0,'Données projet'!$E$11+1,1))</f>
        <v>345.3294887586967</v>
      </c>
      <c r="BJ66" s="59">
        <f t="shared" si="38"/>
        <v>164.23448598618114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9.1951082108022693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9.1951082108022693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16.625</v>
      </c>
      <c r="BY66" s="12">
        <f>IF('Données projet'!$A$114&gt;35,BY65+BX66-CG65,IF(A66&lt;'Données projet'!$A$114,$BV$205^A66,IF(A66='Données projet'!$A$114,'Données projet'!$B$114,BY65+BX66-CG65)))</f>
        <v>445.12499999999994</v>
      </c>
      <c r="BZ66" s="13">
        <f>BY66*VLOOKUP('Données projet'!$B$12,Paramètres!$A$1:$I$89,3,0)*VLOOKUP('Données projet'!$B$12,Paramètres!$A$1:$I$89,5,0)</f>
        <v>266.18475000000001</v>
      </c>
      <c r="CA66" s="13">
        <f t="shared" si="39"/>
        <v>64.038907529798962</v>
      </c>
      <c r="CB66" s="20">
        <f t="shared" si="10"/>
        <v>575.13953686439993</v>
      </c>
      <c r="CC66" s="59">
        <f t="shared" si="11"/>
        <v>868.4728701977333</v>
      </c>
      <c r="CD66" s="59">
        <f ca="1">AVERAGE(OFFSET($CC$3,0,0,'Données projet'!$E$12+1,1))-AVERAGE(OFFSET($H$3,0,0,'Données projet'!$E$12+1,1))</f>
        <v>289.07218105343333</v>
      </c>
      <c r="CE66" s="59">
        <f t="shared" si="40"/>
        <v>217.57508587672368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10.490852035745487</v>
      </c>
      <c r="CL66" s="21">
        <f>EXP(-LN(2)/25)*CL65+(1-EXP(-LN(2)/25))/(LN(2)/25)*Calculateur!CG66*Calculateur!CI66*VLOOKUP('Données projet'!$B$12,Paramètres!$A$1:$I$89,3,0)*0.475*44/12</f>
        <v>35.69188505439287</v>
      </c>
      <c r="CM66" s="21">
        <f>EXP(-LN(2)/2)*CM65+(1-EXP(-LN(2)/2))/(LN(2)/2)*CG66*CJ66*VLOOKUP('Données projet'!$B$12,Paramètres!$A$1:$I$89,3,0)*0.475*44/12</f>
        <v>2.9920193811445568</v>
      </c>
      <c r="CN66" s="22">
        <f t="shared" si="12"/>
        <v>49.174756471282919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3.3</v>
      </c>
      <c r="CT66" s="12">
        <f>IF('Données projet'!$A$140&gt;35,CT65+CS66-DB65,IF(A66&lt;'Données projet'!$A$140,$CQ$205^A66,IF(A66='Données projet'!$A$140,'Données projet'!$B$140,CT65+CS66-DB65)))</f>
        <v>225.90000000000009</v>
      </c>
      <c r="CU66" s="17">
        <f>CT66*VLOOKUP('Données projet'!$B$13,Paramètres!$A$1:$I$89,3,0)*VLOOKUP('Données projet'!$B$13,Paramètres!$A$1:$I$89,5,0)</f>
        <v>197.34624000000011</v>
      </c>
      <c r="CV66" s="13">
        <f t="shared" si="41"/>
        <v>49.160498973822023</v>
      </c>
      <c r="CW66" s="20">
        <f t="shared" si="13"/>
        <v>429.33257037940683</v>
      </c>
      <c r="CX66" s="59">
        <f t="shared" si="14"/>
        <v>722.66590371274015</v>
      </c>
      <c r="CY66" s="59">
        <f ca="1">AVERAGE(OFFSET($CX$3,0,0,'Données projet'!$E$13+1,1))-AVERAGE(OFFSET($H$3,0,0,'Données projet'!$E$13+1,1))</f>
        <v>237.8483058552178</v>
      </c>
      <c r="CZ66" s="59">
        <f t="shared" si="42"/>
        <v>313.36201272119723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17.55359646316175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1.6088812887493096</v>
      </c>
      <c r="DI66" s="22">
        <f t="shared" si="15"/>
        <v>19.162477751911059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6.875</v>
      </c>
      <c r="DO66" s="12">
        <f>IF('Données projet'!$A$166&gt;35,DO65+DN66-DW65,IF(A66&lt;'Données projet'!$A$166,$DL$205^A66,IF(A66='Données projet'!$A$166,'Données projet'!$B$166,DO65+DN66-DW65)))</f>
        <v>169.375</v>
      </c>
      <c r="DP66" s="17">
        <f>DO66*VLOOKUP('Données projet'!$B$14,Paramètres!$A$1:$I$89,3,0)*VLOOKUP('Données projet'!$B$14,Paramètres!$A$1:$I$89,5,0)</f>
        <v>163.81950000000001</v>
      </c>
      <c r="DQ66" s="13">
        <f t="shared" si="43"/>
        <v>41.702827876147225</v>
      </c>
      <c r="DR66" s="20">
        <f t="shared" si="16"/>
        <v>357.95138771762305</v>
      </c>
      <c r="DS66" s="59">
        <f t="shared" si="17"/>
        <v>651.28472105095636</v>
      </c>
      <c r="DT66" s="59">
        <f ca="1">AVERAGE(OFFSET($DS$3,0,0,'Données projet'!$E$14+1,1))-AVERAGE(OFFSET($H$3,0,0,'Données projet'!$E$14+1,1))</f>
        <v>325.01961068962373</v>
      </c>
      <c r="DU66" s="59">
        <f t="shared" si="44"/>
        <v>155.12737608540039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8.7707186010729323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8.7707186010729323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4.4000000000000004</v>
      </c>
      <c r="EJ66" s="12">
        <f>IF('Données projet'!$A$192&gt;35,EJ65+EI66-ER65,IF(A66&lt;'Données projet'!$A$192,$EG$205^A66,IF(A66='Données projet'!$A$192,'Données projet'!$B$192,EJ65+EI66-ER65)))</f>
        <v>246.19999999999985</v>
      </c>
      <c r="EK66" s="17">
        <f>EJ66*VLOOKUP('Données projet'!$B$15,Paramètres!$A$1:$I$89,3,0)*VLOOKUP('Données projet'!$B$15,Paramètres!$A$1:$I$89,5,0)</f>
        <v>165.15095999999988</v>
      </c>
      <c r="EL66" s="13">
        <f t="shared" si="45"/>
        <v>42.002177611164356</v>
      </c>
      <c r="EM66" s="20">
        <f t="shared" si="19"/>
        <v>360.79171467277774</v>
      </c>
      <c r="EN66" s="59">
        <f t="shared" si="20"/>
        <v>654.125048006111</v>
      </c>
      <c r="EO66" s="59">
        <f ca="1">AVERAGE(OFFSET($EN$3,0,0,'Données projet'!$E$15+1,1))-AVERAGE(OFFSET($H$3,0,0,'Données projet'!$E$15+1,1))</f>
        <v>178.09619481964575</v>
      </c>
      <c r="EP66" s="59">
        <f t="shared" si="46"/>
        <v>178.65167777495174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11.757655097120551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1.0211562393849567</v>
      </c>
      <c r="EY66" s="22">
        <f t="shared" si="21"/>
        <v>12.778811336505509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4.4000000000000004</v>
      </c>
      <c r="FE66" s="12">
        <f>IF('Données projet'!$A$218&gt;35,FE65+FD66-FM65,IF(A66&lt;'Données projet'!$A$218,$FB$205^A66,IF(A66='Données projet'!$A$218,'Données projet'!$B$218,FE65+FD66-FM65)))</f>
        <v>246.19999999999985</v>
      </c>
      <c r="FF66" s="17">
        <f>FE66*VLOOKUP('Données projet'!$B$16,Paramètres!$A$1:$I$89,3,0)*VLOOKUP('Données projet'!$B$16,Paramètres!$A$1:$I$89,5,0)</f>
        <v>195.87671999999989</v>
      </c>
      <c r="FG66" s="13">
        <f t="shared" si="47"/>
        <v>48.836899853879942</v>
      </c>
      <c r="FH66" s="20">
        <f t="shared" si="22"/>
        <v>426.20955457884071</v>
      </c>
      <c r="FI66" s="59">
        <f t="shared" si="23"/>
        <v>719.54288791217402</v>
      </c>
      <c r="FJ66" s="59">
        <f ca="1">AVERAGE(OFFSET($FI$3,0,0,'Données projet'!$E$16+1,1))-AVERAGE(OFFSET($H$3,0,0,'Données projet'!$E$16+1,1))</f>
        <v>219.43439115440339</v>
      </c>
      <c r="FK66" s="59">
        <f t="shared" si="48"/>
        <v>217.8880462742099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13.945125812863912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1.2111387955495996</v>
      </c>
      <c r="FT66" s="22">
        <f t="shared" si="24"/>
        <v>15.156264608413512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>
        <f>FZ66*VLOOKUP('Données projet'!$B$17,Paramètres!$A$1:$I$89,3,0)*VLOOKUP('Données projet'!$B$17,Paramètres!$A$1:$I$89,5,0)</f>
        <v>0</v>
      </c>
      <c r="GB66" s="13" t="e">
        <f t="shared" si="49"/>
        <v>#NUM!</v>
      </c>
      <c r="GC66" s="20" t="e">
        <f t="shared" si="25"/>
        <v>#NUM!</v>
      </c>
      <c r="GD66" s="59" t="e">
        <f t="shared" si="26"/>
        <v>#NUM!</v>
      </c>
      <c r="GE66" s="59">
        <f ca="1">AVERAGE(OFFSET($GD$3,0,0,'Données projet'!$E$17+1,1))-AVERAGE(OFFSET($H$3,0,0,'Données projet'!$E$17+1,1))</f>
        <v>191.77102466144095</v>
      </c>
      <c r="GF66" s="59">
        <f t="shared" si="50"/>
        <v>205.57161411620217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109.51877987588142</v>
      </c>
      <c r="GM66" s="21">
        <f>EXP(-LN(2)/25)*GM65+(1-EXP(-LN(2)/25))/(LN(2)/25)*Calculateur!GH66*Calculateur!GJ66*VLOOKUP('Données projet'!$B$17,Paramètres!$A$1:$I$89,3,0)*0.475*44/12</f>
        <v>22.370970086008821</v>
      </c>
      <c r="GN66" s="21">
        <f>EXP(-LN(2)/2)*GN65+(1-EXP(-LN(2)/2))/(LN(2)/2)*GH66*GK66*VLOOKUP('Données projet'!$B$17,Paramètres!$A$1:$I$89,3,0)*0.475*44/12</f>
        <v>15.189911932544188</v>
      </c>
      <c r="GO66" s="21">
        <f t="shared" si="27"/>
        <v>147.07966189443442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84.31577618130467</v>
      </c>
      <c r="T67" s="59">
        <f t="shared" si="34"/>
        <v>527.2140904310653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62.363313571732867</v>
      </c>
      <c r="AA67" s="21">
        <f>EXP(-LN(2)/25)*AA66+(1-EXP(-LN(2)/25))/(LN(2)/25)*Calculateur!V67*Calculateur!X67*VLOOKUP('Données projet'!$B$9,Paramètres!$A$1:$I$89,3,0)*0.475*44/12</f>
        <v>13.731560941344833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76.094874513077698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6.875</v>
      </c>
      <c r="AI67" s="13">
        <f>IF('Données projet'!$A$62&gt;35,AI66+AH67-AQ66,IF(A67&lt;'Données projet'!$A$62,$AF$205^A67,IF(A67='Données projet'!$A$62,'Données projet'!$B$62,AI66+AH67-AQ66)))</f>
        <v>176.25</v>
      </c>
      <c r="AJ67" s="13">
        <f>AI67*VLOOKUP('Données projet'!$B$10,Paramètres!$A$1:$I$89,3,0)*VLOOKUP('Données projet'!$B$10,Paramètres!$A$1:$I$89,5,0)</f>
        <v>159.471</v>
      </c>
      <c r="AK67" s="13">
        <f t="shared" si="35"/>
        <v>40.723174992275638</v>
      </c>
      <c r="AL67" s="20">
        <f t="shared" si="4"/>
        <v>348.67152144488006</v>
      </c>
      <c r="AM67" s="59">
        <f t="shared" si="5"/>
        <v>642.00485477821337</v>
      </c>
      <c r="AN67" s="59">
        <f ca="1">AVERAGE(OFFSET($AM$3,0,0,'Données projet'!$E$10+1,1))-AVERAGE(OFFSET($H$3,0,0,'Données projet'!$E$10+1,1))</f>
        <v>297.90790572649428</v>
      </c>
      <c r="AO67" s="59">
        <f t="shared" si="36"/>
        <v>142.96889776844506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7.9805033016497386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7.9805033016497386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6.875</v>
      </c>
      <c r="BD67" s="12">
        <f>IF('Données projet'!$A$88&gt;35,BD66+BC67-BL66,IF(A67&lt;'Données projet'!$A$88,$BA$205^A67,IF(A67='Données projet'!$A$88,'Données projet'!$B$88,BD66+BC67-BL66)))</f>
        <v>176.25</v>
      </c>
      <c r="BE67" s="13">
        <f>BD67*VLOOKUP('Données projet'!$B$11,Paramètres!$A$1:$I$89,3,0)*VLOOKUP('Données projet'!$B$11,Paramètres!$A$1:$I$89,5,0)</f>
        <v>178.7175</v>
      </c>
      <c r="BF67" s="13">
        <f t="shared" si="37"/>
        <v>45.036734910011397</v>
      </c>
      <c r="BG67" s="20">
        <f t="shared" si="7"/>
        <v>389.70529246826982</v>
      </c>
      <c r="BH67" s="59">
        <f t="shared" si="8"/>
        <v>683.03862580160308</v>
      </c>
      <c r="BI67" s="59">
        <f ca="1">AVERAGE(OFFSET($BH$3,0,0,'Données projet'!$E$11+1,1))-AVERAGE(OFFSET($H$3,0,0,'Données projet'!$E$11+1,1))</f>
        <v>345.3294887586967</v>
      </c>
      <c r="BJ67" s="59">
        <f t="shared" si="38"/>
        <v>164.23448598618114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8.9436674932281566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8.9436674932281566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16.625</v>
      </c>
      <c r="BY67" s="12">
        <f>IF('Données projet'!$A$114&gt;35,BY66+BX67-CG66,IF(A67&lt;'Données projet'!$A$114,$BV$205^A67,IF(A67='Données projet'!$A$114,'Données projet'!$B$114,BY66+BX67-CG66)))</f>
        <v>461.74999999999994</v>
      </c>
      <c r="BZ67" s="13">
        <f>BY67*VLOOKUP('Données projet'!$B$12,Paramètres!$A$1:$I$89,3,0)*VLOOKUP('Données projet'!$B$12,Paramètres!$A$1:$I$89,5,0)</f>
        <v>276.12649999999996</v>
      </c>
      <c r="CA67" s="13">
        <f t="shared" si="39"/>
        <v>66.147764494536574</v>
      </c>
      <c r="CB67" s="20">
        <f t="shared" si="10"/>
        <v>596.12767732798443</v>
      </c>
      <c r="CC67" s="59">
        <f t="shared" si="11"/>
        <v>889.46101066131769</v>
      </c>
      <c r="CD67" s="59">
        <f ca="1">AVERAGE(OFFSET($CC$3,0,0,'Données projet'!$E$12+1,1))-AVERAGE(OFFSET($H$3,0,0,'Données projet'!$E$12+1,1))</f>
        <v>289.07218105343333</v>
      </c>
      <c r="CE67" s="59">
        <f t="shared" si="40"/>
        <v>217.57508587672368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10.285132826112433</v>
      </c>
      <c r="CL67" s="21">
        <f>EXP(-LN(2)/25)*CL66+(1-EXP(-LN(2)/25))/(LN(2)/25)*Calculateur!CG67*Calculateur!CI67*VLOOKUP('Données projet'!$B$12,Paramètres!$A$1:$I$89,3,0)*0.475*44/12</f>
        <v>34.715888580625837</v>
      </c>
      <c r="CM67" s="21">
        <f>EXP(-LN(2)/2)*CM66+(1-EXP(-LN(2)/2))/(LN(2)/2)*CG67*CJ67*VLOOKUP('Données projet'!$B$12,Paramètres!$A$1:$I$89,3,0)*0.475*44/12</f>
        <v>2.1156771938488936</v>
      </c>
      <c r="CN67" s="22">
        <f t="shared" si="12"/>
        <v>47.116698600587164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3.3</v>
      </c>
      <c r="CT67" s="12">
        <f>IF('Données projet'!$A$140&gt;35,CT66+CS67-DB66,IF(A67&lt;'Données projet'!$A$140,$CQ$205^A67,IF(A67='Données projet'!$A$140,'Données projet'!$B$140,CT66+CS67-DB66)))</f>
        <v>229.2000000000001</v>
      </c>
      <c r="CU67" s="17">
        <f>CT67*VLOOKUP('Données projet'!$B$13,Paramètres!$A$1:$I$89,3,0)*VLOOKUP('Données projet'!$B$13,Paramètres!$A$1:$I$89,5,0)</f>
        <v>200.22912000000011</v>
      </c>
      <c r="CV67" s="13">
        <f t="shared" si="41"/>
        <v>49.794518010766396</v>
      </c>
      <c r="CW67" s="20">
        <f t="shared" si="13"/>
        <v>435.45783620208493</v>
      </c>
      <c r="CX67" s="59">
        <f t="shared" si="14"/>
        <v>728.79116953541825</v>
      </c>
      <c r="CY67" s="59">
        <f ca="1">AVERAGE(OFFSET($CX$3,0,0,'Données projet'!$E$13+1,1))-AVERAGE(OFFSET($H$3,0,0,'Données projet'!$E$13+1,1))</f>
        <v>237.8483058552178</v>
      </c>
      <c r="CZ67" s="59">
        <f t="shared" si="42"/>
        <v>313.36201272119723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17.209381143155799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1.1376508693987888</v>
      </c>
      <c r="DI67" s="22">
        <f t="shared" si="15"/>
        <v>18.347032012554589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6.875</v>
      </c>
      <c r="DO67" s="12">
        <f>IF('Données projet'!$A$166&gt;35,DO66+DN67-DW66,IF(A67&lt;'Données projet'!$A$166,$DL$205^A67,IF(A67='Données projet'!$A$166,'Données projet'!$B$166,DO66+DN67-DW66)))</f>
        <v>176.25</v>
      </c>
      <c r="DP67" s="17">
        <f>DO67*VLOOKUP('Données projet'!$B$14,Paramètres!$A$1:$I$89,3,0)*VLOOKUP('Données projet'!$B$14,Paramètres!$A$1:$I$89,5,0)</f>
        <v>170.46900000000002</v>
      </c>
      <c r="DQ67" s="13">
        <f t="shared" si="43"/>
        <v>43.195047135356397</v>
      </c>
      <c r="DR67" s="20">
        <f t="shared" si="16"/>
        <v>372.13154876074577</v>
      </c>
      <c r="DS67" s="59">
        <f t="shared" si="17"/>
        <v>665.46488209407903</v>
      </c>
      <c r="DT67" s="59">
        <f ca="1">AVERAGE(OFFSET($DS$3,0,0,'Données projet'!$E$14+1,1))-AVERAGE(OFFSET($H$3,0,0,'Données projet'!$E$14+1,1))</f>
        <v>325.01961068962373</v>
      </c>
      <c r="DU67" s="59">
        <f t="shared" si="44"/>
        <v>155.12737608540039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8.5308828396945469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8.5308828396945469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4.4000000000000004</v>
      </c>
      <c r="EJ67" s="12">
        <f>IF('Données projet'!$A$192&gt;35,EJ66+EI67-ER66,IF(A67&lt;'Données projet'!$A$192,$EG$205^A67,IF(A67='Données projet'!$A$192,'Données projet'!$B$192,EJ66+EI67-ER66)))</f>
        <v>250.59999999999985</v>
      </c>
      <c r="EK67" s="17">
        <f>EJ67*VLOOKUP('Données projet'!$B$15,Paramètres!$A$1:$I$89,3,0)*VLOOKUP('Données projet'!$B$15,Paramètres!$A$1:$I$89,5,0)</f>
        <v>168.1024799999999</v>
      </c>
      <c r="EL67" s="13">
        <f t="shared" si="45"/>
        <v>42.664764996929854</v>
      </c>
      <c r="EM67" s="20">
        <f t="shared" si="19"/>
        <v>367.08628503631934</v>
      </c>
      <c r="EN67" s="59">
        <f t="shared" si="20"/>
        <v>660.41961836965265</v>
      </c>
      <c r="EO67" s="59">
        <f ca="1">AVERAGE(OFFSET($EN$3,0,0,'Données projet'!$E$15+1,1))-AVERAGE(OFFSET($H$3,0,0,'Données projet'!$E$15+1,1))</f>
        <v>178.09619481964575</v>
      </c>
      <c r="EP67" s="59">
        <f t="shared" si="46"/>
        <v>178.65167777495174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11.527094652127504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0.72206650152005636</v>
      </c>
      <c r="EY67" s="22">
        <f t="shared" si="21"/>
        <v>12.24916115364756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4.4000000000000004</v>
      </c>
      <c r="FE67" s="12">
        <f>IF('Données projet'!$A$218&gt;35,FE66+FD67-FM66,IF(A67&lt;'Données projet'!$A$218,$FB$205^A67,IF(A67='Données projet'!$A$218,'Données projet'!$B$218,FE66+FD67-FM66)))</f>
        <v>250.59999999999985</v>
      </c>
      <c r="FF67" s="17">
        <f>FE67*VLOOKUP('Données projet'!$B$16,Paramètres!$A$1:$I$89,3,0)*VLOOKUP('Données projet'!$B$16,Paramètres!$A$1:$I$89,5,0)</f>
        <v>199.3773599999999</v>
      </c>
      <c r="FG67" s="13">
        <f t="shared" si="47"/>
        <v>49.607305476717762</v>
      </c>
      <c r="FH67" s="20">
        <f t="shared" si="22"/>
        <v>433.64829237194994</v>
      </c>
      <c r="FI67" s="59">
        <f t="shared" si="23"/>
        <v>726.98162570528325</v>
      </c>
      <c r="FJ67" s="59">
        <f ca="1">AVERAGE(OFFSET($FI$3,0,0,'Données projet'!$E$16+1,1))-AVERAGE(OFFSET($H$3,0,0,'Données projet'!$E$16+1,1))</f>
        <v>219.43439115440339</v>
      </c>
      <c r="FK67" s="59">
        <f t="shared" si="48"/>
        <v>217.8880462742099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13.671670401360529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0.85640445529122944</v>
      </c>
      <c r="FT67" s="22">
        <f t="shared" si="24"/>
        <v>14.528074856651759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>
        <f>FZ67*VLOOKUP('Données projet'!$B$17,Paramètres!$A$1:$I$89,3,0)*VLOOKUP('Données projet'!$B$17,Paramètres!$A$1:$I$89,5,0)</f>
        <v>0</v>
      </c>
      <c r="GB67" s="13" t="e">
        <f t="shared" si="49"/>
        <v>#NUM!</v>
      </c>
      <c r="GC67" s="20" t="e">
        <f t="shared" si="25"/>
        <v>#NUM!</v>
      </c>
      <c r="GD67" s="59" t="e">
        <f t="shared" si="26"/>
        <v>#NUM!</v>
      </c>
      <c r="GE67" s="59">
        <f ca="1">AVERAGE(OFFSET($GD$3,0,0,'Données projet'!$E$17+1,1))-AVERAGE(OFFSET($H$3,0,0,'Données projet'!$E$17+1,1))</f>
        <v>191.77102466144095</v>
      </c>
      <c r="GF67" s="59">
        <f t="shared" si="50"/>
        <v>205.57161411620217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107.37118340237517</v>
      </c>
      <c r="GM67" s="21">
        <f>EXP(-LN(2)/25)*GM66+(1-EXP(-LN(2)/25))/(LN(2)/25)*Calculateur!GH67*Calculateur!GJ67*VLOOKUP('Données projet'!$B$17,Paramètres!$A$1:$I$89,3,0)*0.475*44/12</f>
        <v>21.759234732568721</v>
      </c>
      <c r="GN67" s="21">
        <f>EXP(-LN(2)/2)*GN66+(1-EXP(-LN(2)/2))/(LN(2)/2)*GH67*GK67*VLOOKUP('Données projet'!$B$17,Paramètres!$A$1:$I$89,3,0)*0.475*44/12</f>
        <v>10.740889733128451</v>
      </c>
      <c r="GO67" s="21">
        <f t="shared" si="27"/>
        <v>139.87130786807234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84.31577618130467</v>
      </c>
      <c r="T68" s="59">
        <f t="shared" si="34"/>
        <v>527.2140904310653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61.140407030456537</v>
      </c>
      <c r="AA68" s="21">
        <f>EXP(-LN(2)/25)*AA67+(1-EXP(-LN(2)/25))/(LN(2)/25)*Calculateur!V68*Calculateur!X68*VLOOKUP('Données projet'!$B$9,Paramètres!$A$1:$I$89,3,0)*0.475*44/12</f>
        <v>13.356070685292353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74.496477715748895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6.875</v>
      </c>
      <c r="AI68" s="13">
        <f>IF('Données projet'!$A$62&gt;35,AI67+AH68-AQ67,IF(A68&lt;'Données projet'!$A$62,$AF$205^A68,IF(A68='Données projet'!$A$62,'Données projet'!$B$62,AI67+AH68-AQ67)))</f>
        <v>183.125</v>
      </c>
      <c r="AJ68" s="13">
        <f>AI68*VLOOKUP('Données projet'!$B$10,Paramètres!$A$1:$I$89,3,0)*VLOOKUP('Données projet'!$B$10,Paramètres!$A$1:$I$89,5,0)</f>
        <v>165.69149999999999</v>
      </c>
      <c r="AK68" s="13">
        <f t="shared" si="35"/>
        <v>42.123625959662853</v>
      </c>
      <c r="AL68" s="20">
        <f t="shared" ref="AL68:AL131" si="58">(AJ68+AK68)*0.475*44/12</f>
        <v>361.94467771307944</v>
      </c>
      <c r="AM68" s="59">
        <f t="shared" ref="AM68:AM131" si="59">AL68+(AD68+AE68)*44/12</f>
        <v>655.27801104641276</v>
      </c>
      <c r="AN68" s="59">
        <f ca="1">AVERAGE(OFFSET($AM$3,0,0,'Données projet'!$E$10+1,1))-AVERAGE(OFFSET($H$3,0,0,'Données projet'!$E$10+1,1))</f>
        <v>297.90790572649428</v>
      </c>
      <c r="AO68" s="59">
        <f t="shared" si="36"/>
        <v>142.96889776844506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7.7622760191896978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7.7622760191896978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6.875</v>
      </c>
      <c r="BD68" s="12">
        <f>IF('Données projet'!$A$88&gt;35,BD67+BC68-BL67,IF(A68&lt;'Données projet'!$A$88,$BA$205^A68,IF(A68='Données projet'!$A$88,'Données projet'!$B$88,BD67+BC68-BL67)))</f>
        <v>183.125</v>
      </c>
      <c r="BE68" s="13">
        <f>BD68*VLOOKUP('Données projet'!$B$11,Paramètres!$A$1:$I$89,3,0)*VLOOKUP('Données projet'!$B$11,Paramètres!$A$1:$I$89,5,0)</f>
        <v>185.68875</v>
      </c>
      <c r="BF68" s="13">
        <f t="shared" si="37"/>
        <v>46.585527188232597</v>
      </c>
      <c r="BG68" s="20">
        <f t="shared" ref="BG68:BG131" si="61">(BE68+BF68)*0.475*44/12</f>
        <v>404.54436610283841</v>
      </c>
      <c r="BH68" s="59">
        <f t="shared" ref="BH68:BH131" si="62">BG68+(AY68+AZ68)*44/12</f>
        <v>697.87769943617172</v>
      </c>
      <c r="BI68" s="59">
        <f ca="1">AVERAGE(OFFSET($BH$3,0,0,'Données projet'!$E$11+1,1))-AVERAGE(OFFSET($H$3,0,0,'Données projet'!$E$11+1,1))</f>
        <v>345.3294887586967</v>
      </c>
      <c r="BJ68" s="59">
        <f t="shared" si="38"/>
        <v>164.23448598618114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8.6991024352987996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8.6991024352987996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16.625</v>
      </c>
      <c r="BY68" s="12">
        <f>IF('Données projet'!$A$114&gt;35,BY67+BX68-CG67,IF(A68&lt;'Données projet'!$A$114,$BV$205^A68,IF(A68='Données projet'!$A$114,'Données projet'!$B$114,BY67+BX68-CG67)))</f>
        <v>478.37499999999994</v>
      </c>
      <c r="BZ68" s="13">
        <f>BY68*VLOOKUP('Données projet'!$B$12,Paramètres!$A$1:$I$89,3,0)*VLOOKUP('Données projet'!$B$12,Paramètres!$A$1:$I$89,5,0)</f>
        <v>286.06824999999998</v>
      </c>
      <c r="CA68" s="13">
        <f t="shared" si="39"/>
        <v>68.247799922382825</v>
      </c>
      <c r="CB68" s="20">
        <f t="shared" ref="CB68:CB131" si="64">(BZ68+CA68)*0.475*44/12</f>
        <v>617.10045361481673</v>
      </c>
      <c r="CC68" s="59">
        <f t="shared" ref="CC68:CC131" si="65">CB68+(BT68+BU68)*44/12</f>
        <v>910.4337869481501</v>
      </c>
      <c r="CD68" s="59">
        <f ca="1">AVERAGE(OFFSET($CC$3,0,0,'Données projet'!$E$12+1,1))-AVERAGE(OFFSET($H$3,0,0,'Données projet'!$E$12+1,1))</f>
        <v>289.07218105343333</v>
      </c>
      <c r="CE68" s="59">
        <f t="shared" si="40"/>
        <v>217.57508587672368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10.083447644703954</v>
      </c>
      <c r="CL68" s="21">
        <f>EXP(-LN(2)/25)*CL67+(1-EXP(-LN(2)/25))/(LN(2)/25)*Calculateur!CG68*Calculateur!CI68*VLOOKUP('Données projet'!$B$12,Paramètres!$A$1:$I$89,3,0)*0.475*44/12</f>
        <v>33.766580781759387</v>
      </c>
      <c r="CM68" s="21">
        <f>EXP(-LN(2)/2)*CM67+(1-EXP(-LN(2)/2))/(LN(2)/2)*CG68*CJ68*VLOOKUP('Données projet'!$B$12,Paramètres!$A$1:$I$89,3,0)*0.475*44/12</f>
        <v>1.4960096905722786</v>
      </c>
      <c r="CN68" s="22">
        <f t="shared" ref="CN68:CN131" si="66">SUM(CK68:CM68)</f>
        <v>45.346038117035619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3.3</v>
      </c>
      <c r="CT68" s="12">
        <f>IF('Données projet'!$A$140&gt;35,CT67+CS68-DB67,IF(A68&lt;'Données projet'!$A$140,$CQ$205^A68,IF(A68='Données projet'!$A$140,'Données projet'!$B$140,CT67+CS68-DB67)))</f>
        <v>232.50000000000011</v>
      </c>
      <c r="CU68" s="17">
        <f>CT68*VLOOKUP('Données projet'!$B$13,Paramètres!$A$1:$I$89,3,0)*VLOOKUP('Données projet'!$B$13,Paramètres!$A$1:$I$89,5,0)</f>
        <v>203.11200000000011</v>
      </c>
      <c r="CV68" s="13">
        <f t="shared" si="41"/>
        <v>50.427475336015824</v>
      </c>
      <c r="CW68" s="20">
        <f t="shared" ref="CW68:CW131" si="67">(CU68+CV68)*0.475*44/12</f>
        <v>441.58125287689433</v>
      </c>
      <c r="CX68" s="59">
        <f t="shared" ref="CX68:CX131" si="68">CW68+(CO68+CP68)*44/12</f>
        <v>734.91458621022764</v>
      </c>
      <c r="CY68" s="59">
        <f ca="1">AVERAGE(OFFSET($CX$3,0,0,'Données projet'!$E$13+1,1))-AVERAGE(OFFSET($H$3,0,0,'Données projet'!$E$13+1,1))</f>
        <v>237.8483058552178</v>
      </c>
      <c r="CZ68" s="59">
        <f t="shared" si="42"/>
        <v>313.36201272119723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16.87191567562455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0.8044406443746549</v>
      </c>
      <c r="DI68" s="22">
        <f t="shared" ref="DI68:DI131" si="69">SUM(DF68:DH68)</f>
        <v>17.676356319999204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6.875</v>
      </c>
      <c r="DO68" s="12">
        <f>IF('Données projet'!$A$166&gt;35,DO67+DN68-DW67,IF(A68&lt;'Données projet'!$A$166,$DL$205^A68,IF(A68='Données projet'!$A$166,'Données projet'!$B$166,DO67+DN68-DW67)))</f>
        <v>183.125</v>
      </c>
      <c r="DP68" s="17">
        <f>DO68*VLOOKUP('Données projet'!$B$14,Paramètres!$A$1:$I$89,3,0)*VLOOKUP('Données projet'!$B$14,Paramètres!$A$1:$I$89,5,0)</f>
        <v>177.11849999999998</v>
      </c>
      <c r="DQ68" s="13">
        <f t="shared" si="43"/>
        <v>44.680504631205395</v>
      </c>
      <c r="DR68" s="20">
        <f t="shared" ref="DR68:DR131" si="70">(DP68+DQ68)*0.475*44/12</f>
        <v>386.29993306601608</v>
      </c>
      <c r="DS68" s="59">
        <f t="shared" ref="DS68:DS131" si="71">DR68+(DJ68+DK68)*44/12</f>
        <v>679.6332663993494</v>
      </c>
      <c r="DT68" s="59">
        <f ca="1">AVERAGE(OFFSET($DS$3,0,0,'Données projet'!$E$14+1,1))-AVERAGE(OFFSET($H$3,0,0,'Données projet'!$E$14+1,1))</f>
        <v>325.01961068962373</v>
      </c>
      <c r="DU68" s="59">
        <f t="shared" si="44"/>
        <v>155.12737608540039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8.2976053998234693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8.2976053998234693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255</v>
      </c>
      <c r="EH68" s="12">
        <f>VLOOKUP(A68,'Données projet'!$A$191:$I$211,9,0)</f>
        <v>4.4000000000000004</v>
      </c>
      <c r="EI68" s="12">
        <f t="array" ref="EI68">INDEX(EH:EH,MIN(IF(ISNUMBER(EH68:EH264),ROW(EH68:EH264),"")))</f>
        <v>4.4000000000000004</v>
      </c>
      <c r="EJ68" s="12">
        <f>IF('Données projet'!$A$192&gt;35,EJ67+EI68-ER67,IF(A68&lt;'Données projet'!$A$192,$EG$205^A68,IF(A68='Données projet'!$A$192,'Données projet'!$B$192,EJ67+EI68-ER67)))</f>
        <v>254.99999999999986</v>
      </c>
      <c r="EK68" s="17">
        <f>EJ68*VLOOKUP('Données projet'!$B$15,Paramètres!$A$1:$I$89,3,0)*VLOOKUP('Données projet'!$B$15,Paramètres!$A$1:$I$89,5,0)</f>
        <v>171.05399999999992</v>
      </c>
      <c r="EL68" s="13">
        <f t="shared" si="45"/>
        <v>43.325999538979005</v>
      </c>
      <c r="EM68" s="20">
        <f t="shared" ref="EM68:EM131" si="73">(EK68+EL68)*0.475*44/12</f>
        <v>373.37849919705491</v>
      </c>
      <c r="EN68" s="59">
        <f t="shared" ref="EN68:EN131" si="74">EM68+(EE68+EF68)*44/12</f>
        <v>666.71183253038816</v>
      </c>
      <c r="EO68" s="59">
        <f ca="1">AVERAGE(OFFSET($EN$3,0,0,'Données projet'!$E$15+1,1))-AVERAGE(OFFSET($H$3,0,0,'Données projet'!$E$15+1,1))</f>
        <v>178.09619481964575</v>
      </c>
      <c r="EP68" s="59">
        <f t="shared" si="46"/>
        <v>178.65167777495174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11</v>
      </c>
      <c r="ES68" s="16">
        <f>IF(ISNA(VLOOKUP(A68,'Données projet'!$A$191:$I$211,5,0)),0%,VLOOKUP(A68,'Données projet'!$A$191:$I$211,5,0)*VLOOKUP('Données projet'!$B$15,Paramètres!$A$1:$I$89,7,0))</f>
        <v>0.26500000000000001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0.3</v>
      </c>
      <c r="EV68" s="21">
        <f>EXP(-LN(2)/35)*EV67+(1-EXP(-LN(2)/35))/(LN(2)/35)*ER68*ES68*VLOOKUP('Données projet'!$B$15,Paramètres!$A$1:$I$89,3,0)*0.475*44/12</f>
        <v>13.462672238504684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2.5992070389395501</v>
      </c>
      <c r="EY68" s="22">
        <f t="shared" ref="EY68:EY131" si="75">SUM(EV68:EX68)</f>
        <v>16.061879277444234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255</v>
      </c>
      <c r="FC68" s="12">
        <f>VLOOKUP(A68,'Données projet'!$A$217:$I$237,9,0)</f>
        <v>4.4000000000000004</v>
      </c>
      <c r="FD68" s="12">
        <f t="array" ref="FD68">INDEX(FC:FC,MIN(IF(ISNUMBER(FC68:FC264),ROW(FC68:FC264),"")))</f>
        <v>4.4000000000000004</v>
      </c>
      <c r="FE68" s="12">
        <f>IF('Données projet'!$A$218&gt;35,FE67+FD68-FM67,IF(A68&lt;'Données projet'!$A$218,$FB$205^A68,IF(A68='Données projet'!$A$218,'Données projet'!$B$218,FE67+FD68-FM67)))</f>
        <v>254.99999999999986</v>
      </c>
      <c r="FF68" s="17">
        <f>FE68*VLOOKUP('Données projet'!$B$16,Paramètres!$A$1:$I$89,3,0)*VLOOKUP('Données projet'!$B$16,Paramètres!$A$1:$I$89,5,0)</f>
        <v>202.8779999999999</v>
      </c>
      <c r="FG68" s="13">
        <f t="shared" si="47"/>
        <v>50.376138116990084</v>
      </c>
      <c r="FH68" s="20">
        <f t="shared" ref="FH68:FH131" si="76">(FF68+FG68)*0.475*44/12</f>
        <v>441.08429055375751</v>
      </c>
      <c r="FI68" s="59">
        <f t="shared" ref="FI68:FI131" si="77">FH68+(EZ68+FA68)*44/12</f>
        <v>734.41762388709083</v>
      </c>
      <c r="FJ68" s="59">
        <f ca="1">AVERAGE(OFFSET($FI$3,0,0,'Données projet'!$E$16+1,1))-AVERAGE(OFFSET($H$3,0,0,'Données projet'!$E$16+1,1))</f>
        <v>219.43439115440339</v>
      </c>
      <c r="FK68" s="59">
        <f t="shared" si="48"/>
        <v>217.8880462742099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11</v>
      </c>
      <c r="FN68" s="16">
        <f>IF(ISNA(VLOOKUP(A68,'Données projet'!$A$217:$I$237,5,0)),0%,VLOOKUP(A68,'Données projet'!$A$217:$I$237,5,0)*VLOOKUP('Données projet'!$B$16,Paramètres!$A$1:$I$89,7,0))</f>
        <v>0.26500000000000001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0.3</v>
      </c>
      <c r="FQ68" s="21">
        <f>EXP(-LN(2)/35)*FQ67+(1-EXP(-LN(2)/35))/(LN(2)/35)*FM68*FN68*VLOOKUP('Données projet'!$B$16,Paramètres!$A$1:$I$89,3,0)*0.475*44/12</f>
        <v>15.967355445668348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3.0827804415329547</v>
      </c>
      <c r="FT68" s="22">
        <f t="shared" ref="FT68:FT131" si="78">SUM(FQ68:FS68)</f>
        <v>19.050135887201304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>
        <f>FZ68*VLOOKUP('Données projet'!$B$17,Paramètres!$A$1:$I$89,3,0)*VLOOKUP('Données projet'!$B$17,Paramètres!$A$1:$I$89,5,0)</f>
        <v>0</v>
      </c>
      <c r="GB68" s="13" t="e">
        <f t="shared" si="49"/>
        <v>#NUM!</v>
      </c>
      <c r="GC68" s="20" t="e">
        <f t="shared" ref="GC68:GC131" si="79">(GA68+GB68)*0.475*44/12</f>
        <v>#NUM!</v>
      </c>
      <c r="GD68" s="59" t="e">
        <f t="shared" ref="GD68:GD131" si="80">GC68+(FU68+FV68)*44/12</f>
        <v>#NUM!</v>
      </c>
      <c r="GE68" s="59">
        <f ca="1">AVERAGE(OFFSET($GD$3,0,0,'Données projet'!$E$17+1,1))-AVERAGE(OFFSET($H$3,0,0,'Données projet'!$E$17+1,1))</f>
        <v>191.77102466144095</v>
      </c>
      <c r="GF68" s="59">
        <f t="shared" si="50"/>
        <v>205.57161411620217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105.26569998580987</v>
      </c>
      <c r="GM68" s="21">
        <f>EXP(-LN(2)/25)*GM67+(1-EXP(-LN(2)/25))/(LN(2)/25)*Calculateur!GH68*Calculateur!GJ68*VLOOKUP('Données projet'!$B$17,Paramètres!$A$1:$I$89,3,0)*0.475*44/12</f>
        <v>21.164227314538206</v>
      </c>
      <c r="GN68" s="21">
        <f>EXP(-LN(2)/2)*GN67+(1-EXP(-LN(2)/2))/(LN(2)/2)*GH68*GK68*VLOOKUP('Données projet'!$B$17,Paramètres!$A$1:$I$89,3,0)*0.475*44/12</f>
        <v>7.5949559662720949</v>
      </c>
      <c r="GO68" s="21">
        <f t="shared" ref="GO68:GO131" si="81">SUM(GL68:GN68)</f>
        <v>134.02488326662018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84.31577618130467</v>
      </c>
      <c r="T69" s="59">
        <f t="shared" ref="T69:T132" si="88">$T$3</f>
        <v>527.2140904310653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59.941480940555294</v>
      </c>
      <c r="AA69" s="21">
        <f>EXP(-LN(2)/25)*AA68+(1-EXP(-LN(2)/25))/(LN(2)/25)*Calculateur!V69*Calculateur!X69*VLOOKUP('Données projet'!$B$9,Paramètres!$A$1:$I$89,3,0)*0.475*44/12</f>
        <v>12.990848230037802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72.932329170593093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190</v>
      </c>
      <c r="AG69" s="12">
        <f>VLOOKUP(A69,'Données projet'!$A$61:$I$81,9,0)</f>
        <v>6.875</v>
      </c>
      <c r="AH69" s="12">
        <f t="array" ref="AH69">INDEX(AG:AG,MIN(IF(ISNUMBER(AG69:AG265),ROW(AG69:AG265),"")))</f>
        <v>6.875</v>
      </c>
      <c r="AI69" s="13">
        <f>IF('Données projet'!$A$62&gt;35,AI68+AH69-AQ68,IF(A69&lt;'Données projet'!$A$62,$AF$205^A69,IF(A69='Données projet'!$A$62,'Données projet'!$B$62,AI68+AH69-AQ68)))</f>
        <v>190</v>
      </c>
      <c r="AJ69" s="13">
        <f>AI69*VLOOKUP('Données projet'!$B$10,Paramètres!$A$1:$I$89,3,0)*VLOOKUP('Données projet'!$B$10,Paramètres!$A$1:$I$89,5,0)</f>
        <v>171.91199999999998</v>
      </c>
      <c r="AK69" s="13">
        <f t="shared" ref="AK69:AK132" si="89">EXP(-1.0587+0.8836*LN(AJ69)+0.284)</f>
        <v>43.517968841037288</v>
      </c>
      <c r="AL69" s="20">
        <f t="shared" si="58"/>
        <v>375.20719573147318</v>
      </c>
      <c r="AM69" s="59">
        <f t="shared" si="59"/>
        <v>668.54052906480649</v>
      </c>
      <c r="AN69" s="59">
        <f ca="1">AVERAGE(OFFSET($AM$3,0,0,'Données projet'!$E$10+1,1))-AVERAGE(OFFSET($H$3,0,0,'Données projet'!$E$10+1,1))</f>
        <v>297.90790572649428</v>
      </c>
      <c r="AO69" s="59">
        <f t="shared" ref="AO69:AO132" si="90">$AO$3</f>
        <v>142.96889776844506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39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0.215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15.903918844079525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15.903918844079525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190</v>
      </c>
      <c r="BB69" s="12">
        <f>VLOOKUP(A69,'Données projet'!$A$87:$I$107,9,0)</f>
        <v>6.875</v>
      </c>
      <c r="BC69" s="12">
        <f t="array" ref="BC69">INDEX(BB:BB,MIN(IF(ISNUMBER(BB69:BB265),ROW(BB69:BB265),"")))</f>
        <v>6.875</v>
      </c>
      <c r="BD69" s="12">
        <f>IF('Données projet'!$A$88&gt;35,BD68+BC69-BL68,IF(A69&lt;'Données projet'!$A$88,$BA$205^A69,IF(A69='Données projet'!$A$88,'Données projet'!$B$88,BD68+BC69-BL68)))</f>
        <v>190</v>
      </c>
      <c r="BE69" s="13">
        <f>BD69*VLOOKUP('Données projet'!$B$11,Paramètres!$A$1:$I$89,3,0)*VLOOKUP('Données projet'!$B$11,Paramètres!$A$1:$I$89,5,0)</f>
        <v>192.66</v>
      </c>
      <c r="BF69" s="13">
        <f t="shared" ref="BF69:BF132" si="91">EXP(-1.0587+0.8836*LN(BE69)+0.284)</f>
        <v>48.127564387788738</v>
      </c>
      <c r="BG69" s="20">
        <f t="shared" si="61"/>
        <v>419.37167464206533</v>
      </c>
      <c r="BH69" s="59">
        <f t="shared" si="62"/>
        <v>712.70500797539864</v>
      </c>
      <c r="BI69" s="59">
        <f ca="1">AVERAGE(OFFSET($BH$3,0,0,'Données projet'!$E$11+1,1))-AVERAGE(OFFSET($H$3,0,0,'Données projet'!$E$11+1,1))</f>
        <v>345.3294887586967</v>
      </c>
      <c r="BJ69" s="59">
        <f t="shared" ref="BJ69:BJ132" si="92">$BJ$3</f>
        <v>164.23448598618114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39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0.215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17.82335732526154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17.82335732526154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495</v>
      </c>
      <c r="BW69" s="12">
        <f>VLOOKUP(A69,'Données projet'!$A$113:$I$133,9,0)</f>
        <v>16.625</v>
      </c>
      <c r="BX69" s="12">
        <f t="array" ref="BX69">INDEX(BW:BW,MIN(IF(ISNUMBER(BW69:BW265),ROW(BW69:BW265),"")))</f>
        <v>16.625</v>
      </c>
      <c r="BY69" s="12">
        <f>IF('Données projet'!$A$114&gt;35,BY68+BX69-CG68,IF(A69&lt;'Données projet'!$A$114,$BV$205^A69,IF(A69='Données projet'!$A$114,'Données projet'!$B$114,BY68+BX69-CG68)))</f>
        <v>494.99999999999994</v>
      </c>
      <c r="BZ69" s="13">
        <f>BY69*VLOOKUP('Données projet'!$B$12,Paramètres!$A$1:$I$89,3,0)*VLOOKUP('Données projet'!$B$12,Paramètres!$A$1:$I$89,5,0)</f>
        <v>296.01</v>
      </c>
      <c r="CA69" s="13">
        <f t="shared" ref="CA69:CA132" si="93">EXP(-1.0587+0.8836*LN(BZ69)+0.284)</f>
        <v>70.339355522692159</v>
      </c>
      <c r="CB69" s="20">
        <f t="shared" si="64"/>
        <v>638.05846086868871</v>
      </c>
      <c r="CC69" s="59">
        <f t="shared" si="65"/>
        <v>931.39179420202208</v>
      </c>
      <c r="CD69" s="59">
        <f ca="1">AVERAGE(OFFSET($CC$3,0,0,'Données projet'!$E$12+1,1))-AVERAGE(OFFSET($H$3,0,0,'Données projet'!$E$12+1,1))</f>
        <v>289.07218105343333</v>
      </c>
      <c r="CE69" s="59">
        <f t="shared" ref="CE69:CE132" si="94">$CE$3</f>
        <v>217.57508587672368</v>
      </c>
      <c r="CF69" s="15">
        <f>IF(ISNA(VLOOKUP(A69,'Données projet'!$A$113:$I$133,3,0)),0,VLOOKUP(A69,'Données projet'!$A$113:$I$133,3,0))</f>
        <v>9</v>
      </c>
      <c r="CG69" s="15">
        <f>IF(ISNA(VLOOKUP(A69,'Données projet'!$A$113:$I$133,4,0)),0,VLOOKUP(A69,'Données projet'!$A$113:$I$133,4,0))</f>
        <v>65</v>
      </c>
      <c r="CH69" s="16">
        <f>IF(ISNA(VLOOKUP(A69,'Données projet'!$A$113:$I$133,5,0)),0%,VLOOKUP(A69,'Données projet'!$A$113:$I$133,5,0)*VLOOKUP('Données projet'!$B$12,Paramètres!$A$1:$I$89,7,0))</f>
        <v>0.13500000000000001</v>
      </c>
      <c r="CI69" s="16">
        <f>IF(ISNA(VLOOKUP(A69,'Données projet'!$A$113:$I$133,6,0)),0%,VLOOKUP(A69,'Données projet'!$A$113:$I$133,6,0)*VLOOKUP('Données projet'!$B$12,Paramètres!$A$1:$I$89,7,0))</f>
        <v>0.18000000000000002</v>
      </c>
      <c r="CJ69" s="16">
        <f>IF(ISNA(VLOOKUP(A69,'Données projet'!$A$113:$I$133,7,0)),0%,VLOOKUP(A69,'Données projet'!$A$113:$I$133,7,0))</f>
        <v>0.3</v>
      </c>
      <c r="CK69" s="21">
        <f>EXP(-LN(2)/35)*CK68+(1-EXP(-LN(2)/35))/(LN(2)/35)*CG69*CH69*VLOOKUP('Données projet'!$B$12,Paramètres!$A$1:$I$89,3,0)*0.475*44/12</f>
        <v>16.846798038383298</v>
      </c>
      <c r="CL69" s="21">
        <f>EXP(-LN(2)/25)*CL68+(1-EXP(-LN(2)/25))/(LN(2)/25)*Calculateur!CG69*Calculateur!CI69*VLOOKUP('Données projet'!$B$12,Paramètres!$A$1:$I$89,3,0)*0.475*44/12</f>
        <v>42.088128154295958</v>
      </c>
      <c r="CM69" s="21">
        <f>EXP(-LN(2)/2)*CM68+(1-EXP(-LN(2)/2))/(LN(2)/2)*CG69*CJ69*VLOOKUP('Données projet'!$B$12,Paramètres!$A$1:$I$89,3,0)*0.475*44/12</f>
        <v>14.260799418380564</v>
      </c>
      <c r="CN69" s="22">
        <f t="shared" si="66"/>
        <v>73.195725611059828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3.3</v>
      </c>
      <c r="CT69" s="12">
        <f>IF('Données projet'!$A$140&gt;35,CT68+CS69-DB68,IF(A69&lt;'Données projet'!$A$140,$CQ$205^A69,IF(A69='Données projet'!$A$140,'Données projet'!$B$140,CT68+CS69-DB68)))</f>
        <v>235.80000000000013</v>
      </c>
      <c r="CU69" s="17">
        <f>CT69*VLOOKUP('Données projet'!$B$13,Paramètres!$A$1:$I$89,3,0)*VLOOKUP('Données projet'!$B$13,Paramètres!$A$1:$I$89,5,0)</f>
        <v>205.99488000000014</v>
      </c>
      <c r="CV69" s="13">
        <f t="shared" ref="CV69:CV132" si="95">EXP(-1.0587+0.8836*LN(CU69)+0.284)</f>
        <v>51.0593877603579</v>
      </c>
      <c r="CW69" s="20">
        <f t="shared" si="67"/>
        <v>447.70284968262354</v>
      </c>
      <c r="CX69" s="59">
        <f t="shared" si="68"/>
        <v>741.03618301595679</v>
      </c>
      <c r="CY69" s="59">
        <f ca="1">AVERAGE(OFFSET($CX$3,0,0,'Données projet'!$E$13+1,1))-AVERAGE(OFFSET($H$3,0,0,'Données projet'!$E$13+1,1))</f>
        <v>237.8483058552178</v>
      </c>
      <c r="CZ69" s="59">
        <f t="shared" ref="CZ69:CZ132" si="96">$CZ$3</f>
        <v>313.36201272119723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16.541067700077978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0.56882543469939439</v>
      </c>
      <c r="DI69" s="22">
        <f t="shared" si="69"/>
        <v>17.109893134777373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190</v>
      </c>
      <c r="DM69" s="12">
        <f>VLOOKUP(A69,'Données projet'!$A$165:$I$185,9,0)</f>
        <v>6.875</v>
      </c>
      <c r="DN69" s="12">
        <f t="array" ref="DN69">INDEX(DM:DM,MIN(IF(ISNUMBER(DM69:DM265),ROW(DM69:DM265),"")))</f>
        <v>6.875</v>
      </c>
      <c r="DO69" s="12">
        <f>IF('Données projet'!$A$166&gt;35,DO68+DN69-DW68,IF(A69&lt;'Données projet'!$A$166,$DL$205^A69,IF(A69='Données projet'!$A$166,'Données projet'!$B$166,DO68+DN69-DW68)))</f>
        <v>190</v>
      </c>
      <c r="DP69" s="17">
        <f>DO69*VLOOKUP('Données projet'!$B$14,Paramètres!$A$1:$I$89,3,0)*VLOOKUP('Données projet'!$B$14,Paramètres!$A$1:$I$89,5,0)</f>
        <v>183.768</v>
      </c>
      <c r="DQ69" s="13">
        <f t="shared" ref="DQ69:DQ132" si="97">EXP(-1.0587+0.8836*LN(DP69)+0.284)</f>
        <v>46.159483283907285</v>
      </c>
      <c r="DR69" s="20">
        <f t="shared" si="70"/>
        <v>400.45703338613856</v>
      </c>
      <c r="DS69" s="59">
        <f t="shared" si="71"/>
        <v>693.79036671947188</v>
      </c>
      <c r="DT69" s="59">
        <f ca="1">AVERAGE(OFFSET($DS$3,0,0,'Données projet'!$E$14+1,1))-AVERAGE(OFFSET($H$3,0,0,'Données projet'!$E$14+1,1))</f>
        <v>325.01961068962373</v>
      </c>
      <c r="DU69" s="59">
        <f t="shared" ref="DU69:DU132" si="98">$DU$3</f>
        <v>155.12737608540039</v>
      </c>
      <c r="DV69" s="15">
        <f>IF(ISNA(VLOOKUP(A69,'Données projet'!$A$165:$I$185,3,0)),0,VLOOKUP(A69,'Données projet'!$A$165:$I$185,3,0))</f>
        <v>4</v>
      </c>
      <c r="DW69" s="15">
        <f>IF(ISNA(VLOOKUP(A69,'Données projet'!$A$165:$I$185,4,0)),0,VLOOKUP(A69,'Données projet'!$A$165:$I$185,4,0))</f>
        <v>39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0.215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17.00074083332639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17.00074083332639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3.8</v>
      </c>
      <c r="EJ69" s="12">
        <f>IF('Données projet'!$A$192&gt;35,EJ68+EI69-ER68,IF(A69&lt;'Données projet'!$A$192,$EG$205^A69,IF(A69='Données projet'!$A$192,'Données projet'!$B$192,EJ68+EI69-ER68)))</f>
        <v>247.79999999999984</v>
      </c>
      <c r="EK69" s="17">
        <f>EJ69*VLOOKUP('Données projet'!$B$15,Paramètres!$A$1:$I$89,3,0)*VLOOKUP('Données projet'!$B$15,Paramètres!$A$1:$I$89,5,0)</f>
        <v>166.2242399999999</v>
      </c>
      <c r="EL69" s="13">
        <f t="shared" ref="EL69:EL132" si="99">EXP(-1.0587+0.8836*LN(EK69)+0.284)</f>
        <v>42.243276689676094</v>
      </c>
      <c r="EM69" s="20">
        <f t="shared" si="73"/>
        <v>363.08092490118565</v>
      </c>
      <c r="EN69" s="59">
        <f t="shared" si="74"/>
        <v>656.41425823451891</v>
      </c>
      <c r="EO69" s="59">
        <f ca="1">AVERAGE(OFFSET($EN$3,0,0,'Données projet'!$E$15+1,1))-AVERAGE(OFFSET($H$3,0,0,'Données projet'!$E$15+1,1))</f>
        <v>178.09619481964575</v>
      </c>
      <c r="EP69" s="59">
        <f t="shared" ref="EP69:EP132" si="100">$EP$3</f>
        <v>178.65167777495174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13.198677447326862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1.8379169229419627</v>
      </c>
      <c r="EY69" s="22">
        <f t="shared" si="75"/>
        <v>15.036594370268825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3.8</v>
      </c>
      <c r="FE69" s="12">
        <f>IF('Données projet'!$A$218&gt;35,FE68+FD69-FM68,IF(A69&lt;'Données projet'!$A$218,$FB$205^A69,IF(A69='Données projet'!$A$218,'Données projet'!$B$218,FE68+FD69-FM68)))</f>
        <v>247.79999999999984</v>
      </c>
      <c r="FF69" s="17">
        <f>FE69*VLOOKUP('Données projet'!$B$16,Paramètres!$A$1:$I$89,3,0)*VLOOKUP('Données projet'!$B$16,Paramètres!$A$1:$I$89,5,0)</f>
        <v>197.14967999999988</v>
      </c>
      <c r="FG69" s="13">
        <f t="shared" ref="FG69:FG132" si="101">EXP(-1.0587+0.8836*LN(FF69)+0.284)</f>
        <v>49.11723130862363</v>
      </c>
      <c r="FH69" s="20">
        <f t="shared" si="76"/>
        <v>428.91487052918592</v>
      </c>
      <c r="FI69" s="59">
        <f t="shared" si="77"/>
        <v>722.24820386251918</v>
      </c>
      <c r="FJ69" s="59">
        <f ca="1">AVERAGE(OFFSET($FI$3,0,0,'Données projet'!$E$16+1,1))-AVERAGE(OFFSET($H$3,0,0,'Données projet'!$E$16+1,1))</f>
        <v>219.43439115440339</v>
      </c>
      <c r="FK69" s="59">
        <f t="shared" ref="FK69:FK132" si="102">$FK$3</f>
        <v>217.8880462742099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15.654245344503956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2.1798549551172117</v>
      </c>
      <c r="FT69" s="22">
        <f t="shared" si="78"/>
        <v>17.834100299621166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>
        <f>FZ69*VLOOKUP('Données projet'!$B$17,Paramètres!$A$1:$I$89,3,0)*VLOOKUP('Données projet'!$B$17,Paramètres!$A$1:$I$89,5,0)</f>
        <v>0</v>
      </c>
      <c r="GB69" s="13" t="e">
        <f t="shared" ref="GB69:GB132" si="103">EXP(-1.0587+0.8836*LN(GA69)+0.284)</f>
        <v>#NUM!</v>
      </c>
      <c r="GC69" s="20" t="e">
        <f t="shared" si="79"/>
        <v>#NUM!</v>
      </c>
      <c r="GD69" s="59" t="e">
        <f t="shared" si="80"/>
        <v>#NUM!</v>
      </c>
      <c r="GE69" s="59">
        <f ca="1">AVERAGE(OFFSET($GD$3,0,0,'Données projet'!$E$17+1,1))-AVERAGE(OFFSET($H$3,0,0,'Données projet'!$E$17+1,1))</f>
        <v>191.77102466144095</v>
      </c>
      <c r="GF69" s="59">
        <f t="shared" ref="GF69:GF132" si="104">$GF$3</f>
        <v>205.57161411620217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103.20150381482534</v>
      </c>
      <c r="GM69" s="21">
        <f>EXP(-LN(2)/25)*GM68+(1-EXP(-LN(2)/25))/(LN(2)/25)*Calculateur!GH69*Calculateur!GJ69*VLOOKUP('Données projet'!$B$17,Paramètres!$A$1:$I$89,3,0)*0.475*44/12</f>
        <v>20.585490405643814</v>
      </c>
      <c r="GN69" s="21">
        <f>EXP(-LN(2)/2)*GN68+(1-EXP(-LN(2)/2))/(LN(2)/2)*GH69*GK69*VLOOKUP('Données projet'!$B$17,Paramètres!$A$1:$I$89,3,0)*0.475*44/12</f>
        <v>5.3704448665642266</v>
      </c>
      <c r="GO69" s="21">
        <f t="shared" si="81"/>
        <v>129.15743908703337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84.31577618130467</v>
      </c>
      <c r="T70" s="59">
        <f t="shared" si="88"/>
        <v>527.2140904310653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58.766065060004308</v>
      </c>
      <c r="AA70" s="21">
        <f>EXP(-LN(2)/25)*AA69+(1-EXP(-LN(2)/25))/(LN(2)/25)*Calculateur!V70*Calculateur!X70*VLOOKUP('Données projet'!$B$9,Paramètres!$A$1:$I$89,3,0)*0.475*44/12</f>
        <v>12.635612802028401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71.401677862032713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6.333333333333333</v>
      </c>
      <c r="AI70" s="13">
        <f>IF('Données projet'!$A$62&gt;35,AI69+AH70-AQ69,IF(A70&lt;'Données projet'!$A$62,$AF$205^A70,IF(A70='Données projet'!$A$62,'Données projet'!$B$62,AI69+AH70-AQ69)))</f>
        <v>157.33333333333334</v>
      </c>
      <c r="AJ70" s="13">
        <f>AI70*VLOOKUP('Données projet'!$B$10,Paramètres!$A$1:$I$89,3,0)*VLOOKUP('Données projet'!$B$10,Paramètres!$A$1:$I$89,5,0)</f>
        <v>142.3552</v>
      </c>
      <c r="AK70" s="13">
        <f t="shared" si="89"/>
        <v>36.836023758619369</v>
      </c>
      <c r="AL70" s="20">
        <f t="shared" si="58"/>
        <v>312.09138137959536</v>
      </c>
      <c r="AM70" s="59">
        <f t="shared" si="59"/>
        <v>605.42471471292868</v>
      </c>
      <c r="AN70" s="59">
        <f ca="1">AVERAGE(OFFSET($AM$3,0,0,'Données projet'!$E$10+1,1))-AVERAGE(OFFSET($H$3,0,0,'Données projet'!$E$10+1,1))</f>
        <v>297.90790572649428</v>
      </c>
      <c r="AO70" s="59">
        <f t="shared" si="90"/>
        <v>142.96889776844506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15.469025346937428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15.469025346937428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6.333333333333333</v>
      </c>
      <c r="BD70" s="12">
        <f>IF('Données projet'!$A$88&gt;35,BD69+BC70-BL69,IF(A70&lt;'Données projet'!$A$88,$BA$205^A70,IF(A70='Données projet'!$A$88,'Données projet'!$B$88,BD69+BC70-BL69)))</f>
        <v>157.33333333333334</v>
      </c>
      <c r="BE70" s="13">
        <f>BD70*VLOOKUP('Données projet'!$B$11,Paramètres!$A$1:$I$89,3,0)*VLOOKUP('Données projet'!$B$11,Paramètres!$A$1:$I$89,5,0)</f>
        <v>159.53600000000003</v>
      </c>
      <c r="BF70" s="13">
        <f t="shared" si="91"/>
        <v>40.73784122850185</v>
      </c>
      <c r="BG70" s="20">
        <f t="shared" si="61"/>
        <v>348.81027347297407</v>
      </c>
      <c r="BH70" s="59">
        <f t="shared" si="62"/>
        <v>642.14360680630739</v>
      </c>
      <c r="BI70" s="59">
        <f ca="1">AVERAGE(OFFSET($BH$3,0,0,'Données projet'!$E$11+1,1))-AVERAGE(OFFSET($H$3,0,0,'Données projet'!$E$11+1,1))</f>
        <v>345.3294887586967</v>
      </c>
      <c r="BJ70" s="59">
        <f t="shared" si="92"/>
        <v>164.23448598618114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17.335976681912637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17.335976681912637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12.875</v>
      </c>
      <c r="BY70" s="12">
        <f>IF('Données projet'!$A$114&gt;35,BY69+BX70-CG69,IF(A70&lt;'Données projet'!$A$114,$BV$205^A70,IF(A70='Données projet'!$A$114,'Données projet'!$B$114,BY69+BX70-CG69)))</f>
        <v>442.87499999999994</v>
      </c>
      <c r="BZ70" s="13">
        <f>BY70*VLOOKUP('Données projet'!$B$12,Paramètres!$A$1:$I$89,3,0)*VLOOKUP('Données projet'!$B$12,Paramètres!$A$1:$I$89,5,0)</f>
        <v>264.83924999999999</v>
      </c>
      <c r="CA70" s="13">
        <f t="shared" si="93"/>
        <v>63.752800756768096</v>
      </c>
      <c r="CB70" s="20">
        <f t="shared" si="64"/>
        <v>572.29782173470437</v>
      </c>
      <c r="CC70" s="59">
        <f t="shared" si="65"/>
        <v>865.63115506803774</v>
      </c>
      <c r="CD70" s="59">
        <f ca="1">AVERAGE(OFFSET($CC$3,0,0,'Données projet'!$E$12+1,1))-AVERAGE(OFFSET($H$3,0,0,'Données projet'!$E$12+1,1))</f>
        <v>289.07218105343333</v>
      </c>
      <c r="CE70" s="59">
        <f t="shared" si="94"/>
        <v>217.57508587672368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16.516442604382782</v>
      </c>
      <c r="CL70" s="21">
        <f>EXP(-LN(2)/25)*CL69+(1-EXP(-LN(2)/25))/(LN(2)/25)*Calculateur!CG70*Calculateur!CI70*VLOOKUP('Données projet'!$B$12,Paramètres!$A$1:$I$89,3,0)*0.475*44/12</f>
        <v>40.937226076598272</v>
      </c>
      <c r="CM70" s="21">
        <f>EXP(-LN(2)/2)*CM69+(1-EXP(-LN(2)/2))/(LN(2)/2)*CG70*CJ70*VLOOKUP('Données projet'!$B$12,Paramètres!$A$1:$I$89,3,0)*0.475*44/12</f>
        <v>10.083907973878071</v>
      </c>
      <c r="CN70" s="22">
        <f t="shared" si="66"/>
        <v>67.537576654859123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3.3</v>
      </c>
      <c r="CT70" s="12">
        <f>IF('Données projet'!$A$140&gt;35,CT69+CS70-DB69,IF(A70&lt;'Données projet'!$A$140,$CQ$205^A70,IF(A70='Données projet'!$A$140,'Données projet'!$B$140,CT69+CS70-DB69)))</f>
        <v>239.10000000000014</v>
      </c>
      <c r="CU70" s="17">
        <f>CT70*VLOOKUP('Données projet'!$B$13,Paramètres!$A$1:$I$89,3,0)*VLOOKUP('Données projet'!$B$13,Paramètres!$A$1:$I$89,5,0)</f>
        <v>208.87776000000017</v>
      </c>
      <c r="CV70" s="13">
        <f t="shared" si="95"/>
        <v>51.690271597021052</v>
      </c>
      <c r="CW70" s="20">
        <f t="shared" si="67"/>
        <v>453.82265503147863</v>
      </c>
      <c r="CX70" s="59">
        <f t="shared" si="68"/>
        <v>747.15598836481195</v>
      </c>
      <c r="CY70" s="59">
        <f ca="1">AVERAGE(OFFSET($CX$3,0,0,'Données projet'!$E$13+1,1))-AVERAGE(OFFSET($H$3,0,0,'Données projet'!$E$13+1,1))</f>
        <v>237.8483058552178</v>
      </c>
      <c r="CZ70" s="59">
        <f t="shared" si="96"/>
        <v>313.36201272119723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16.216707451534536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0.40222032218732745</v>
      </c>
      <c r="DI70" s="22">
        <f t="shared" si="69"/>
        <v>16.618927773721865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6.333333333333333</v>
      </c>
      <c r="DO70" s="12">
        <f>IF('Données projet'!$A$166&gt;35,DO69+DN70-DW69,IF(A70&lt;'Données projet'!$A$166,$DL$205^A70,IF(A70='Données projet'!$A$166,'Données projet'!$B$166,DO69+DN70-DW69)))</f>
        <v>157.33333333333334</v>
      </c>
      <c r="DP70" s="17">
        <f>DO70*VLOOKUP('Données projet'!$B$14,Paramètres!$A$1:$I$89,3,0)*VLOOKUP('Données projet'!$B$14,Paramètres!$A$1:$I$89,5,0)</f>
        <v>152.1728</v>
      </c>
      <c r="DQ70" s="13">
        <f t="shared" si="97"/>
        <v>39.071948167952989</v>
      </c>
      <c r="DR70" s="20">
        <f t="shared" si="70"/>
        <v>333.08460305918476</v>
      </c>
      <c r="DS70" s="59">
        <f t="shared" si="71"/>
        <v>626.41793639251807</v>
      </c>
      <c r="DT70" s="59">
        <f ca="1">AVERAGE(OFFSET($DS$3,0,0,'Données projet'!$E$14+1,1))-AVERAGE(OFFSET($H$3,0,0,'Données projet'!$E$14+1,1))</f>
        <v>325.01961068962373</v>
      </c>
      <c r="DU70" s="59">
        <f t="shared" si="98"/>
        <v>155.12737608540039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16.535854681208974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16.535854681208974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3.8</v>
      </c>
      <c r="EJ70" s="12">
        <f>IF('Données projet'!$A$192&gt;35,EJ69+EI70-ER69,IF(A70&lt;'Données projet'!$A$192,$EG$205^A70,IF(A70='Données projet'!$A$192,'Données projet'!$B$192,EJ69+EI70-ER69)))</f>
        <v>251.59999999999985</v>
      </c>
      <c r="EK70" s="17">
        <f>EJ70*VLOOKUP('Données projet'!$B$15,Paramètres!$A$1:$I$89,3,0)*VLOOKUP('Données projet'!$B$15,Paramètres!$A$1:$I$89,5,0)</f>
        <v>168.77327999999989</v>
      </c>
      <c r="EL70" s="13">
        <f t="shared" si="99"/>
        <v>42.815163417148369</v>
      </c>
      <c r="EM70" s="20">
        <f t="shared" si="73"/>
        <v>368.51653895153322</v>
      </c>
      <c r="EN70" s="59">
        <f t="shared" si="74"/>
        <v>661.84987228486648</v>
      </c>
      <c r="EO70" s="59">
        <f ca="1">AVERAGE(OFFSET($EN$3,0,0,'Données projet'!$E$15+1,1))-AVERAGE(OFFSET($H$3,0,0,'Données projet'!$E$15+1,1))</f>
        <v>178.09619481964575</v>
      </c>
      <c r="EP70" s="59">
        <f t="shared" si="100"/>
        <v>178.65167777495174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12.939859432983114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1.2996035194697753</v>
      </c>
      <c r="EY70" s="22">
        <f t="shared" si="75"/>
        <v>14.23946295245289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3.8</v>
      </c>
      <c r="FE70" s="12">
        <f>IF('Données projet'!$A$218&gt;35,FE69+FD70-FM69,IF(A70&lt;'Données projet'!$A$218,$FB$205^A70,IF(A70='Données projet'!$A$218,'Données projet'!$B$218,FE69+FD70-FM69)))</f>
        <v>251.59999999999985</v>
      </c>
      <c r="FF70" s="17">
        <f>FE70*VLOOKUP('Données projet'!$B$16,Paramètres!$A$1:$I$89,3,0)*VLOOKUP('Données projet'!$B$16,Paramètres!$A$1:$I$89,5,0)</f>
        <v>200.17295999999988</v>
      </c>
      <c r="FG70" s="13">
        <f t="shared" si="101"/>
        <v>49.782177185855986</v>
      </c>
      <c r="FH70" s="20">
        <f t="shared" si="76"/>
        <v>435.33853059869892</v>
      </c>
      <c r="FI70" s="59">
        <f t="shared" si="77"/>
        <v>728.67186393203224</v>
      </c>
      <c r="FJ70" s="59">
        <f ca="1">AVERAGE(OFFSET($FI$3,0,0,'Données projet'!$E$16+1,1))-AVERAGE(OFFSET($H$3,0,0,'Données projet'!$E$16+1,1))</f>
        <v>219.43439115440339</v>
      </c>
      <c r="FK70" s="59">
        <f t="shared" si="102"/>
        <v>217.8880462742099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15.347275141445092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1.5413902207664778</v>
      </c>
      <c r="FT70" s="22">
        <f t="shared" si="78"/>
        <v>16.888665362211569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>
        <f>FZ70*VLOOKUP('Données projet'!$B$17,Paramètres!$A$1:$I$89,3,0)*VLOOKUP('Données projet'!$B$17,Paramètres!$A$1:$I$89,5,0)</f>
        <v>0</v>
      </c>
      <c r="GB70" s="13" t="e">
        <f t="shared" si="103"/>
        <v>#NUM!</v>
      </c>
      <c r="GC70" s="20" t="e">
        <f t="shared" si="79"/>
        <v>#NUM!</v>
      </c>
      <c r="GD70" s="59" t="e">
        <f t="shared" si="80"/>
        <v>#NUM!</v>
      </c>
      <c r="GE70" s="59">
        <f ca="1">AVERAGE(OFFSET($GD$3,0,0,'Données projet'!$E$17+1,1))-AVERAGE(OFFSET($H$3,0,0,'Données projet'!$E$17+1,1))</f>
        <v>191.77102466144095</v>
      </c>
      <c r="GF70" s="59">
        <f t="shared" si="104"/>
        <v>205.57161411620217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101.17778527171848</v>
      </c>
      <c r="GM70" s="21">
        <f>EXP(-LN(2)/25)*GM69+(1-EXP(-LN(2)/25))/(LN(2)/25)*Calculateur!GH70*Calculateur!GJ70*VLOOKUP('Données projet'!$B$17,Paramètres!$A$1:$I$89,3,0)*0.475*44/12</f>
        <v>20.022579087957592</v>
      </c>
      <c r="GN70" s="21">
        <f>EXP(-LN(2)/2)*GN69+(1-EXP(-LN(2)/2))/(LN(2)/2)*GH70*GK70*VLOOKUP('Données projet'!$B$17,Paramètres!$A$1:$I$89,3,0)*0.475*44/12</f>
        <v>3.7974779831360483</v>
      </c>
      <c r="GO70" s="21">
        <f t="shared" si="81"/>
        <v>124.99784234281212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84.31577618130467</v>
      </c>
      <c r="T71" s="59">
        <f t="shared" si="88"/>
        <v>527.2140904310653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57.613698367938035</v>
      </c>
      <c r="AA71" s="21">
        <f>EXP(-LN(2)/25)*AA70+(1-EXP(-LN(2)/25))/(LN(2)/25)*Calculateur!V71*Calculateur!X71*VLOOKUP('Données projet'!$B$9,Paramètres!$A$1:$I$89,3,0)*0.475*44/12</f>
        <v>12.290091305478937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69.903789673416966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6.333333333333333</v>
      </c>
      <c r="AI71" s="13">
        <f>IF('Données projet'!$A$62&gt;35,AI70+AH71-AQ70,IF(A71&lt;'Données projet'!$A$62,$AF$205^A71,IF(A71='Données projet'!$A$62,'Données projet'!$B$62,AI70+AH71-AQ70)))</f>
        <v>163.66666666666669</v>
      </c>
      <c r="AJ71" s="13">
        <f>AI71*VLOOKUP('Données projet'!$B$10,Paramètres!$A$1:$I$89,3,0)*VLOOKUP('Données projet'!$B$10,Paramètres!$A$1:$I$89,5,0)</f>
        <v>148.08560000000003</v>
      </c>
      <c r="AK71" s="13">
        <f t="shared" si="89"/>
        <v>38.143206653313847</v>
      </c>
      <c r="AL71" s="20">
        <f t="shared" si="58"/>
        <v>324.34850492118829</v>
      </c>
      <c r="AM71" s="59">
        <f t="shared" si="59"/>
        <v>617.68183825452161</v>
      </c>
      <c r="AN71" s="59">
        <f ca="1">AVERAGE(OFFSET($AM$3,0,0,'Données projet'!$E$10+1,1))-AVERAGE(OFFSET($H$3,0,0,'Données projet'!$E$10+1,1))</f>
        <v>297.90790572649428</v>
      </c>
      <c r="AO71" s="59">
        <f t="shared" si="90"/>
        <v>142.96889776844506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15.046024035344736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15.046024035344736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6.333333333333333</v>
      </c>
      <c r="BD71" s="12">
        <f>IF('Données projet'!$A$88&gt;35,BD70+BC71-BL70,IF(A71&lt;'Données projet'!$A$88,$BA$205^A71,IF(A71='Données projet'!$A$88,'Données projet'!$B$88,BD70+BC71-BL70)))</f>
        <v>163.66666666666669</v>
      </c>
      <c r="BE71" s="13">
        <f>BD71*VLOOKUP('Données projet'!$B$11,Paramètres!$A$1:$I$89,3,0)*VLOOKUP('Données projet'!$B$11,Paramètres!$A$1:$I$89,5,0)</f>
        <v>165.95800000000003</v>
      </c>
      <c r="BF71" s="13">
        <f t="shared" si="91"/>
        <v>42.183486110523575</v>
      </c>
      <c r="BG71" s="20">
        <f t="shared" si="61"/>
        <v>362.51308830916196</v>
      </c>
      <c r="BH71" s="59">
        <f t="shared" si="62"/>
        <v>655.84642164249522</v>
      </c>
      <c r="BI71" s="59">
        <f ca="1">AVERAGE(OFFSET($BH$3,0,0,'Données projet'!$E$11+1,1))-AVERAGE(OFFSET($H$3,0,0,'Données projet'!$E$11+1,1))</f>
        <v>345.3294887586967</v>
      </c>
      <c r="BJ71" s="59">
        <f t="shared" si="92"/>
        <v>164.23448598618114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16.861923487886344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16.861923487886344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12.875</v>
      </c>
      <c r="BY71" s="12">
        <f>IF('Données projet'!$A$114&gt;35,BY70+BX71-CG70,IF(A71&lt;'Données projet'!$A$114,$BV$205^A71,IF(A71='Données projet'!$A$114,'Données projet'!$B$114,BY70+BX71-CG70)))</f>
        <v>455.74999999999994</v>
      </c>
      <c r="BZ71" s="13">
        <f>BY71*VLOOKUP('Données projet'!$B$12,Paramètres!$A$1:$I$89,3,0)*VLOOKUP('Données projet'!$B$12,Paramètres!$A$1:$I$89,5,0)</f>
        <v>272.5385</v>
      </c>
      <c r="CA71" s="13">
        <f t="shared" si="93"/>
        <v>65.387709293034902</v>
      </c>
      <c r="CB71" s="20">
        <f t="shared" si="64"/>
        <v>588.55481451870241</v>
      </c>
      <c r="CC71" s="59">
        <f t="shared" si="65"/>
        <v>881.88814785203567</v>
      </c>
      <c r="CD71" s="59">
        <f ca="1">AVERAGE(OFFSET($CC$3,0,0,'Données projet'!$E$12+1,1))-AVERAGE(OFFSET($H$3,0,0,'Données projet'!$E$12+1,1))</f>
        <v>289.07218105343333</v>
      </c>
      <c r="CE71" s="59">
        <f t="shared" si="94"/>
        <v>217.57508587672368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16.192565238946095</v>
      </c>
      <c r="CL71" s="21">
        <f>EXP(-LN(2)/25)*CL70+(1-EXP(-LN(2)/25))/(LN(2)/25)*Calculateur!CG71*Calculateur!CI71*VLOOKUP('Données projet'!$B$12,Paramètres!$A$1:$I$89,3,0)*0.475*44/12</f>
        <v>39.817795476738539</v>
      </c>
      <c r="CM71" s="21">
        <f>EXP(-LN(2)/2)*CM70+(1-EXP(-LN(2)/2))/(LN(2)/2)*CG71*CJ71*VLOOKUP('Données projet'!$B$12,Paramètres!$A$1:$I$89,3,0)*0.475*44/12</f>
        <v>7.130399709190284</v>
      </c>
      <c r="CN71" s="22">
        <f t="shared" si="66"/>
        <v>63.140760424874919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3.3</v>
      </c>
      <c r="CT71" s="12">
        <f>IF('Données projet'!$A$140&gt;35,CT70+CS71-DB70,IF(A71&lt;'Données projet'!$A$140,$CQ$205^A71,IF(A71='Données projet'!$A$140,'Données projet'!$B$140,CT70+CS71-DB70)))</f>
        <v>242.40000000000015</v>
      </c>
      <c r="CU71" s="17">
        <f>CT71*VLOOKUP('Données projet'!$B$13,Paramètres!$A$1:$I$89,3,0)*VLOOKUP('Données projet'!$B$13,Paramètres!$A$1:$I$89,5,0)</f>
        <v>211.76064000000014</v>
      </c>
      <c r="CV71" s="13">
        <f t="shared" si="95"/>
        <v>52.320142683061377</v>
      </c>
      <c r="CW71" s="20">
        <f t="shared" si="67"/>
        <v>459.94069650633213</v>
      </c>
      <c r="CX71" s="59">
        <f t="shared" si="68"/>
        <v>753.27402983966545</v>
      </c>
      <c r="CY71" s="59">
        <f ca="1">AVERAGE(OFFSET($CX$3,0,0,'Données projet'!$E$13+1,1))-AVERAGE(OFFSET($H$3,0,0,'Données projet'!$E$13+1,1))</f>
        <v>237.8483058552178</v>
      </c>
      <c r="CZ71" s="59">
        <f t="shared" si="96"/>
        <v>313.36201272119723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15.898707709624812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0.2844127173496972</v>
      </c>
      <c r="DI71" s="22">
        <f t="shared" si="69"/>
        <v>16.183120426974508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6.333333333333333</v>
      </c>
      <c r="DO71" s="12">
        <f>IF('Données projet'!$A$166&gt;35,DO70+DN71-DW70,IF(A71&lt;'Données projet'!$A$166,$DL$205^A71,IF(A71='Données projet'!$A$166,'Données projet'!$B$166,DO70+DN71-DW70)))</f>
        <v>163.66666666666669</v>
      </c>
      <c r="DP71" s="17">
        <f>DO71*VLOOKUP('Données projet'!$B$14,Paramètres!$A$1:$I$89,3,0)*VLOOKUP('Données projet'!$B$14,Paramètres!$A$1:$I$89,5,0)</f>
        <v>158.29840000000002</v>
      </c>
      <c r="DQ71" s="13">
        <f t="shared" si="97"/>
        <v>40.458476275389849</v>
      </c>
      <c r="DR71" s="20">
        <f t="shared" si="70"/>
        <v>346.16822617963732</v>
      </c>
      <c r="DS71" s="59">
        <f t="shared" si="71"/>
        <v>639.50155951297063</v>
      </c>
      <c r="DT71" s="59">
        <f ca="1">AVERAGE(OFFSET($DS$3,0,0,'Données projet'!$E$14+1,1))-AVERAGE(OFFSET($H$3,0,0,'Données projet'!$E$14+1,1))</f>
        <v>325.01961068962373</v>
      </c>
      <c r="DU71" s="59">
        <f t="shared" si="98"/>
        <v>155.12737608540039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16.08368086536851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16.08368086536851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3.8</v>
      </c>
      <c r="EJ71" s="12">
        <f>IF('Données projet'!$A$192&gt;35,EJ70+EI71-ER70,IF(A71&lt;'Données projet'!$A$192,$EG$205^A71,IF(A71='Données projet'!$A$192,'Données projet'!$B$192,EJ70+EI71-ER70)))</f>
        <v>255.39999999999986</v>
      </c>
      <c r="EK71" s="17">
        <f>EJ71*VLOOKUP('Données projet'!$B$15,Paramètres!$A$1:$I$89,3,0)*VLOOKUP('Données projet'!$B$15,Paramètres!$A$1:$I$89,5,0)</f>
        <v>171.32231999999993</v>
      </c>
      <c r="EL71" s="13">
        <f t="shared" si="99"/>
        <v>43.386045594244571</v>
      </c>
      <c r="EM71" s="20">
        <f t="shared" si="73"/>
        <v>373.95040340997576</v>
      </c>
      <c r="EN71" s="59">
        <f t="shared" si="74"/>
        <v>667.28373674330908</v>
      </c>
      <c r="EO71" s="59">
        <f ca="1">AVERAGE(OFFSET($EN$3,0,0,'Données projet'!$E$15+1,1))-AVERAGE(OFFSET($H$3,0,0,'Données projet'!$E$15+1,1))</f>
        <v>178.09619481964575</v>
      </c>
      <c r="EP71" s="59">
        <f t="shared" si="100"/>
        <v>178.65167777495174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12.686116682037246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0.91895846147098148</v>
      </c>
      <c r="EY71" s="22">
        <f t="shared" si="75"/>
        <v>13.605075143508229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3.8</v>
      </c>
      <c r="FE71" s="12">
        <f>IF('Données projet'!$A$218&gt;35,FE70+FD71-FM70,IF(A71&lt;'Données projet'!$A$218,$FB$205^A71,IF(A71='Données projet'!$A$218,'Données projet'!$B$218,FE70+FD71-FM70)))</f>
        <v>255.39999999999986</v>
      </c>
      <c r="FF71" s="17">
        <f>FE71*VLOOKUP('Données projet'!$B$16,Paramètres!$A$1:$I$89,3,0)*VLOOKUP('Données projet'!$B$16,Paramètres!$A$1:$I$89,5,0)</f>
        <v>203.1962399999999</v>
      </c>
      <c r="FG71" s="13">
        <f t="shared" si="101"/>
        <v>50.445955049216174</v>
      </c>
      <c r="FH71" s="20">
        <f t="shared" si="76"/>
        <v>441.76015637738465</v>
      </c>
      <c r="FI71" s="59">
        <f t="shared" si="77"/>
        <v>735.0934897107179</v>
      </c>
      <c r="FJ71" s="59">
        <f ca="1">AVERAGE(OFFSET($FI$3,0,0,'Données projet'!$E$16+1,1))-AVERAGE(OFFSET($H$3,0,0,'Données projet'!$E$16+1,1))</f>
        <v>219.43439115440339</v>
      </c>
      <c r="FK71" s="59">
        <f t="shared" si="102"/>
        <v>217.8880462742099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15.046324436834876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1.0899274775586061</v>
      </c>
      <c r="FT71" s="22">
        <f t="shared" si="78"/>
        <v>16.136251914393483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>
        <f>FZ71*VLOOKUP('Données projet'!$B$17,Paramètres!$A$1:$I$89,3,0)*VLOOKUP('Données projet'!$B$17,Paramètres!$A$1:$I$89,5,0)</f>
        <v>0</v>
      </c>
      <c r="GB71" s="13" t="e">
        <f t="shared" si="103"/>
        <v>#NUM!</v>
      </c>
      <c r="GC71" s="20" t="e">
        <f t="shared" si="79"/>
        <v>#NUM!</v>
      </c>
      <c r="GD71" s="59" t="e">
        <f t="shared" si="80"/>
        <v>#NUM!</v>
      </c>
      <c r="GE71" s="59">
        <f ca="1">AVERAGE(OFFSET($GD$3,0,0,'Données projet'!$E$17+1,1))-AVERAGE(OFFSET($H$3,0,0,'Données projet'!$E$17+1,1))</f>
        <v>191.77102466144095</v>
      </c>
      <c r="GF71" s="59">
        <f t="shared" si="104"/>
        <v>205.57161411620217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99.193750614895507</v>
      </c>
      <c r="GM71" s="21">
        <f>EXP(-LN(2)/25)*GM70+(1-EXP(-LN(2)/25))/(LN(2)/25)*Calculateur!GH71*Calculateur!GJ71*VLOOKUP('Données projet'!$B$17,Paramètres!$A$1:$I$89,3,0)*0.475*44/12</f>
        <v>19.475060609855721</v>
      </c>
      <c r="GN71" s="21">
        <f>EXP(-LN(2)/2)*GN70+(1-EXP(-LN(2)/2))/(LN(2)/2)*GH71*GK71*VLOOKUP('Données projet'!$B$17,Paramètres!$A$1:$I$89,3,0)*0.475*44/12</f>
        <v>2.6852224332821137</v>
      </c>
      <c r="GO71" s="21">
        <f t="shared" si="81"/>
        <v>121.35403365803333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84.31577618130467</v>
      </c>
      <c r="T72" s="59">
        <f t="shared" si="88"/>
        <v>527.2140904310653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56.483928883828902</v>
      </c>
      <c r="AA72" s="21">
        <f>EXP(-LN(2)/25)*AA71+(1-EXP(-LN(2)/25))/(LN(2)/25)*Calculateur!V72*Calculateur!X72*VLOOKUP('Données projet'!$B$9,Paramètres!$A$1:$I$89,3,0)*0.475*44/12</f>
        <v>11.954018112422803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68.437946996251711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6.333333333333333</v>
      </c>
      <c r="AI72" s="13">
        <f>IF('Données projet'!$A$62&gt;35,AI71+AH72-AQ71,IF(A72&lt;'Données projet'!$A$62,$AF$205^A72,IF(A72='Données projet'!$A$62,'Données projet'!$B$62,AI71+AH72-AQ71)))</f>
        <v>170.00000000000003</v>
      </c>
      <c r="AJ72" s="13">
        <f>AI72*VLOOKUP('Données projet'!$B$10,Paramètres!$A$1:$I$89,3,0)*VLOOKUP('Données projet'!$B$10,Paramètres!$A$1:$I$89,5,0)</f>
        <v>153.81600000000003</v>
      </c>
      <c r="AK72" s="13">
        <f t="shared" si="89"/>
        <v>39.444513325737063</v>
      </c>
      <c r="AL72" s="20">
        <f t="shared" si="58"/>
        <v>336.59539404232538</v>
      </c>
      <c r="AM72" s="59">
        <f t="shared" si="59"/>
        <v>629.9287273756587</v>
      </c>
      <c r="AN72" s="59">
        <f ca="1">AVERAGE(OFFSET($AM$3,0,0,'Données projet'!$E$10+1,1))-AVERAGE(OFFSET($H$3,0,0,'Données projet'!$E$10+1,1))</f>
        <v>297.90790572649428</v>
      </c>
      <c r="AO72" s="59">
        <f t="shared" si="90"/>
        <v>142.96889776844506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14.634589716862218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14.634589716862218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6.333333333333333</v>
      </c>
      <c r="BD72" s="12">
        <f>IF('Données projet'!$A$88&gt;35,BD71+BC72-BL71,IF(A72&lt;'Données projet'!$A$88,$BA$205^A72,IF(A72='Données projet'!$A$88,'Données projet'!$B$88,BD71+BC72-BL71)))</f>
        <v>170.00000000000003</v>
      </c>
      <c r="BE72" s="13">
        <f>BD72*VLOOKUP('Données projet'!$B$11,Paramètres!$A$1:$I$89,3,0)*VLOOKUP('Données projet'!$B$11,Paramètres!$A$1:$I$89,5,0)</f>
        <v>172.38000000000005</v>
      </c>
      <c r="BF72" s="13">
        <f t="shared" si="91"/>
        <v>43.622632337547088</v>
      </c>
      <c r="BG72" s="20">
        <f t="shared" si="61"/>
        <v>376.2045846545613</v>
      </c>
      <c r="BH72" s="59">
        <f t="shared" si="62"/>
        <v>669.53791798789462</v>
      </c>
      <c r="BI72" s="59">
        <f ca="1">AVERAGE(OFFSET($BH$3,0,0,'Données projet'!$E$11+1,1))-AVERAGE(OFFSET($H$3,0,0,'Données projet'!$E$11+1,1))</f>
        <v>345.3294887586967</v>
      </c>
      <c r="BJ72" s="59">
        <f t="shared" si="92"/>
        <v>164.23448598618114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16.400833303380075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16.400833303380075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12.875</v>
      </c>
      <c r="BY72" s="12">
        <f>IF('Données projet'!$A$114&gt;35,BY71+BX72-CG71,IF(A72&lt;'Données projet'!$A$114,$BV$205^A72,IF(A72='Données projet'!$A$114,'Données projet'!$B$114,BY71+BX72-CG71)))</f>
        <v>468.62499999999994</v>
      </c>
      <c r="BZ72" s="13">
        <f>BY72*VLOOKUP('Données projet'!$B$12,Paramètres!$A$1:$I$89,3,0)*VLOOKUP('Données projet'!$B$12,Paramètres!$A$1:$I$89,5,0)</f>
        <v>280.23775000000001</v>
      </c>
      <c r="CA72" s="13">
        <f t="shared" si="93"/>
        <v>67.017249808465152</v>
      </c>
      <c r="CB72" s="20">
        <f t="shared" si="64"/>
        <v>604.80245799974352</v>
      </c>
      <c r="CC72" s="59">
        <f t="shared" si="65"/>
        <v>898.1357913330769</v>
      </c>
      <c r="CD72" s="59">
        <f ca="1">AVERAGE(OFFSET($CC$3,0,0,'Données projet'!$E$12+1,1))-AVERAGE(OFFSET($H$3,0,0,'Données projet'!$E$12+1,1))</f>
        <v>289.07218105343333</v>
      </c>
      <c r="CE72" s="59">
        <f t="shared" si="94"/>
        <v>217.57508587672368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15.875038911099935</v>
      </c>
      <c r="CL72" s="21">
        <f>EXP(-LN(2)/25)*CL71+(1-EXP(-LN(2)/25))/(LN(2)/25)*Calculateur!CG72*Calculateur!CI72*VLOOKUP('Données projet'!$B$12,Paramètres!$A$1:$I$89,3,0)*0.475*44/12</f>
        <v>38.728975765500266</v>
      </c>
      <c r="CM72" s="21">
        <f>EXP(-LN(2)/2)*CM71+(1-EXP(-LN(2)/2))/(LN(2)/2)*CG72*CJ72*VLOOKUP('Données projet'!$B$12,Paramètres!$A$1:$I$89,3,0)*0.475*44/12</f>
        <v>5.0419539869390366</v>
      </c>
      <c r="CN72" s="22">
        <f t="shared" si="66"/>
        <v>59.645968663539236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3.3</v>
      </c>
      <c r="CT72" s="12">
        <f>IF('Données projet'!$A$140&gt;35,CT71+CS72-DB71,IF(A72&lt;'Données projet'!$A$140,$CQ$205^A72,IF(A72='Données projet'!$A$140,'Données projet'!$B$140,CT71+CS72-DB71)))</f>
        <v>245.70000000000016</v>
      </c>
      <c r="CU72" s="17">
        <f>CT72*VLOOKUP('Données projet'!$B$13,Paramètres!$A$1:$I$89,3,0)*VLOOKUP('Données projet'!$B$13,Paramètres!$A$1:$I$89,5,0)</f>
        <v>214.64352000000017</v>
      </c>
      <c r="CV72" s="13">
        <f t="shared" si="95"/>
        <v>52.949016399550956</v>
      </c>
      <c r="CW72" s="20">
        <f t="shared" si="67"/>
        <v>466.05700089588487</v>
      </c>
      <c r="CX72" s="59">
        <f t="shared" si="68"/>
        <v>759.39033422921818</v>
      </c>
      <c r="CY72" s="59">
        <f ca="1">AVERAGE(OFFSET($CX$3,0,0,'Données projet'!$E$13+1,1))-AVERAGE(OFFSET($H$3,0,0,'Données projet'!$E$13+1,1))</f>
        <v>237.8483058552178</v>
      </c>
      <c r="CZ72" s="59">
        <f t="shared" si="96"/>
        <v>313.36201272119723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15.586943748693248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0.20111016109366373</v>
      </c>
      <c r="DI72" s="22">
        <f t="shared" si="69"/>
        <v>15.788053909786912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6.333333333333333</v>
      </c>
      <c r="DO72" s="12">
        <f>IF('Données projet'!$A$166&gt;35,DO71+DN72-DW71,IF(A72&lt;'Données projet'!$A$166,$DL$205^A72,IF(A72='Données projet'!$A$166,'Données projet'!$B$166,DO71+DN72-DW71)))</f>
        <v>170.00000000000003</v>
      </c>
      <c r="DP72" s="17">
        <f>DO72*VLOOKUP('Données projet'!$B$14,Paramètres!$A$1:$I$89,3,0)*VLOOKUP('Données projet'!$B$14,Paramètres!$A$1:$I$89,5,0)</f>
        <v>164.42400000000004</v>
      </c>
      <c r="DQ72" s="13">
        <f t="shared" si="97"/>
        <v>41.838771477410226</v>
      </c>
      <c r="DR72" s="20">
        <f t="shared" si="70"/>
        <v>359.24099365648954</v>
      </c>
      <c r="DS72" s="59">
        <f t="shared" si="71"/>
        <v>652.57432698982279</v>
      </c>
      <c r="DT72" s="59">
        <f ca="1">AVERAGE(OFFSET($DS$3,0,0,'Données projet'!$E$14+1,1))-AVERAGE(OFFSET($H$3,0,0,'Données projet'!$E$14+1,1))</f>
        <v>325.01961068962373</v>
      </c>
      <c r="DU72" s="59">
        <f t="shared" si="98"/>
        <v>155.12737608540039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15.643871766300991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15.643871766300991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3.8</v>
      </c>
      <c r="EJ72" s="12">
        <f>IF('Données projet'!$A$192&gt;35,EJ71+EI72-ER71,IF(A72&lt;'Données projet'!$A$192,$EG$205^A72,IF(A72='Données projet'!$A$192,'Données projet'!$B$192,EJ71+EI72-ER71)))</f>
        <v>259.19999999999987</v>
      </c>
      <c r="EK72" s="17">
        <f>EJ72*VLOOKUP('Données projet'!$B$15,Paramètres!$A$1:$I$89,3,0)*VLOOKUP('Données projet'!$B$15,Paramètres!$A$1:$I$89,5,0)</f>
        <v>173.87135999999992</v>
      </c>
      <c r="EL72" s="13">
        <f t="shared" si="99"/>
        <v>43.955939893839918</v>
      </c>
      <c r="EM72" s="20">
        <f t="shared" si="73"/>
        <v>379.38254731510438</v>
      </c>
      <c r="EN72" s="59">
        <f t="shared" si="74"/>
        <v>672.71588064843763</v>
      </c>
      <c r="EO72" s="59">
        <f ca="1">AVERAGE(OFFSET($EN$3,0,0,'Données projet'!$E$15+1,1))-AVERAGE(OFFSET($H$3,0,0,'Données projet'!$E$15+1,1))</f>
        <v>178.09619481964575</v>
      </c>
      <c r="EP72" s="59">
        <f t="shared" si="100"/>
        <v>178.65167777495174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12.437349671669631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0.64980175973488774</v>
      </c>
      <c r="EY72" s="22">
        <f t="shared" si="75"/>
        <v>13.08715143140452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3.8</v>
      </c>
      <c r="FE72" s="12">
        <f>IF('Données projet'!$A$218&gt;35,FE71+FD72-FM71,IF(A72&lt;'Données projet'!$A$218,$FB$205^A72,IF(A72='Données projet'!$A$218,'Données projet'!$B$218,FE71+FD72-FM71)))</f>
        <v>259.19999999999987</v>
      </c>
      <c r="FF72" s="17">
        <f>FE72*VLOOKUP('Données projet'!$B$16,Paramètres!$A$1:$I$89,3,0)*VLOOKUP('Données projet'!$B$16,Paramètres!$A$1:$I$89,5,0)</f>
        <v>206.21951999999993</v>
      </c>
      <c r="FG72" s="13">
        <f t="shared" si="101"/>
        <v>51.10858428464028</v>
      </c>
      <c r="FH72" s="20">
        <f t="shared" si="76"/>
        <v>448.17978162908167</v>
      </c>
      <c r="FI72" s="59">
        <f t="shared" si="77"/>
        <v>741.51311496241499</v>
      </c>
      <c r="FJ72" s="59">
        <f ca="1">AVERAGE(OFFSET($FI$3,0,0,'Données projet'!$E$16+1,1))-AVERAGE(OFFSET($H$3,0,0,'Données projet'!$E$16+1,1))</f>
        <v>219.43439115440339</v>
      </c>
      <c r="FK72" s="59">
        <f t="shared" si="102"/>
        <v>217.8880462742099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14.751275191980262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0.77069511038323901</v>
      </c>
      <c r="FT72" s="22">
        <f t="shared" si="78"/>
        <v>15.521970302363501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>
        <f>FZ72*VLOOKUP('Données projet'!$B$17,Paramètres!$A$1:$I$89,3,0)*VLOOKUP('Données projet'!$B$17,Paramètres!$A$1:$I$89,5,0)</f>
        <v>0</v>
      </c>
      <c r="GB72" s="13" t="e">
        <f t="shared" si="103"/>
        <v>#NUM!</v>
      </c>
      <c r="GC72" s="20" t="e">
        <f t="shared" si="79"/>
        <v>#NUM!</v>
      </c>
      <c r="GD72" s="59" t="e">
        <f t="shared" si="80"/>
        <v>#NUM!</v>
      </c>
      <c r="GE72" s="59">
        <f ca="1">AVERAGE(OFFSET($GD$3,0,0,'Données projet'!$E$17+1,1))-AVERAGE(OFFSET($H$3,0,0,'Données projet'!$E$17+1,1))</f>
        <v>191.77102466144095</v>
      </c>
      <c r="GF72" s="59">
        <f t="shared" si="104"/>
        <v>205.57161411620217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97.248621667551177</v>
      </c>
      <c r="GM72" s="21">
        <f>EXP(-LN(2)/25)*GM71+(1-EXP(-LN(2)/25))/(LN(2)/25)*Calculateur!GH72*Calculateur!GJ72*VLOOKUP('Données projet'!$B$17,Paramètres!$A$1:$I$89,3,0)*0.475*44/12</f>
        <v>18.942514053330289</v>
      </c>
      <c r="GN72" s="21">
        <f>EXP(-LN(2)/2)*GN71+(1-EXP(-LN(2)/2))/(LN(2)/2)*GH72*GK72*VLOOKUP('Données projet'!$B$17,Paramètres!$A$1:$I$89,3,0)*0.475*44/12</f>
        <v>1.8987389915680244</v>
      </c>
      <c r="GO72" s="21">
        <f t="shared" si="81"/>
        <v>118.08987471244949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84.31577618130467</v>
      </c>
      <c r="T73" s="59">
        <f t="shared" si="88"/>
        <v>527.2140904310653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55.376313490211807</v>
      </c>
      <c r="AA73" s="21">
        <f>EXP(-LN(2)/25)*AA72+(1-EXP(-LN(2)/25))/(LN(2)/25)*Calculateur!V73*Calculateur!X73*VLOOKUP('Données projet'!$B$9,Paramètres!$A$1:$I$89,3,0)*0.475*44/12</f>
        <v>11.62713485850411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67.003448348715921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6.333333333333333</v>
      </c>
      <c r="AI73" s="13">
        <f>IF('Données projet'!$A$62&gt;35,AI72+AH73-AQ72,IF(A73&lt;'Données projet'!$A$62,$AF$205^A73,IF(A73='Données projet'!$A$62,'Données projet'!$B$62,AI72+AH73-AQ72)))</f>
        <v>176.33333333333337</v>
      </c>
      <c r="AJ73" s="13">
        <f>AI73*VLOOKUP('Données projet'!$B$10,Paramètres!$A$1:$I$89,3,0)*VLOOKUP('Données projet'!$B$10,Paramètres!$A$1:$I$89,5,0)</f>
        <v>159.54640000000003</v>
      </c>
      <c r="AK73" s="13">
        <f t="shared" si="89"/>
        <v>40.740187761744636</v>
      </c>
      <c r="AL73" s="20">
        <f t="shared" si="58"/>
        <v>348.83247368503862</v>
      </c>
      <c r="AM73" s="59">
        <f t="shared" si="59"/>
        <v>642.16580701837188</v>
      </c>
      <c r="AN73" s="59">
        <f ca="1">AVERAGE(OFFSET($AM$3,0,0,'Données projet'!$E$10+1,1))-AVERAGE(OFFSET($H$3,0,0,'Données projet'!$E$10+1,1))</f>
        <v>297.90790572649428</v>
      </c>
      <c r="AO73" s="59">
        <f t="shared" si="90"/>
        <v>142.96889776844506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14.234406091454995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14.234406091454995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6.333333333333333</v>
      </c>
      <c r="BD73" s="12">
        <f>IF('Données projet'!$A$88&gt;35,BD72+BC73-BL72,IF(A73&lt;'Données projet'!$A$88,$BA$205^A73,IF(A73='Données projet'!$A$88,'Données projet'!$B$88,BD72+BC73-BL72)))</f>
        <v>176.33333333333337</v>
      </c>
      <c r="BE73" s="13">
        <f>BD73*VLOOKUP('Données projet'!$B$11,Paramètres!$A$1:$I$89,3,0)*VLOOKUP('Données projet'!$B$11,Paramètres!$A$1:$I$89,5,0)</f>
        <v>178.80200000000005</v>
      </c>
      <c r="BF73" s="13">
        <f t="shared" si="91"/>
        <v>45.055549739375941</v>
      </c>
      <c r="BG73" s="20">
        <f t="shared" si="61"/>
        <v>389.8852324627465</v>
      </c>
      <c r="BH73" s="59">
        <f t="shared" si="62"/>
        <v>683.21856579607982</v>
      </c>
      <c r="BI73" s="59">
        <f ca="1">AVERAGE(OFFSET($BH$3,0,0,'Données projet'!$E$11+1,1))-AVERAGE(OFFSET($H$3,0,0,'Données projet'!$E$11+1,1))</f>
        <v>345.3294887586967</v>
      </c>
      <c r="BJ73" s="59">
        <f t="shared" si="92"/>
        <v>164.23448598618114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15.952351654216809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15.952351654216809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12.875</v>
      </c>
      <c r="BY73" s="12">
        <f>IF('Données projet'!$A$114&gt;35,BY72+BX73-CG72,IF(A73&lt;'Données projet'!$A$114,$BV$205^A73,IF(A73='Données projet'!$A$114,'Données projet'!$B$114,BY72+BX73-CG72)))</f>
        <v>481.49999999999994</v>
      </c>
      <c r="BZ73" s="13">
        <f>BY73*VLOOKUP('Données projet'!$B$12,Paramètres!$A$1:$I$89,3,0)*VLOOKUP('Données projet'!$B$12,Paramètres!$A$1:$I$89,5,0)</f>
        <v>287.93700000000001</v>
      </c>
      <c r="CA73" s="13">
        <f t="shared" si="93"/>
        <v>68.641586729718156</v>
      </c>
      <c r="CB73" s="20">
        <f t="shared" si="64"/>
        <v>621.04103855425899</v>
      </c>
      <c r="CC73" s="59">
        <f t="shared" si="65"/>
        <v>914.37437188759236</v>
      </c>
      <c r="CD73" s="59">
        <f ca="1">AVERAGE(OFFSET($CC$3,0,0,'Données projet'!$E$12+1,1))-AVERAGE(OFFSET($H$3,0,0,'Données projet'!$E$12+1,1))</f>
        <v>289.07218105343333</v>
      </c>
      <c r="CE73" s="59">
        <f t="shared" si="94"/>
        <v>217.57508587672368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15.563739080870903</v>
      </c>
      <c r="CL73" s="21">
        <f>EXP(-LN(2)/25)*CL72+(1-EXP(-LN(2)/25))/(LN(2)/25)*Calculateur!CG73*Calculateur!CI73*VLOOKUP('Données projet'!$B$12,Paramètres!$A$1:$I$89,3,0)*0.475*44/12</f>
        <v>37.669929886524343</v>
      </c>
      <c r="CM73" s="21">
        <f>EXP(-LN(2)/2)*CM72+(1-EXP(-LN(2)/2))/(LN(2)/2)*CG73*CJ73*VLOOKUP('Données projet'!$B$12,Paramètres!$A$1:$I$89,3,0)*0.475*44/12</f>
        <v>3.5651998545951424</v>
      </c>
      <c r="CN73" s="22">
        <f t="shared" si="66"/>
        <v>56.798868821990389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249</v>
      </c>
      <c r="CR73" s="12">
        <f>VLOOKUP(A73,'Données projet'!$A$139:$I$159,9,0)</f>
        <v>3.3</v>
      </c>
      <c r="CS73" s="12">
        <f t="array" ref="CS73">INDEX(CR:CR,MIN(IF(ISNUMBER(CR73:CR269),ROW(CR73:CR269),"")))</f>
        <v>3.3</v>
      </c>
      <c r="CT73" s="12">
        <f>IF('Données projet'!$A$140&gt;35,CT72+CS73-DB72,IF(A73&lt;'Données projet'!$A$140,$CQ$205^A73,IF(A73='Données projet'!$A$140,'Données projet'!$B$140,CT72+CS73-DB72)))</f>
        <v>249.00000000000017</v>
      </c>
      <c r="CU73" s="17">
        <f>CT73*VLOOKUP('Données projet'!$B$13,Paramètres!$A$1:$I$89,3,0)*VLOOKUP('Données projet'!$B$13,Paramètres!$A$1:$I$89,5,0)</f>
        <v>217.52640000000019</v>
      </c>
      <c r="CV73" s="13">
        <f t="shared" si="95"/>
        <v>53.576907690651304</v>
      </c>
      <c r="CW73" s="20">
        <f t="shared" si="67"/>
        <v>472.17159422788467</v>
      </c>
      <c r="CX73" s="59">
        <f t="shared" si="68"/>
        <v>765.50492756121798</v>
      </c>
      <c r="CY73" s="59">
        <f ca="1">AVERAGE(OFFSET($CX$3,0,0,'Données projet'!$E$13+1,1))-AVERAGE(OFFSET($H$3,0,0,'Données projet'!$E$13+1,1))</f>
        <v>237.8483058552178</v>
      </c>
      <c r="CZ73" s="59">
        <f t="shared" si="96"/>
        <v>313.36201272119723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249</v>
      </c>
      <c r="DC73" s="16">
        <f>IF(ISNA(VLOOKUP(A73,'Données projet'!$A$139:$I$159,5,0)),0%,VLOOKUP(A73,'Données projet'!$A$139:$I$159,5,0)*VLOOKUP('Données projet'!$B$13,Paramètres!$A$1:$I$89,7,0))</f>
        <v>0.30099999999999999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0.2</v>
      </c>
      <c r="DF73" s="21">
        <f>EXP(-LN(2)/35)*DF72+(1-EXP(-LN(2)/35))/(LN(2)/35)*DB73*DC73*VLOOKUP('Données projet'!$B$13,Paramètres!$A$1:$I$89,3,0)*0.475*44/12</f>
        <v>87.662459870775663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41.190608966118361</v>
      </c>
      <c r="DI73" s="22">
        <f t="shared" si="69"/>
        <v>128.85306883689401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6.333333333333333</v>
      </c>
      <c r="DO73" s="12">
        <f>IF('Données projet'!$A$166&gt;35,DO72+DN73-DW72,IF(A73&lt;'Données projet'!$A$166,$DL$205^A73,IF(A73='Données projet'!$A$166,'Données projet'!$B$166,DO72+DN73-DW72)))</f>
        <v>176.33333333333337</v>
      </c>
      <c r="DP73" s="17">
        <f>DO73*VLOOKUP('Données projet'!$B$14,Paramètres!$A$1:$I$89,3,0)*VLOOKUP('Données projet'!$B$14,Paramètres!$A$1:$I$89,5,0)</f>
        <v>170.54960000000005</v>
      </c>
      <c r="DQ73" s="13">
        <f t="shared" si="97"/>
        <v>43.213092569663949</v>
      </c>
      <c r="DR73" s="20">
        <f t="shared" si="70"/>
        <v>372.30335622549819</v>
      </c>
      <c r="DS73" s="59">
        <f t="shared" si="71"/>
        <v>665.63668955883145</v>
      </c>
      <c r="DT73" s="59">
        <f ca="1">AVERAGE(OFFSET($DS$3,0,0,'Données projet'!$E$14+1,1))-AVERAGE(OFFSET($H$3,0,0,'Données projet'!$E$14+1,1))</f>
        <v>325.01961068962373</v>
      </c>
      <c r="DU73" s="59">
        <f t="shared" si="98"/>
        <v>155.12737608540039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15.216089270176029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15.216089270176029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263</v>
      </c>
      <c r="EH73" s="12">
        <f>VLOOKUP(A73,'Données projet'!$A$191:$I$211,9,0)</f>
        <v>3.8</v>
      </c>
      <c r="EI73" s="12">
        <f t="array" ref="EI73">INDEX(EH:EH,MIN(IF(ISNUMBER(EH73:EH269),ROW(EH73:EH269),"")))</f>
        <v>3.8</v>
      </c>
      <c r="EJ73" s="12">
        <f>IF('Données projet'!$A$192&gt;35,EJ72+EI73-ER72,IF(A73&lt;'Données projet'!$A$192,$EG$205^A73,IF(A73='Données projet'!$A$192,'Données projet'!$B$192,EJ72+EI73-ER72)))</f>
        <v>262.99999999999989</v>
      </c>
      <c r="EK73" s="17">
        <f>EJ73*VLOOKUP('Données projet'!$B$15,Paramètres!$A$1:$I$89,3,0)*VLOOKUP('Données projet'!$B$15,Paramètres!$A$1:$I$89,5,0)</f>
        <v>176.42039999999992</v>
      </c>
      <c r="EL73" s="13">
        <f t="shared" si="99"/>
        <v>44.5248624718784</v>
      </c>
      <c r="EM73" s="20">
        <f t="shared" si="73"/>
        <v>384.81299880518804</v>
      </c>
      <c r="EN73" s="59">
        <f t="shared" si="74"/>
        <v>678.1463321385213</v>
      </c>
      <c r="EO73" s="59">
        <f ca="1">AVERAGE(OFFSET($EN$3,0,0,'Données projet'!$E$15+1,1))-AVERAGE(OFFSET($H$3,0,0,'Données projet'!$E$15+1,1))</f>
        <v>178.09619481964575</v>
      </c>
      <c r="EP73" s="59">
        <f t="shared" si="100"/>
        <v>178.65167777495174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10</v>
      </c>
      <c r="ES73" s="16">
        <f>IF(ISNA(VLOOKUP(A73,'Données projet'!$A$191:$I$211,5,0)),0%,VLOOKUP(A73,'Données projet'!$A$191:$I$211,5,0)*VLOOKUP('Données projet'!$B$15,Paramètres!$A$1:$I$89,7,0))</f>
        <v>0.26500000000000001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0.3</v>
      </c>
      <c r="EV73" s="21">
        <f>EXP(-LN(2)/35)*EV72+(1-EXP(-LN(2)/35))/(LN(2)/35)*ER73*ES73*VLOOKUP('Données projet'!$B$15,Paramètres!$A$1:$I$89,3,0)*0.475*44/12</f>
        <v>14.158567086707794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2.3582327936873737</v>
      </c>
      <c r="EY73" s="22">
        <f t="shared" si="75"/>
        <v>16.516799880395169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263</v>
      </c>
      <c r="FC73" s="12">
        <f>VLOOKUP(A73,'Données projet'!$A$217:$I$237,9,0)</f>
        <v>3.8</v>
      </c>
      <c r="FD73" s="12">
        <f t="array" ref="FD73">INDEX(FC:FC,MIN(IF(ISNUMBER(FC73:FC269),ROW(FC73:FC269),"")))</f>
        <v>3.8</v>
      </c>
      <c r="FE73" s="12">
        <f>IF('Données projet'!$A$218&gt;35,FE72+FD73-FM72,IF(A73&lt;'Données projet'!$A$218,$FB$205^A73,IF(A73='Données projet'!$A$218,'Données projet'!$B$218,FE72+FD73-FM72)))</f>
        <v>262.99999999999989</v>
      </c>
      <c r="FF73" s="17">
        <f>FE73*VLOOKUP('Données projet'!$B$16,Paramètres!$A$1:$I$89,3,0)*VLOOKUP('Données projet'!$B$16,Paramètres!$A$1:$I$89,5,0)</f>
        <v>209.2427999999999</v>
      </c>
      <c r="FG73" s="13">
        <f t="shared" si="101"/>
        <v>51.770083677016814</v>
      </c>
      <c r="FH73" s="20">
        <f t="shared" si="76"/>
        <v>454.59743907080406</v>
      </c>
      <c r="FI73" s="59">
        <f t="shared" si="77"/>
        <v>747.93077240413731</v>
      </c>
      <c r="FJ73" s="59">
        <f ca="1">AVERAGE(OFFSET($FI$3,0,0,'Données projet'!$E$16+1,1))-AVERAGE(OFFSET($H$3,0,0,'Données projet'!$E$16+1,1))</f>
        <v>219.43439115440339</v>
      </c>
      <c r="FK73" s="59">
        <f t="shared" si="102"/>
        <v>217.8880462742099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10</v>
      </c>
      <c r="FN73" s="16">
        <f>IF(ISNA(VLOOKUP(A73,'Données projet'!$A$217:$I$237,5,0)),0%,VLOOKUP(A73,'Données projet'!$A$217:$I$237,5,0)*VLOOKUP('Données projet'!$B$16,Paramètres!$A$1:$I$89,7,0))</f>
        <v>0.26500000000000001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0.3</v>
      </c>
      <c r="FQ73" s="21">
        <f>EXP(-LN(2)/35)*FQ72+(1-EXP(-LN(2)/35))/(LN(2)/35)*FM73*FN73*VLOOKUP('Données projet'!$B$16,Paramètres!$A$1:$I$89,3,0)*0.475*44/12</f>
        <v>16.792719102839477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2.7969737785594435</v>
      </c>
      <c r="FT73" s="22">
        <f t="shared" si="78"/>
        <v>19.589692881398921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>
        <f>FZ73*VLOOKUP('Données projet'!$B$17,Paramètres!$A$1:$I$89,3,0)*VLOOKUP('Données projet'!$B$17,Paramètres!$A$1:$I$89,5,0)</f>
        <v>0</v>
      </c>
      <c r="GB73" s="13" t="e">
        <f t="shared" si="103"/>
        <v>#NUM!</v>
      </c>
      <c r="GC73" s="20" t="e">
        <f t="shared" si="79"/>
        <v>#NUM!</v>
      </c>
      <c r="GD73" s="59" t="e">
        <f t="shared" si="80"/>
        <v>#NUM!</v>
      </c>
      <c r="GE73" s="59">
        <f ca="1">AVERAGE(OFFSET($GD$3,0,0,'Données projet'!$E$17+1,1))-AVERAGE(OFFSET($H$3,0,0,'Données projet'!$E$17+1,1))</f>
        <v>191.77102466144095</v>
      </c>
      <c r="GF73" s="59">
        <f t="shared" si="104"/>
        <v>205.57161411620217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95.341635512452768</v>
      </c>
      <c r="GM73" s="21">
        <f>EXP(-LN(2)/25)*GM72+(1-EXP(-LN(2)/25))/(LN(2)/25)*Calculateur!GH73*Calculateur!GJ73*VLOOKUP('Données projet'!$B$17,Paramètres!$A$1:$I$89,3,0)*0.475*44/12</f>
        <v>18.424530010398453</v>
      </c>
      <c r="GN73" s="21">
        <f>EXP(-LN(2)/2)*GN72+(1-EXP(-LN(2)/2))/(LN(2)/2)*GH73*GK73*VLOOKUP('Données projet'!$B$17,Paramètres!$A$1:$I$89,3,0)*0.475*44/12</f>
        <v>1.3426112166410571</v>
      </c>
      <c r="GO73" s="21">
        <f t="shared" si="81"/>
        <v>115.10877673949228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84.31577618130467</v>
      </c>
      <c r="T74" s="59">
        <f t="shared" si="88"/>
        <v>527.2140904310653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54.290417758884857</v>
      </c>
      <c r="AA74" s="21">
        <f>EXP(-LN(2)/25)*AA73+(1-EXP(-LN(2)/25))/(LN(2)/25)*Calculateur!V74*Calculateur!X74*VLOOKUP('Données projet'!$B$9,Paramètres!$A$1:$I$89,3,0)*0.475*44/12</f>
        <v>11.309190244353868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65.599608003238728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6.333333333333333</v>
      </c>
      <c r="AI74" s="13">
        <f>IF('Données projet'!$A$62&gt;35,AI73+AH74-AQ73,IF(A74&lt;'Données projet'!$A$62,$AF$205^A74,IF(A74='Données projet'!$A$62,'Données projet'!$B$62,AI73+AH74-AQ73)))</f>
        <v>182.66666666666671</v>
      </c>
      <c r="AJ74" s="13">
        <f>AI74*VLOOKUP('Données projet'!$B$10,Paramètres!$A$1:$I$89,3,0)*VLOOKUP('Données projet'!$B$10,Paramètres!$A$1:$I$89,5,0)</f>
        <v>165.27680000000004</v>
      </c>
      <c r="AK74" s="13">
        <f t="shared" si="89"/>
        <v>42.030455427335696</v>
      </c>
      <c r="AL74" s="20">
        <f t="shared" si="58"/>
        <v>361.06013653594306</v>
      </c>
      <c r="AM74" s="59">
        <f t="shared" si="59"/>
        <v>654.39346986927637</v>
      </c>
      <c r="AN74" s="59">
        <f ca="1">AVERAGE(OFFSET($AM$3,0,0,'Données projet'!$E$10+1,1))-AVERAGE(OFFSET($H$3,0,0,'Données projet'!$E$10+1,1))</f>
        <v>297.90790572649428</v>
      </c>
      <c r="AO74" s="59">
        <f t="shared" si="90"/>
        <v>142.96889776844506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13.845165508329275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13.845165508329275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6.333333333333333</v>
      </c>
      <c r="BD74" s="12">
        <f>IF('Données projet'!$A$88&gt;35,BD73+BC74-BL73,IF(A74&lt;'Données projet'!$A$88,$BA$205^A74,IF(A74='Données projet'!$A$88,'Données projet'!$B$88,BD73+BC74-BL73)))</f>
        <v>182.66666666666671</v>
      </c>
      <c r="BE74" s="13">
        <f>BD74*VLOOKUP('Données projet'!$B$11,Paramètres!$A$1:$I$89,3,0)*VLOOKUP('Données projet'!$B$11,Paramètres!$A$1:$I$89,5,0)</f>
        <v>185.22400000000005</v>
      </c>
      <c r="BF74" s="13">
        <f t="shared" si="91"/>
        <v>46.482487664260383</v>
      </c>
      <c r="BG74" s="20">
        <f t="shared" si="61"/>
        <v>403.55546601525361</v>
      </c>
      <c r="BH74" s="59">
        <f t="shared" si="62"/>
        <v>696.88879934858687</v>
      </c>
      <c r="BI74" s="59">
        <f ca="1">AVERAGE(OFFSET($BH$3,0,0,'Données projet'!$E$11+1,1))-AVERAGE(OFFSET($H$3,0,0,'Données projet'!$E$11+1,1))</f>
        <v>345.3294887586967</v>
      </c>
      <c r="BJ74" s="59">
        <f t="shared" si="92"/>
        <v>164.23448598618114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15.516133759334537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15.516133759334537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12.875</v>
      </c>
      <c r="BY74" s="12">
        <f>IF('Données projet'!$A$114&gt;35,BY73+BX74-CG73,IF(A74&lt;'Données projet'!$A$114,$BV$205^A74,IF(A74='Données projet'!$A$114,'Données projet'!$B$114,BY73+BX74-CG73)))</f>
        <v>494.37499999999994</v>
      </c>
      <c r="BZ74" s="13">
        <f>BY74*VLOOKUP('Données projet'!$B$12,Paramètres!$A$1:$I$89,3,0)*VLOOKUP('Données projet'!$B$12,Paramètres!$A$1:$I$89,5,0)</f>
        <v>295.63625000000002</v>
      </c>
      <c r="CA74" s="13">
        <f t="shared" si="93"/>
        <v>70.260875189476423</v>
      </c>
      <c r="CB74" s="20">
        <f t="shared" si="64"/>
        <v>637.27082637167155</v>
      </c>
      <c r="CC74" s="59">
        <f t="shared" si="65"/>
        <v>930.6041597050048</v>
      </c>
      <c r="CD74" s="59">
        <f ca="1">AVERAGE(OFFSET($CC$3,0,0,'Données projet'!$E$12+1,1))-AVERAGE(OFFSET($H$3,0,0,'Données projet'!$E$12+1,1))</f>
        <v>289.07218105343333</v>
      </c>
      <c r="CE74" s="59">
        <f t="shared" si="94"/>
        <v>217.57508587672368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15.258543650438513</v>
      </c>
      <c r="CL74" s="21">
        <f>EXP(-LN(2)/25)*CL73+(1-EXP(-LN(2)/25))/(LN(2)/25)*Calculateur!CG74*Calculateur!CI74*VLOOKUP('Données projet'!$B$12,Paramètres!$A$1:$I$89,3,0)*0.475*44/12</f>
        <v>36.639843672801817</v>
      </c>
      <c r="CM74" s="21">
        <f>EXP(-LN(2)/2)*CM73+(1-EXP(-LN(2)/2))/(LN(2)/2)*CG74*CJ74*VLOOKUP('Données projet'!$B$12,Paramètres!$A$1:$I$89,3,0)*0.475*44/12</f>
        <v>2.5209769934695188</v>
      </c>
      <c r="CN74" s="22">
        <f t="shared" si="66"/>
        <v>54.419364316709846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1.7053025658242404E-13</v>
      </c>
      <c r="CU74" s="17">
        <f>CT74*VLOOKUP('Données projet'!$B$13,Paramètres!$A$1:$I$89,3,0)*VLOOKUP('Données projet'!$B$13,Paramètres!$A$1:$I$89,5,0)</f>
        <v>1.4897523215040567E-13</v>
      </c>
      <c r="CV74" s="13">
        <f t="shared" si="95"/>
        <v>2.136562777003313E-12</v>
      </c>
      <c r="CW74" s="20">
        <f t="shared" si="67"/>
        <v>3.9806453659427267E-12</v>
      </c>
      <c r="CX74" s="59">
        <f t="shared" si="68"/>
        <v>293.33333333333729</v>
      </c>
      <c r="CY74" s="59">
        <f ca="1">AVERAGE(OFFSET($CX$3,0,0,'Données projet'!$E$13+1,1))-AVERAGE(OFFSET($H$3,0,0,'Données projet'!$E$13+1,1))</f>
        <v>237.8483058552178</v>
      </c>
      <c r="CZ74" s="59">
        <f t="shared" si="96"/>
        <v>313.36201272119723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85.943452501530672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29.126158921145702</v>
      </c>
      <c r="DI74" s="22">
        <f t="shared" si="69"/>
        <v>115.06961142267637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6.333333333333333</v>
      </c>
      <c r="DO74" s="12">
        <f>IF('Données projet'!$A$166&gt;35,DO73+DN74-DW73,IF(A74&lt;'Données projet'!$A$166,$DL$205^A74,IF(A74='Données projet'!$A$166,'Données projet'!$B$166,DO73+DN74-DW73)))</f>
        <v>182.66666666666671</v>
      </c>
      <c r="DP74" s="17">
        <f>DO74*VLOOKUP('Données projet'!$B$14,Paramètres!$A$1:$I$89,3,0)*VLOOKUP('Données projet'!$B$14,Paramètres!$A$1:$I$89,5,0)</f>
        <v>176.67520000000005</v>
      </c>
      <c r="DQ74" s="13">
        <f t="shared" si="97"/>
        <v>44.581678703800144</v>
      </c>
      <c r="DR74" s="20">
        <f t="shared" si="70"/>
        <v>385.35573040911868</v>
      </c>
      <c r="DS74" s="59">
        <f t="shared" si="71"/>
        <v>678.68906374245194</v>
      </c>
      <c r="DT74" s="59">
        <f ca="1">AVERAGE(OFFSET($DS$3,0,0,'Données projet'!$E$14+1,1))-AVERAGE(OFFSET($H$3,0,0,'Données projet'!$E$14+1,1))</f>
        <v>325.01961068962373</v>
      </c>
      <c r="DU74" s="59">
        <f t="shared" si="98"/>
        <v>155.12737608540039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14.800004508903708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14.800004508903708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3.4</v>
      </c>
      <c r="EJ74" s="12">
        <f>IF('Données projet'!$A$192&gt;35,EJ73+EI74-ER73,IF(A74&lt;'Données projet'!$A$192,$EG$205^A74,IF(A74='Données projet'!$A$192,'Données projet'!$B$192,EJ73+EI74-ER73)))</f>
        <v>256.39999999999986</v>
      </c>
      <c r="EK74" s="17">
        <f>EJ74*VLOOKUP('Données projet'!$B$15,Paramètres!$A$1:$I$89,3,0)*VLOOKUP('Données projet'!$B$15,Paramètres!$A$1:$I$89,5,0)</f>
        <v>171.99311999999992</v>
      </c>
      <c r="EL74" s="13">
        <f t="shared" si="99"/>
        <v>43.536112887452212</v>
      </c>
      <c r="EM74" s="20">
        <f t="shared" si="73"/>
        <v>375.3800806123125</v>
      </c>
      <c r="EN74" s="59">
        <f t="shared" si="74"/>
        <v>668.71341394564581</v>
      </c>
      <c r="EO74" s="59">
        <f ca="1">AVERAGE(OFFSET($EN$3,0,0,'Données projet'!$E$15+1,1))-AVERAGE(OFFSET($H$3,0,0,'Données projet'!$E$15+1,1))</f>
        <v>178.09619481964575</v>
      </c>
      <c r="EP74" s="59">
        <f t="shared" si="100"/>
        <v>178.65167777495174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13.880926222010656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1.6675224000328386</v>
      </c>
      <c r="EY74" s="22">
        <f t="shared" si="75"/>
        <v>15.548448622043495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3.4</v>
      </c>
      <c r="FE74" s="12">
        <f>IF('Données projet'!$A$218&gt;35,FE73+FD74-FM73,IF(A74&lt;'Données projet'!$A$218,$FB$205^A74,IF(A74='Données projet'!$A$218,'Données projet'!$B$218,FE73+FD74-FM73)))</f>
        <v>256.39999999999986</v>
      </c>
      <c r="FF74" s="17">
        <f>FE74*VLOOKUP('Données projet'!$B$16,Paramètres!$A$1:$I$89,3,0)*VLOOKUP('Données projet'!$B$16,Paramètres!$A$1:$I$89,5,0)</f>
        <v>203.99183999999988</v>
      </c>
      <c r="FG74" s="13">
        <f t="shared" si="101"/>
        <v>50.620441749347997</v>
      </c>
      <c r="FH74" s="20">
        <f t="shared" si="76"/>
        <v>443.44972404678083</v>
      </c>
      <c r="FI74" s="59">
        <f t="shared" si="77"/>
        <v>736.78305738011409</v>
      </c>
      <c r="FJ74" s="59">
        <f ca="1">AVERAGE(OFFSET($FI$3,0,0,'Données projet'!$E$16+1,1))-AVERAGE(OFFSET($H$3,0,0,'Données projet'!$E$16+1,1))</f>
        <v>219.43439115440339</v>
      </c>
      <c r="FK74" s="59">
        <f t="shared" si="102"/>
        <v>217.8880462742099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16.463424123780079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1.9777591256203435</v>
      </c>
      <c r="FT74" s="22">
        <f t="shared" si="78"/>
        <v>18.441183249400424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>
        <f>FZ74*VLOOKUP('Données projet'!$B$17,Paramètres!$A$1:$I$89,3,0)*VLOOKUP('Données projet'!$B$17,Paramètres!$A$1:$I$89,5,0)</f>
        <v>0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191.77102466144095</v>
      </c>
      <c r="GF74" s="59">
        <f t="shared" si="104"/>
        <v>205.57161411620217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93.472044192709134</v>
      </c>
      <c r="GM74" s="21">
        <f>EXP(-LN(2)/25)*GM73+(1-EXP(-LN(2)/25))/(LN(2)/25)*Calculateur!GH74*Calculateur!GJ74*VLOOKUP('Données projet'!$B$17,Paramètres!$A$1:$I$89,3,0)*0.475*44/12</f>
        <v>17.920710268360182</v>
      </c>
      <c r="GN74" s="21">
        <f>EXP(-LN(2)/2)*GN73+(1-EXP(-LN(2)/2))/(LN(2)/2)*GH74*GK74*VLOOKUP('Données projet'!$B$17,Paramètres!$A$1:$I$89,3,0)*0.475*44/12</f>
        <v>0.94936949578401242</v>
      </c>
      <c r="GO74" s="21">
        <f t="shared" si="81"/>
        <v>112.34212395685333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84.31577618130467</v>
      </c>
      <c r="T75" s="59">
        <f t="shared" si="88"/>
        <v>527.2140904310653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53.225815780518232</v>
      </c>
      <c r="AA75" s="21">
        <f>EXP(-LN(2)/25)*AA74+(1-EXP(-LN(2)/25))/(LN(2)/25)*Calculateur!V75*Calculateur!X75*VLOOKUP('Données projet'!$B$9,Paramètres!$A$1:$I$89,3,0)*0.475*44/12</f>
        <v>10.999939842397543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64.22575562291577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6.333333333333333</v>
      </c>
      <c r="AI75" s="13">
        <f>IF('Données projet'!$A$62&gt;35,AI74+AH75-AQ74,IF(A75&lt;'Données projet'!$A$62,$AF$205^A75,IF(A75='Données projet'!$A$62,'Données projet'!$B$62,AI74+AH75-AQ74)))</f>
        <v>189.00000000000006</v>
      </c>
      <c r="AJ75" s="13">
        <f>AI75*VLOOKUP('Données projet'!$B$10,Paramètres!$A$1:$I$89,3,0)*VLOOKUP('Données projet'!$B$10,Paramètres!$A$1:$I$89,5,0)</f>
        <v>171.00720000000004</v>
      </c>
      <c r="AK75" s="13">
        <f t="shared" si="89"/>
        <v>43.315525267338089</v>
      </c>
      <c r="AL75" s="20">
        <f t="shared" si="58"/>
        <v>373.27874650728057</v>
      </c>
      <c r="AM75" s="59">
        <f t="shared" si="59"/>
        <v>666.61207984061389</v>
      </c>
      <c r="AN75" s="59">
        <f ca="1">AVERAGE(OFFSET($AM$3,0,0,'Données projet'!$E$10+1,1))-AVERAGE(OFFSET($H$3,0,0,'Données projet'!$E$10+1,1))</f>
        <v>297.90790572649428</v>
      </c>
      <c r="AO75" s="59">
        <f t="shared" si="90"/>
        <v>142.96889776844506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13.4665687294184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13.4665687294184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6.333333333333333</v>
      </c>
      <c r="BD75" s="12">
        <f>IF('Données projet'!$A$88&gt;35,BD74+BC75-BL74,IF(A75&lt;'Données projet'!$A$88,$BA$205^A75,IF(A75='Données projet'!$A$88,'Données projet'!$B$88,BD74+BC75-BL74)))</f>
        <v>189.00000000000006</v>
      </c>
      <c r="BE75" s="13">
        <f>BD75*VLOOKUP('Données projet'!$B$11,Paramètres!$A$1:$I$89,3,0)*VLOOKUP('Données projet'!$B$11,Paramètres!$A$1:$I$89,5,0)</f>
        <v>191.64600000000007</v>
      </c>
      <c r="BF75" s="13">
        <f t="shared" si="91"/>
        <v>47.903677189291635</v>
      </c>
      <c r="BG75" s="20">
        <f t="shared" si="61"/>
        <v>417.21568777134968</v>
      </c>
      <c r="BH75" s="59">
        <f t="shared" si="62"/>
        <v>710.54902110468299</v>
      </c>
      <c r="BI75" s="59">
        <f ca="1">AVERAGE(OFFSET($BH$3,0,0,'Données projet'!$E$11+1,1))-AVERAGE(OFFSET($H$3,0,0,'Données projet'!$E$11+1,1))</f>
        <v>345.3294887586967</v>
      </c>
      <c r="BJ75" s="59">
        <f t="shared" si="92"/>
        <v>164.23448598618114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15.091844265727522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15.091844265727522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12.875</v>
      </c>
      <c r="BY75" s="12">
        <f>IF('Données projet'!$A$114&gt;35,BY74+BX75-CG74,IF(A75&lt;'Données projet'!$A$114,$BV$205^A75,IF(A75='Données projet'!$A$114,'Données projet'!$B$114,BY74+BX75-CG74)))</f>
        <v>507.24999999999994</v>
      </c>
      <c r="BZ75" s="13">
        <f>BY75*VLOOKUP('Données projet'!$B$12,Paramètres!$A$1:$I$89,3,0)*VLOOKUP('Données projet'!$B$12,Paramètres!$A$1:$I$89,5,0)</f>
        <v>303.33549999999997</v>
      </c>
      <c r="CA75" s="13">
        <f t="shared" si="93"/>
        <v>71.875261779950591</v>
      </c>
      <c r="CB75" s="20">
        <f t="shared" si="64"/>
        <v>653.49207676674712</v>
      </c>
      <c r="CC75" s="59">
        <f t="shared" si="65"/>
        <v>946.82541010008049</v>
      </c>
      <c r="CD75" s="59">
        <f ca="1">AVERAGE(OFFSET($CC$3,0,0,'Données projet'!$E$12+1,1))-AVERAGE(OFFSET($H$3,0,0,'Données projet'!$E$12+1,1))</f>
        <v>289.07218105343333</v>
      </c>
      <c r="CE75" s="59">
        <f t="shared" si="94"/>
        <v>217.57508587672368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14.959332916246071</v>
      </c>
      <c r="CL75" s="21">
        <f>EXP(-LN(2)/25)*CL74+(1-EXP(-LN(2)/25))/(LN(2)/25)*Calculateur!CG75*Calculateur!CI75*VLOOKUP('Données projet'!$B$12,Paramètres!$A$1:$I$89,3,0)*0.475*44/12</f>
        <v>35.637925220763414</v>
      </c>
      <c r="CM75" s="21">
        <f>EXP(-LN(2)/2)*CM74+(1-EXP(-LN(2)/2))/(LN(2)/2)*CG75*CJ75*VLOOKUP('Données projet'!$B$12,Paramètres!$A$1:$I$89,3,0)*0.475*44/12</f>
        <v>1.7825999272975717</v>
      </c>
      <c r="CN75" s="22">
        <f t="shared" si="66"/>
        <v>52.379858064307058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1.7053025658242404E-13</v>
      </c>
      <c r="CU75" s="17">
        <f>CT75*VLOOKUP('Données projet'!$B$13,Paramètres!$A$1:$I$89,3,0)*VLOOKUP('Données projet'!$B$13,Paramètres!$A$1:$I$89,5,0)</f>
        <v>1.4897523215040567E-13</v>
      </c>
      <c r="CV75" s="13">
        <f t="shared" si="95"/>
        <v>2.136562777003313E-12</v>
      </c>
      <c r="CW75" s="20">
        <f t="shared" si="67"/>
        <v>3.9806453659427267E-12</v>
      </c>
      <c r="CX75" s="59">
        <f t="shared" si="68"/>
        <v>293.33333333333729</v>
      </c>
      <c r="CY75" s="59">
        <f ca="1">AVERAGE(OFFSET($CX$3,0,0,'Données projet'!$E$13+1,1))-AVERAGE(OFFSET($H$3,0,0,'Données projet'!$E$13+1,1))</f>
        <v>237.8483058552178</v>
      </c>
      <c r="CZ75" s="59">
        <f t="shared" si="96"/>
        <v>313.36201272119723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84.258153818305601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20.595304483059184</v>
      </c>
      <c r="DI75" s="22">
        <f t="shared" si="69"/>
        <v>104.85345830136478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6.333333333333333</v>
      </c>
      <c r="DO75" s="12">
        <f>IF('Données projet'!$A$166&gt;35,DO74+DN75-DW74,IF(A75&lt;'Données projet'!$A$166,$DL$205^A75,IF(A75='Données projet'!$A$166,'Données projet'!$B$166,DO74+DN75-DW74)))</f>
        <v>189.00000000000006</v>
      </c>
      <c r="DP75" s="17">
        <f>DO75*VLOOKUP('Données projet'!$B$14,Paramètres!$A$1:$I$89,3,0)*VLOOKUP('Données projet'!$B$14,Paramètres!$A$1:$I$89,5,0)</f>
        <v>182.80080000000007</v>
      </c>
      <c r="DQ75" s="13">
        <f t="shared" si="97"/>
        <v>45.9447515074717</v>
      </c>
      <c r="DR75" s="20">
        <f t="shared" si="70"/>
        <v>398.39850220884659</v>
      </c>
      <c r="DS75" s="59">
        <f t="shared" si="71"/>
        <v>691.73183554217985</v>
      </c>
      <c r="DT75" s="59">
        <f ca="1">AVERAGE(OFFSET($DS$3,0,0,'Données projet'!$E$14+1,1))-AVERAGE(OFFSET($H$3,0,0,'Données projet'!$E$14+1,1))</f>
        <v>325.01961068962373</v>
      </c>
      <c r="DU75" s="59">
        <f t="shared" si="98"/>
        <v>155.12737608540039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14.395297607309326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14.395297607309326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3.4</v>
      </c>
      <c r="EJ75" s="12">
        <f>IF('Données projet'!$A$192&gt;35,EJ74+EI75-ER74,IF(A75&lt;'Données projet'!$A$192,$EG$205^A75,IF(A75='Données projet'!$A$192,'Données projet'!$B$192,EJ74+EI75-ER74)))</f>
        <v>259.79999999999984</v>
      </c>
      <c r="EK75" s="17">
        <f>EJ75*VLOOKUP('Données projet'!$B$15,Paramètres!$A$1:$I$89,3,0)*VLOOKUP('Données projet'!$B$15,Paramètres!$A$1:$I$89,5,0)</f>
        <v>174.27383999999989</v>
      </c>
      <c r="EL75" s="13">
        <f t="shared" si="99"/>
        <v>44.045833968961681</v>
      </c>
      <c r="EM75" s="20">
        <f t="shared" si="73"/>
        <v>380.24009882927476</v>
      </c>
      <c r="EN75" s="59">
        <f t="shared" si="74"/>
        <v>673.57343216260801</v>
      </c>
      <c r="EO75" s="59">
        <f ca="1">AVERAGE(OFFSET($EN$3,0,0,'Données projet'!$E$15+1,1))-AVERAGE(OFFSET($H$3,0,0,'Données projet'!$E$15+1,1))</f>
        <v>178.09619481964575</v>
      </c>
      <c r="EP75" s="59">
        <f t="shared" si="100"/>
        <v>178.65167777495174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13.608729725326022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1.1791163968436871</v>
      </c>
      <c r="EY75" s="22">
        <f t="shared" si="75"/>
        <v>14.787846122169709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3.4</v>
      </c>
      <c r="FE75" s="12">
        <f>IF('Données projet'!$A$218&gt;35,FE74+FD75-FM74,IF(A75&lt;'Données projet'!$A$218,$FB$205^A75,IF(A75='Données projet'!$A$218,'Données projet'!$B$218,FE74+FD75-FM74)))</f>
        <v>259.79999999999984</v>
      </c>
      <c r="FF75" s="17">
        <f>FE75*VLOOKUP('Données projet'!$B$16,Paramètres!$A$1:$I$89,3,0)*VLOOKUP('Données projet'!$B$16,Paramètres!$A$1:$I$89,5,0)</f>
        <v>206.69687999999991</v>
      </c>
      <c r="FG75" s="13">
        <f t="shared" si="101"/>
        <v>51.213106197404436</v>
      </c>
      <c r="FH75" s="20">
        <f t="shared" si="76"/>
        <v>449.1932259604792</v>
      </c>
      <c r="FI75" s="59">
        <f t="shared" si="77"/>
        <v>742.52655929381251</v>
      </c>
      <c r="FJ75" s="59">
        <f ca="1">AVERAGE(OFFSET($FI$3,0,0,'Données projet'!$E$16+1,1))-AVERAGE(OFFSET($H$3,0,0,'Données projet'!$E$16+1,1))</f>
        <v>219.43439115440339</v>
      </c>
      <c r="FK75" s="59">
        <f t="shared" si="102"/>
        <v>217.8880462742099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16.140586418409931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1.398486889279722</v>
      </c>
      <c r="FT75" s="22">
        <f t="shared" si="78"/>
        <v>17.539073307689655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>
        <f>FZ75*VLOOKUP('Données projet'!$B$17,Paramètres!$A$1:$I$89,3,0)*VLOOKUP('Données projet'!$B$17,Paramètres!$A$1:$I$89,5,0)</f>
        <v>0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191.77102466144095</v>
      </c>
      <c r="GF75" s="59">
        <f t="shared" si="104"/>
        <v>205.57161411620217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91.639114418407573</v>
      </c>
      <c r="GM75" s="21">
        <f>EXP(-LN(2)/25)*GM74+(1-EXP(-LN(2)/25))/(LN(2)/25)*Calculateur!GH75*Calculateur!GJ75*VLOOKUP('Données projet'!$B$17,Paramètres!$A$1:$I$89,3,0)*0.475*44/12</f>
        <v>17.430667503662679</v>
      </c>
      <c r="GN75" s="21">
        <f>EXP(-LN(2)/2)*GN74+(1-EXP(-LN(2)/2))/(LN(2)/2)*GH75*GK75*VLOOKUP('Données projet'!$B$17,Paramètres!$A$1:$I$89,3,0)*0.475*44/12</f>
        <v>0.67130560832052866</v>
      </c>
      <c r="GO75" s="21">
        <f t="shared" si="81"/>
        <v>109.74108753039077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84.31577618130467</v>
      </c>
      <c r="T76" s="59">
        <f t="shared" si="88"/>
        <v>527.2140904310653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52.182089997604287</v>
      </c>
      <c r="AA76" s="21">
        <f>EXP(-LN(2)/25)*AA75+(1-EXP(-LN(2)/25))/(LN(2)/25)*Calculateur!V76*Calculateur!X76*VLOOKUP('Données projet'!$B$9,Paramètres!$A$1:$I$89,3,0)*0.475*44/12</f>
        <v>10.699145908945487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62.881235906549776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6.333333333333333</v>
      </c>
      <c r="AI76" s="13">
        <f>IF('Données projet'!$A$62&gt;35,AI75+AH76-AQ75,IF(A76&lt;'Données projet'!$A$62,$AF$205^A76,IF(A76='Données projet'!$A$62,'Données projet'!$B$62,AI75+AH76-AQ75)))</f>
        <v>195.3333333333334</v>
      </c>
      <c r="AJ76" s="13">
        <f>AI76*VLOOKUP('Données projet'!$B$10,Paramètres!$A$1:$I$89,3,0)*VLOOKUP('Données projet'!$B$10,Paramètres!$A$1:$I$89,5,0)</f>
        <v>176.73760000000004</v>
      </c>
      <c r="AK76" s="13">
        <f t="shared" si="89"/>
        <v>44.595591428666573</v>
      </c>
      <c r="AL76" s="20">
        <f t="shared" si="58"/>
        <v>385.48864173826104</v>
      </c>
      <c r="AM76" s="59">
        <f t="shared" si="59"/>
        <v>678.82197507159435</v>
      </c>
      <c r="AN76" s="59">
        <f ca="1">AVERAGE(OFFSET($AM$3,0,0,'Données projet'!$E$10+1,1))-AVERAGE(OFFSET($H$3,0,0,'Données projet'!$E$10+1,1))</f>
        <v>297.90790572649428</v>
      </c>
      <c r="AO76" s="59">
        <f t="shared" si="90"/>
        <v>142.96889776844506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13.098324699336382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13.098324699336382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6.333333333333333</v>
      </c>
      <c r="BD76" s="12">
        <f>IF('Données projet'!$A$88&gt;35,BD75+BC76-BL75,IF(A76&lt;'Données projet'!$A$88,$BA$205^A76,IF(A76='Données projet'!$A$88,'Données projet'!$B$88,BD75+BC76-BL75)))</f>
        <v>195.3333333333334</v>
      </c>
      <c r="BE76" s="13">
        <f>BD76*VLOOKUP('Données projet'!$B$11,Paramètres!$A$1:$I$89,3,0)*VLOOKUP('Données projet'!$B$11,Paramètres!$A$1:$I$89,5,0)</f>
        <v>198.06800000000007</v>
      </c>
      <c r="BF76" s="13">
        <f t="shared" si="91"/>
        <v>49.319333026194421</v>
      </c>
      <c r="BG76" s="20">
        <f t="shared" si="61"/>
        <v>430.86627168728864</v>
      </c>
      <c r="BH76" s="59">
        <f t="shared" si="62"/>
        <v>724.1996050206219</v>
      </c>
      <c r="BI76" s="59">
        <f ca="1">AVERAGE(OFFSET($BH$3,0,0,'Données projet'!$E$11+1,1))-AVERAGE(OFFSET($H$3,0,0,'Données projet'!$E$11+1,1))</f>
        <v>345.3294887586967</v>
      </c>
      <c r="BJ76" s="59">
        <f t="shared" si="92"/>
        <v>164.23448598618114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14.679156990635606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14.679156990635606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12.875</v>
      </c>
      <c r="BY76" s="12">
        <f>IF('Données projet'!$A$114&gt;35,BY75+BX76-CG75,IF(A76&lt;'Données projet'!$A$114,$BV$205^A76,IF(A76='Données projet'!$A$114,'Données projet'!$B$114,BY75+BX76-CG75)))</f>
        <v>520.125</v>
      </c>
      <c r="BZ76" s="13">
        <f>BY76*VLOOKUP('Données projet'!$B$12,Paramètres!$A$1:$I$89,3,0)*VLOOKUP('Données projet'!$B$12,Paramètres!$A$1:$I$89,5,0)</f>
        <v>311.03475000000003</v>
      </c>
      <c r="CA76" s="13">
        <f t="shared" si="93"/>
        <v>73.484885227728896</v>
      </c>
      <c r="CB76" s="20">
        <f t="shared" si="64"/>
        <v>669.70503135496119</v>
      </c>
      <c r="CC76" s="59">
        <f t="shared" si="65"/>
        <v>963.03836468829445</v>
      </c>
      <c r="CD76" s="59">
        <f ca="1">AVERAGE(OFFSET($CC$3,0,0,'Données projet'!$E$12+1,1))-AVERAGE(OFFSET($H$3,0,0,'Données projet'!$E$12+1,1))</f>
        <v>289.07218105343333</v>
      </c>
      <c r="CE76" s="59">
        <f t="shared" si="94"/>
        <v>217.57508587672368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14.665989522050616</v>
      </c>
      <c r="CL76" s="21">
        <f>EXP(-LN(2)/25)*CL75+(1-EXP(-LN(2)/25))/(LN(2)/25)*Calculateur!CG76*Calculateur!CI76*VLOOKUP('Données projet'!$B$12,Paramètres!$A$1:$I$89,3,0)*0.475*44/12</f>
        <v>34.663404281484603</v>
      </c>
      <c r="CM76" s="21">
        <f>EXP(-LN(2)/2)*CM75+(1-EXP(-LN(2)/2))/(LN(2)/2)*CG76*CJ76*VLOOKUP('Données projet'!$B$12,Paramètres!$A$1:$I$89,3,0)*0.475*44/12</f>
        <v>1.2604884967347596</v>
      </c>
      <c r="CN76" s="22">
        <f t="shared" si="66"/>
        <v>50.589882300269977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1.7053025658242404E-13</v>
      </c>
      <c r="CU76" s="17">
        <f>CT76*VLOOKUP('Données projet'!$B$13,Paramètres!$A$1:$I$89,3,0)*VLOOKUP('Données projet'!$B$13,Paramètres!$A$1:$I$89,5,0)</f>
        <v>1.4897523215040567E-13</v>
      </c>
      <c r="CV76" s="13">
        <f t="shared" si="95"/>
        <v>2.136562777003313E-12</v>
      </c>
      <c r="CW76" s="20">
        <f t="shared" si="67"/>
        <v>3.9806453659427267E-12</v>
      </c>
      <c r="CX76" s="59">
        <f t="shared" si="68"/>
        <v>293.33333333333729</v>
      </c>
      <c r="CY76" s="59">
        <f ca="1">AVERAGE(OFFSET($CX$3,0,0,'Données projet'!$E$13+1,1))-AVERAGE(OFFSET($H$3,0,0,'Données projet'!$E$13+1,1))</f>
        <v>237.8483058552178</v>
      </c>
      <c r="CZ76" s="59">
        <f t="shared" si="96"/>
        <v>313.36201272119723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82.605902814327877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14.563079460572853</v>
      </c>
      <c r="DI76" s="22">
        <f t="shared" si="69"/>
        <v>97.168982274900728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6.333333333333333</v>
      </c>
      <c r="DO76" s="12">
        <f>IF('Données projet'!$A$166&gt;35,DO75+DN76-DW75,IF(A76&lt;'Données projet'!$A$166,$DL$205^A76,IF(A76='Données projet'!$A$166,'Données projet'!$B$166,DO75+DN76-DW75)))</f>
        <v>195.3333333333334</v>
      </c>
      <c r="DP76" s="17">
        <f>DO76*VLOOKUP('Données projet'!$B$14,Paramètres!$A$1:$I$89,3,0)*VLOOKUP('Données projet'!$B$14,Paramètres!$A$1:$I$89,5,0)</f>
        <v>188.92640000000009</v>
      </c>
      <c r="DQ76" s="13">
        <f t="shared" si="97"/>
        <v>47.302516912193902</v>
      </c>
      <c r="DR76" s="20">
        <f t="shared" si="70"/>
        <v>411.43203028873785</v>
      </c>
      <c r="DS76" s="59">
        <f t="shared" si="71"/>
        <v>704.76536362207116</v>
      </c>
      <c r="DT76" s="59">
        <f ca="1">AVERAGE(OFFSET($DS$3,0,0,'Données projet'!$E$14+1,1))-AVERAGE(OFFSET($H$3,0,0,'Données projet'!$E$14+1,1))</f>
        <v>325.01961068962373</v>
      </c>
      <c r="DU76" s="59">
        <f t="shared" si="98"/>
        <v>155.12737608540039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14.001657437221652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14.001657437221652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3.4</v>
      </c>
      <c r="EJ76" s="12">
        <f>IF('Données projet'!$A$192&gt;35,EJ75+EI76-ER75,IF(A76&lt;'Données projet'!$A$192,$EG$205^A76,IF(A76='Données projet'!$A$192,'Données projet'!$B$192,EJ75+EI76-ER75)))</f>
        <v>263.19999999999982</v>
      </c>
      <c r="EK76" s="17">
        <f>EJ76*VLOOKUP('Données projet'!$B$15,Paramètres!$A$1:$I$89,3,0)*VLOOKUP('Données projet'!$B$15,Paramètres!$A$1:$I$89,5,0)</f>
        <v>176.55455999999987</v>
      </c>
      <c r="EL76" s="13">
        <f t="shared" si="99"/>
        <v>44.554779146969786</v>
      </c>
      <c r="EM76" s="20">
        <f t="shared" si="73"/>
        <v>385.09876568097212</v>
      </c>
      <c r="EN76" s="59">
        <f t="shared" si="74"/>
        <v>678.43209901430544</v>
      </c>
      <c r="EO76" s="59">
        <f ca="1">AVERAGE(OFFSET($EN$3,0,0,'Données projet'!$E$15+1,1))-AVERAGE(OFFSET($H$3,0,0,'Données projet'!$E$15+1,1))</f>
        <v>178.09619481964575</v>
      </c>
      <c r="EP76" s="59">
        <f t="shared" si="100"/>
        <v>178.65167777495174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13.341870835917904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0.8337612000164194</v>
      </c>
      <c r="EY76" s="22">
        <f t="shared" si="75"/>
        <v>14.175632035934324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3.4</v>
      </c>
      <c r="FE76" s="12">
        <f>IF('Données projet'!$A$218&gt;35,FE75+FD76-FM75,IF(A76&lt;'Données projet'!$A$218,$FB$205^A76,IF(A76='Données projet'!$A$218,'Données projet'!$B$218,FE75+FD76-FM75)))</f>
        <v>263.19999999999982</v>
      </c>
      <c r="FF76" s="17">
        <f>FE76*VLOOKUP('Données projet'!$B$16,Paramètres!$A$1:$I$89,3,0)*VLOOKUP('Données projet'!$B$16,Paramètres!$A$1:$I$89,5,0)</f>
        <v>209.40191999999988</v>
      </c>
      <c r="FG76" s="13">
        <f t="shared" si="101"/>
        <v>51.804868484579039</v>
      </c>
      <c r="FH76" s="20">
        <f t="shared" si="76"/>
        <v>454.93515661064157</v>
      </c>
      <c r="FI76" s="59">
        <f t="shared" si="77"/>
        <v>748.26848994397483</v>
      </c>
      <c r="FJ76" s="59">
        <f ca="1">AVERAGE(OFFSET($FI$3,0,0,'Données projet'!$E$16+1,1))-AVERAGE(OFFSET($H$3,0,0,'Données projet'!$E$16+1,1))</f>
        <v>219.43439115440339</v>
      </c>
      <c r="FK76" s="59">
        <f t="shared" si="102"/>
        <v>217.8880462742099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15.824079363530537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0.98887956281017197</v>
      </c>
      <c r="FT76" s="22">
        <f t="shared" si="78"/>
        <v>16.812958926340709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>
        <f>FZ76*VLOOKUP('Données projet'!$B$17,Paramètres!$A$1:$I$89,3,0)*VLOOKUP('Données projet'!$B$17,Paramètres!$A$1:$I$89,5,0)</f>
        <v>0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191.77102466144095</v>
      </c>
      <c r="GF76" s="59">
        <f t="shared" si="104"/>
        <v>205.57161411620217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89.842127279003293</v>
      </c>
      <c r="GM76" s="21">
        <f>EXP(-LN(2)/25)*GM75+(1-EXP(-LN(2)/25))/(LN(2)/25)*Calculateur!GH76*Calculateur!GJ76*VLOOKUP('Données projet'!$B$17,Paramètres!$A$1:$I$89,3,0)*0.475*44/12</f>
        <v>16.954024984136058</v>
      </c>
      <c r="GN76" s="21">
        <f>EXP(-LN(2)/2)*GN75+(1-EXP(-LN(2)/2))/(LN(2)/2)*GH76*GK76*VLOOKUP('Données projet'!$B$17,Paramètres!$A$1:$I$89,3,0)*0.475*44/12</f>
        <v>0.47468474789200626</v>
      </c>
      <c r="GO76" s="21">
        <f t="shared" si="81"/>
        <v>107.27083701103136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84.31577618130467</v>
      </c>
      <c r="T77" s="59">
        <f t="shared" si="88"/>
        <v>527.2140904310653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51.158831040683417</v>
      </c>
      <c r="AA77" s="21">
        <f>EXP(-LN(2)/25)*AA76+(1-EXP(-LN(2)/25))/(LN(2)/25)*Calculateur!V77*Calculateur!X77*VLOOKUP('Données projet'!$B$9,Paramètres!$A$1:$I$89,3,0)*0.475*44/12</f>
        <v>10.406577201421744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61.565408242105164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6.333333333333333</v>
      </c>
      <c r="AI77" s="13">
        <f>IF('Données projet'!$A$62&gt;35,AI76+AH77-AQ76,IF(A77&lt;'Données projet'!$A$62,$AF$205^A77,IF(A77='Données projet'!$A$62,'Données projet'!$B$62,AI76+AH77-AQ76)))</f>
        <v>201.66666666666674</v>
      </c>
      <c r="AJ77" s="13">
        <f>AI77*VLOOKUP('Données projet'!$B$10,Paramètres!$A$1:$I$89,3,0)*VLOOKUP('Données projet'!$B$10,Paramètres!$A$1:$I$89,5,0)</f>
        <v>182.46800000000005</v>
      </c>
      <c r="AK77" s="13">
        <f t="shared" si="89"/>
        <v>45.870834753808552</v>
      </c>
      <c r="AL77" s="20">
        <f t="shared" si="58"/>
        <v>397.69013719621665</v>
      </c>
      <c r="AM77" s="59">
        <f t="shared" si="59"/>
        <v>691.02347052954997</v>
      </c>
      <c r="AN77" s="59">
        <f ca="1">AVERAGE(OFFSET($AM$3,0,0,'Données projet'!$E$10+1,1))-AVERAGE(OFFSET($H$3,0,0,'Données projet'!$E$10+1,1))</f>
        <v>297.90790572649428</v>
      </c>
      <c r="AO77" s="59">
        <f t="shared" si="90"/>
        <v>142.96889776844506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12.740150321622069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12.740150321622069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6.333333333333333</v>
      </c>
      <c r="BD77" s="12">
        <f>IF('Données projet'!$A$88&gt;35,BD76+BC77-BL76,IF(A77&lt;'Données projet'!$A$88,$BA$205^A77,IF(A77='Données projet'!$A$88,'Données projet'!$B$88,BD76+BC77-BL76)))</f>
        <v>201.66666666666674</v>
      </c>
      <c r="BE77" s="13">
        <f>BD77*VLOOKUP('Données projet'!$B$11,Paramètres!$A$1:$I$89,3,0)*VLOOKUP('Données projet'!$B$11,Paramètres!$A$1:$I$89,5,0)</f>
        <v>204.49000000000012</v>
      </c>
      <c r="BF77" s="13">
        <f t="shared" si="91"/>
        <v>50.72965517300824</v>
      </c>
      <c r="BG77" s="20">
        <f t="shared" si="61"/>
        <v>444.50756609298952</v>
      </c>
      <c r="BH77" s="59">
        <f t="shared" si="62"/>
        <v>737.84089942632284</v>
      </c>
      <c r="BI77" s="59">
        <f ca="1">AVERAGE(OFFSET($BH$3,0,0,'Données projet'!$E$11+1,1))-AVERAGE(OFFSET($H$3,0,0,'Données projet'!$E$11+1,1))</f>
        <v>345.3294887586967</v>
      </c>
      <c r="BJ77" s="59">
        <f t="shared" si="92"/>
        <v>164.23448598618114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14.277754670783359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14.277754670783359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533</v>
      </c>
      <c r="BW77" s="12">
        <f>VLOOKUP(A77,'Données projet'!$A$113:$I$133,9,0)</f>
        <v>12.875</v>
      </c>
      <c r="BX77" s="12">
        <f t="array" ref="BX77">INDEX(BW:BW,MIN(IF(ISNUMBER(BW77:BW273),ROW(BW77:BW273),"")))</f>
        <v>12.875</v>
      </c>
      <c r="BY77" s="12">
        <f>IF('Données projet'!$A$114&gt;35,BY76+BX77-CG76,IF(A77&lt;'Données projet'!$A$114,$BV$205^A77,IF(A77='Données projet'!$A$114,'Données projet'!$B$114,BY76+BX77-CG76)))</f>
        <v>533</v>
      </c>
      <c r="BZ77" s="13">
        <f>BY77*VLOOKUP('Données projet'!$B$12,Paramètres!$A$1:$I$89,3,0)*VLOOKUP('Données projet'!$B$12,Paramètres!$A$1:$I$89,5,0)</f>
        <v>318.73400000000004</v>
      </c>
      <c r="CA77" s="13">
        <f t="shared" si="93"/>
        <v>75.089876999925679</v>
      </c>
      <c r="CB77" s="20">
        <f t="shared" si="64"/>
        <v>685.90991910820378</v>
      </c>
      <c r="CC77" s="59">
        <f t="shared" si="65"/>
        <v>979.24325244153715</v>
      </c>
      <c r="CD77" s="59">
        <f ca="1">AVERAGE(OFFSET($CC$3,0,0,'Données projet'!$E$12+1,1))-AVERAGE(OFFSET($H$3,0,0,'Données projet'!$E$12+1,1))</f>
        <v>289.07218105343333</v>
      </c>
      <c r="CE77" s="59">
        <f t="shared" si="94"/>
        <v>217.57508587672368</v>
      </c>
      <c r="CF77" s="15">
        <f>IF(ISNA(VLOOKUP(A77,'Données projet'!$A$113:$I$133,3,0)),0,VLOOKUP(A77,'Données projet'!$A$113:$I$133,3,0))</f>
        <v>10</v>
      </c>
      <c r="CG77" s="15">
        <f>IF(ISNA(VLOOKUP(A77,'Données projet'!$A$113:$I$133,4,0)),0,VLOOKUP(A77,'Données projet'!$A$113:$I$133,4,0))</f>
        <v>37</v>
      </c>
      <c r="CH77" s="16">
        <f>IF(ISNA(VLOOKUP(A77,'Données projet'!$A$113:$I$133,5,0)),0%,VLOOKUP(A77,'Données projet'!$A$113:$I$133,5,0)*VLOOKUP('Données projet'!$B$12,Paramètres!$A$1:$I$89,7,0))</f>
        <v>0.22500000000000001</v>
      </c>
      <c r="CI77" s="16">
        <f>IF(ISNA(VLOOKUP(A77,'Données projet'!$A$113:$I$133,6,0)),0%,VLOOKUP(A77,'Données projet'!$A$113:$I$133,6,0)*VLOOKUP('Données projet'!$B$12,Paramètres!$A$1:$I$89,7,0))</f>
        <v>0.13500000000000001</v>
      </c>
      <c r="CJ77" s="16">
        <f>IF(ISNA(VLOOKUP(A77,'Données projet'!$A$113:$I$133,7,0)),0%,VLOOKUP(A77,'Données projet'!$A$113:$I$133,7,0))</f>
        <v>0.2</v>
      </c>
      <c r="CK77" s="21">
        <f>EXP(-LN(2)/35)*CK76+(1-EXP(-LN(2)/35))/(LN(2)/35)*CG77*CH77*VLOOKUP('Données projet'!$B$12,Paramètres!$A$1:$I$89,3,0)*0.475*44/12</f>
        <v>20.982500569630965</v>
      </c>
      <c r="CL77" s="21">
        <f>EXP(-LN(2)/25)*CL76+(1-EXP(-LN(2)/25))/(LN(2)/25)*Calculateur!CG77*Calculateur!CI77*VLOOKUP('Données projet'!$B$12,Paramètres!$A$1:$I$89,3,0)*0.475*44/12</f>
        <v>37.662391242649896</v>
      </c>
      <c r="CM77" s="21">
        <f>EXP(-LN(2)/2)*CM76+(1-EXP(-LN(2)/2))/(LN(2)/2)*CG77*CJ77*VLOOKUP('Données projet'!$B$12,Paramètres!$A$1:$I$89,3,0)*0.475*44/12</f>
        <v>5.9016543266629027</v>
      </c>
      <c r="CN77" s="22">
        <f t="shared" si="66"/>
        <v>64.546546138943768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1.7053025658242404E-13</v>
      </c>
      <c r="CU77" s="17">
        <f>CT77*VLOOKUP('Données projet'!$B$13,Paramètres!$A$1:$I$89,3,0)*VLOOKUP('Données projet'!$B$13,Paramètres!$A$1:$I$89,5,0)</f>
        <v>1.4897523215040567E-13</v>
      </c>
      <c r="CV77" s="13">
        <f t="shared" si="95"/>
        <v>2.136562777003313E-12</v>
      </c>
      <c r="CW77" s="20">
        <f t="shared" si="67"/>
        <v>3.9806453659427267E-12</v>
      </c>
      <c r="CX77" s="59">
        <f t="shared" si="68"/>
        <v>293.33333333333729</v>
      </c>
      <c r="CY77" s="59">
        <f ca="1">AVERAGE(OFFSET($CX$3,0,0,'Données projet'!$E$13+1,1))-AVERAGE(OFFSET($H$3,0,0,'Données projet'!$E$13+1,1))</f>
        <v>237.8483058552178</v>
      </c>
      <c r="CZ77" s="59">
        <f t="shared" si="96"/>
        <v>313.36201272119723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80.986051444764556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10.297652241529594</v>
      </c>
      <c r="DI77" s="22">
        <f t="shared" si="69"/>
        <v>91.283703686294146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6.333333333333333</v>
      </c>
      <c r="DO77" s="12">
        <f>IF('Données projet'!$A$166&gt;35,DO76+DN77-DW76,IF(A77&lt;'Données projet'!$A$166,$DL$205^A77,IF(A77='Données projet'!$A$166,'Données projet'!$B$166,DO76+DN77-DW76)))</f>
        <v>201.66666666666674</v>
      </c>
      <c r="DP77" s="17">
        <f>DO77*VLOOKUP('Données projet'!$B$14,Paramètres!$A$1:$I$89,3,0)*VLOOKUP('Données projet'!$B$14,Paramètres!$A$1:$I$89,5,0)</f>
        <v>195.05200000000008</v>
      </c>
      <c r="DQ77" s="13">
        <f t="shared" si="97"/>
        <v>48.655166737483917</v>
      </c>
      <c r="DR77" s="20">
        <f t="shared" si="70"/>
        <v>424.45664873445122</v>
      </c>
      <c r="DS77" s="59">
        <f t="shared" si="71"/>
        <v>717.78998206778454</v>
      </c>
      <c r="DT77" s="59">
        <f ca="1">AVERAGE(OFFSET($DS$3,0,0,'Données projet'!$E$14+1,1))-AVERAGE(OFFSET($H$3,0,0,'Données projet'!$E$14+1,1))</f>
        <v>325.01961068962373</v>
      </c>
      <c r="DU77" s="59">
        <f t="shared" si="98"/>
        <v>155.12737608540039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13.618781378285663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13.618781378285663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3.4</v>
      </c>
      <c r="EJ77" s="12">
        <f>IF('Données projet'!$A$192&gt;35,EJ76+EI77-ER76,IF(A77&lt;'Données projet'!$A$192,$EG$205^A77,IF(A77='Données projet'!$A$192,'Données projet'!$B$192,EJ76+EI77-ER76)))</f>
        <v>266.5999999999998</v>
      </c>
      <c r="EK77" s="17">
        <f>EJ77*VLOOKUP('Données projet'!$B$15,Paramètres!$A$1:$I$89,3,0)*VLOOKUP('Données projet'!$B$15,Paramètres!$A$1:$I$89,5,0)</f>
        <v>178.83527999999987</v>
      </c>
      <c r="EL77" s="13">
        <f t="shared" si="99"/>
        <v>45.062959603448384</v>
      </c>
      <c r="EM77" s="20">
        <f t="shared" si="73"/>
        <v>389.95610064267231</v>
      </c>
      <c r="EN77" s="59">
        <f t="shared" si="74"/>
        <v>683.28943397600563</v>
      </c>
      <c r="EO77" s="59">
        <f ca="1">AVERAGE(OFFSET($EN$3,0,0,'Données projet'!$E$15+1,1))-AVERAGE(OFFSET($H$3,0,0,'Données projet'!$E$15+1,1))</f>
        <v>178.09619481964575</v>
      </c>
      <c r="EP77" s="59">
        <f t="shared" si="100"/>
        <v>178.65167777495174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13.080244886563229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0.58955819842184365</v>
      </c>
      <c r="EY77" s="22">
        <f t="shared" si="75"/>
        <v>13.669803084985073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3.4</v>
      </c>
      <c r="FE77" s="12">
        <f>IF('Données projet'!$A$218&gt;35,FE76+FD77-FM76,IF(A77&lt;'Données projet'!$A$218,$FB$205^A77,IF(A77='Données projet'!$A$218,'Données projet'!$B$218,FE76+FD77-FM76)))</f>
        <v>266.5999999999998</v>
      </c>
      <c r="FF77" s="17">
        <f>FE77*VLOOKUP('Données projet'!$B$16,Paramètres!$A$1:$I$89,3,0)*VLOOKUP('Données projet'!$B$16,Paramètres!$A$1:$I$89,5,0)</f>
        <v>212.10695999999984</v>
      </c>
      <c r="FG77" s="13">
        <f t="shared" si="101"/>
        <v>52.395741612408194</v>
      </c>
      <c r="FH77" s="20">
        <f t="shared" si="76"/>
        <v>460.67553864161067</v>
      </c>
      <c r="FI77" s="59">
        <f t="shared" si="77"/>
        <v>754.00887197494399</v>
      </c>
      <c r="FJ77" s="59">
        <f ca="1">AVERAGE(OFFSET($FI$3,0,0,'Données projet'!$E$16+1,1))-AVERAGE(OFFSET($H$3,0,0,'Données projet'!$E$16+1,1))</f>
        <v>219.43439115440339</v>
      </c>
      <c r="FK77" s="59">
        <f t="shared" si="102"/>
        <v>217.8880462742099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15.513778818947085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0.6992434446398611</v>
      </c>
      <c r="FT77" s="22">
        <f t="shared" si="78"/>
        <v>16.213022263586947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>
        <f>FZ77*VLOOKUP('Données projet'!$B$17,Paramètres!$A$1:$I$89,3,0)*VLOOKUP('Données projet'!$B$17,Paramètres!$A$1:$I$89,5,0)</f>
        <v>0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191.77102466144095</v>
      </c>
      <c r="GF77" s="59">
        <f t="shared" si="104"/>
        <v>205.57161411620217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88.080377961348802</v>
      </c>
      <c r="GM77" s="21">
        <f>EXP(-LN(2)/25)*GM76+(1-EXP(-LN(2)/25))/(LN(2)/25)*Calculateur!GH77*Calculateur!GJ77*VLOOKUP('Données projet'!$B$17,Paramètres!$A$1:$I$89,3,0)*0.475*44/12</f>
        <v>16.490416279371434</v>
      </c>
      <c r="GN77" s="21">
        <f>EXP(-LN(2)/2)*GN76+(1-EXP(-LN(2)/2))/(LN(2)/2)*GH77*GK77*VLOOKUP('Données projet'!$B$17,Paramètres!$A$1:$I$89,3,0)*0.475*44/12</f>
        <v>0.33565280416026438</v>
      </c>
      <c r="GO77" s="21">
        <f t="shared" si="81"/>
        <v>104.90644704488049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84.31577618130467</v>
      </c>
      <c r="T78" s="59">
        <f t="shared" si="88"/>
        <v>527.2140904310653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50.155637567781433</v>
      </c>
      <c r="AA78" s="21">
        <f>EXP(-LN(2)/25)*AA77+(1-EXP(-LN(2)/25))/(LN(2)/25)*Calculateur!V78*Calculateur!X78*VLOOKUP('Données projet'!$B$9,Paramètres!$A$1:$I$89,3,0)*0.475*44/12</f>
        <v>10.122008800590756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60.277646368372189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208</v>
      </c>
      <c r="AG78" s="12">
        <f>VLOOKUP(A78,'Données projet'!$A$61:$I$81,9,0)</f>
        <v>6.333333333333333</v>
      </c>
      <c r="AH78" s="12">
        <f t="array" ref="AH78">INDEX(AG:AG,MIN(IF(ISNUMBER(AG78:AG274),ROW(AG78:AG274),"")))</f>
        <v>6.333333333333333</v>
      </c>
      <c r="AI78" s="13">
        <f>IF('Données projet'!$A$62&gt;35,AI77+AH78-AQ77,IF(A78&lt;'Données projet'!$A$62,$AF$205^A78,IF(A78='Données projet'!$A$62,'Données projet'!$B$62,AI77+AH78-AQ77)))</f>
        <v>208.00000000000009</v>
      </c>
      <c r="AJ78" s="13">
        <f>AI78*VLOOKUP('Données projet'!$B$10,Paramètres!$A$1:$I$89,3,0)*VLOOKUP('Données projet'!$B$10,Paramètres!$A$1:$I$89,5,0)</f>
        <v>188.19840000000008</v>
      </c>
      <c r="AK78" s="13">
        <f t="shared" si="89"/>
        <v>47.141424081428056</v>
      </c>
      <c r="AL78" s="20">
        <f t="shared" si="58"/>
        <v>409.88352694182066</v>
      </c>
      <c r="AM78" s="59">
        <f t="shared" si="59"/>
        <v>703.21686027515398</v>
      </c>
      <c r="AN78" s="59">
        <f ca="1">AVERAGE(OFFSET($AM$3,0,0,'Données projet'!$E$10+1,1))-AVERAGE(OFFSET($H$3,0,0,'Données projet'!$E$10+1,1))</f>
        <v>297.90790572649428</v>
      </c>
      <c r="AO78" s="59">
        <f t="shared" si="90"/>
        <v>142.96889776844506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37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0.215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20.317267646765828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20.317267646765828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208</v>
      </c>
      <c r="BB78" s="12">
        <f>VLOOKUP(A78,'Données projet'!$A$87:$I$107,9,0)</f>
        <v>6.333333333333333</v>
      </c>
      <c r="BC78" s="12">
        <f t="array" ref="BC78">INDEX(BB:BB,MIN(IF(ISNUMBER(BB78:BB274),ROW(BB78:BB274),"")))</f>
        <v>6.333333333333333</v>
      </c>
      <c r="BD78" s="12">
        <f>IF('Données projet'!$A$88&gt;35,BD77+BC78-BL77,IF(A78&lt;'Données projet'!$A$88,$BA$205^A78,IF(A78='Données projet'!$A$88,'Données projet'!$B$88,BD77+BC78-BL77)))</f>
        <v>208.00000000000009</v>
      </c>
      <c r="BE78" s="13">
        <f>BD78*VLOOKUP('Données projet'!$B$11,Paramètres!$A$1:$I$89,3,0)*VLOOKUP('Données projet'!$B$11,Paramètres!$A$1:$I$89,5,0)</f>
        <v>210.91200000000012</v>
      </c>
      <c r="BF78" s="13">
        <f t="shared" si="91"/>
        <v>52.134830352456831</v>
      </c>
      <c r="BG78" s="20">
        <f t="shared" si="61"/>
        <v>458.13989619719581</v>
      </c>
      <c r="BH78" s="59">
        <f t="shared" si="62"/>
        <v>751.47322953052912</v>
      </c>
      <c r="BI78" s="59">
        <f ca="1">AVERAGE(OFFSET($BH$3,0,0,'Données projet'!$E$11+1,1))-AVERAGE(OFFSET($H$3,0,0,'Données projet'!$E$11+1,1))</f>
        <v>345.3294887586967</v>
      </c>
      <c r="BJ78" s="59">
        <f t="shared" si="92"/>
        <v>164.23448598618114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37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0.215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22.769351673099642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22.769351673099642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8.875</v>
      </c>
      <c r="BY78" s="12">
        <f>IF('Données projet'!$A$114&gt;35,BY77+BX78-CG77,IF(A78&lt;'Données projet'!$A$114,$BV$205^A78,IF(A78='Données projet'!$A$114,'Données projet'!$B$114,BY77+BX78-CG77)))</f>
        <v>504.875</v>
      </c>
      <c r="BZ78" s="13">
        <f>BY78*VLOOKUP('Données projet'!$B$12,Paramètres!$A$1:$I$89,3,0)*VLOOKUP('Données projet'!$B$12,Paramètres!$A$1:$I$89,5,0)</f>
        <v>301.91525000000001</v>
      </c>
      <c r="CA78" s="13">
        <f t="shared" si="93"/>
        <v>71.577824610045951</v>
      </c>
      <c r="CB78" s="20">
        <f t="shared" si="64"/>
        <v>650.50043827916329</v>
      </c>
      <c r="CC78" s="59">
        <f t="shared" si="65"/>
        <v>943.83377161249655</v>
      </c>
      <c r="CD78" s="59">
        <f ca="1">AVERAGE(OFFSET($CC$3,0,0,'Données projet'!$E$12+1,1))-AVERAGE(OFFSET($H$3,0,0,'Données projet'!$E$12+1,1))</f>
        <v>289.07218105343333</v>
      </c>
      <c r="CE78" s="59">
        <f t="shared" si="94"/>
        <v>217.57508587672368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20.571046531522146</v>
      </c>
      <c r="CL78" s="21">
        <f>EXP(-LN(2)/25)*CL77+(1-EXP(-LN(2)/25))/(LN(2)/25)*Calculateur!CG78*Calculateur!CI78*VLOOKUP('Données projet'!$B$12,Paramètres!$A$1:$I$89,3,0)*0.475*44/12</f>
        <v>36.632511173540557</v>
      </c>
      <c r="CM78" s="21">
        <f>EXP(-LN(2)/2)*CM77+(1-EXP(-LN(2)/2))/(LN(2)/2)*CG78*CJ78*VLOOKUP('Données projet'!$B$12,Paramètres!$A$1:$I$89,3,0)*0.475*44/12</f>
        <v>4.1730997946022672</v>
      </c>
      <c r="CN78" s="22">
        <f t="shared" si="66"/>
        <v>61.376657499664972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1.7053025658242404E-13</v>
      </c>
      <c r="CU78" s="17">
        <f>CT78*VLOOKUP('Données projet'!$B$13,Paramètres!$A$1:$I$89,3,0)*VLOOKUP('Données projet'!$B$13,Paramètres!$A$1:$I$89,5,0)</f>
        <v>1.4897523215040567E-13</v>
      </c>
      <c r="CV78" s="13">
        <f t="shared" si="95"/>
        <v>2.136562777003313E-12</v>
      </c>
      <c r="CW78" s="20">
        <f t="shared" si="67"/>
        <v>3.9806453659427267E-12</v>
      </c>
      <c r="CX78" s="59">
        <f t="shared" si="68"/>
        <v>293.33333333333729</v>
      </c>
      <c r="CY78" s="59">
        <f ca="1">AVERAGE(OFFSET($CX$3,0,0,'Données projet'!$E$13+1,1))-AVERAGE(OFFSET($H$3,0,0,'Données projet'!$E$13+1,1))</f>
        <v>237.8483058552178</v>
      </c>
      <c r="CZ78" s="59">
        <f t="shared" si="96"/>
        <v>313.36201272119723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79.397964372546596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7.2815397302864273</v>
      </c>
      <c r="DI78" s="22">
        <f t="shared" si="69"/>
        <v>86.679504102833022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208</v>
      </c>
      <c r="DM78" s="12">
        <f>VLOOKUP(A78,'Données projet'!$A$165:$I$185,9,0)</f>
        <v>6.333333333333333</v>
      </c>
      <c r="DN78" s="12">
        <f t="array" ref="DN78">INDEX(DM:DM,MIN(IF(ISNUMBER(DM78:DM274),ROW(DM78:DM274),"")))</f>
        <v>6.333333333333333</v>
      </c>
      <c r="DO78" s="12">
        <f>IF('Données projet'!$A$166&gt;35,DO77+DN78-DW77,IF(A78&lt;'Données projet'!$A$166,$DL$205^A78,IF(A78='Données projet'!$A$166,'Données projet'!$B$166,DO77+DN78-DW77)))</f>
        <v>208.00000000000009</v>
      </c>
      <c r="DP78" s="17">
        <f>DO78*VLOOKUP('Données projet'!$B$14,Paramètres!$A$1:$I$89,3,0)*VLOOKUP('Données projet'!$B$14,Paramètres!$A$1:$I$89,5,0)</f>
        <v>201.1776000000001</v>
      </c>
      <c r="DQ78" s="13">
        <f t="shared" si="97"/>
        <v>50.002880070410733</v>
      </c>
      <c r="DR78" s="20">
        <f t="shared" si="70"/>
        <v>437.47266945596544</v>
      </c>
      <c r="DS78" s="59">
        <f t="shared" si="71"/>
        <v>730.80600278929876</v>
      </c>
      <c r="DT78" s="59">
        <f ca="1">AVERAGE(OFFSET($DS$3,0,0,'Données projet'!$E$14+1,1))-AVERAGE(OFFSET($H$3,0,0,'Données projet'!$E$14+1,1))</f>
        <v>325.01961068962373</v>
      </c>
      <c r="DU78" s="59">
        <f t="shared" si="98"/>
        <v>155.12737608540039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37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0.215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21.718458518956581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21.718458518956581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270</v>
      </c>
      <c r="EH78" s="12">
        <f>VLOOKUP(A78,'Données projet'!$A$191:$I$211,9,0)</f>
        <v>3.4</v>
      </c>
      <c r="EI78" s="12">
        <f t="array" ref="EI78">INDEX(EH:EH,MIN(IF(ISNUMBER(EH78:EH274),ROW(EH78:EH274),"")))</f>
        <v>3.4</v>
      </c>
      <c r="EJ78" s="12">
        <f>IF('Données projet'!$A$192&gt;35,EJ77+EI78-ER77,IF(A78&lt;'Données projet'!$A$192,$EG$205^A78,IF(A78='Données projet'!$A$192,'Données projet'!$B$192,EJ77+EI78-ER77)))</f>
        <v>269.99999999999977</v>
      </c>
      <c r="EK78" s="17">
        <f>EJ78*VLOOKUP('Données projet'!$B$15,Paramètres!$A$1:$I$89,3,0)*VLOOKUP('Données projet'!$B$15,Paramètres!$A$1:$I$89,5,0)</f>
        <v>181.11599999999984</v>
      </c>
      <c r="EL78" s="13">
        <f t="shared" si="99"/>
        <v>45.570386218758173</v>
      </c>
      <c r="EM78" s="20">
        <f t="shared" si="73"/>
        <v>394.81212266433687</v>
      </c>
      <c r="EN78" s="59">
        <f t="shared" si="74"/>
        <v>688.14545599767018</v>
      </c>
      <c r="EO78" s="59">
        <f ca="1">AVERAGE(OFFSET($EN$3,0,0,'Données projet'!$E$15+1,1))-AVERAGE(OFFSET($H$3,0,0,'Données projet'!$E$15+1,1))</f>
        <v>178.09619481964575</v>
      </c>
      <c r="EP78" s="59">
        <f t="shared" si="100"/>
        <v>178.65167777495174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9</v>
      </c>
      <c r="ES78" s="16">
        <f>IF(ISNA(VLOOKUP(A78,'Données projet'!$A$191:$I$211,5,0)),0%,VLOOKUP(A78,'Données projet'!$A$191:$I$211,5,0)*VLOOKUP('Données projet'!$B$15,Paramètres!$A$1:$I$89,7,0))</f>
        <v>0.371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0.2</v>
      </c>
      <c r="EV78" s="21">
        <f>EXP(-LN(2)/35)*EV77+(1-EXP(-LN(2)/35))/(LN(2)/35)*ER78*ES78*VLOOKUP('Données projet'!$B$15,Paramètres!$A$1:$I$89,3,0)*0.475*44/12</f>
        <v>15.299783145141683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1.5561327377793397</v>
      </c>
      <c r="EY78" s="22">
        <f t="shared" si="75"/>
        <v>16.855915882921025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270</v>
      </c>
      <c r="FC78" s="12">
        <f>VLOOKUP(A78,'Données projet'!$A$217:$I$237,9,0)</f>
        <v>3.4</v>
      </c>
      <c r="FD78" s="12">
        <f t="array" ref="FD78">INDEX(FC:FC,MIN(IF(ISNUMBER(FC78:FC274),ROW(FC78:FC274),"")))</f>
        <v>3.4</v>
      </c>
      <c r="FE78" s="12">
        <f>IF('Données projet'!$A$218&gt;35,FE77+FD78-FM77,IF(A78&lt;'Données projet'!$A$218,$FB$205^A78,IF(A78='Données projet'!$A$218,'Données projet'!$B$218,FE77+FD78-FM77)))</f>
        <v>269.99999999999977</v>
      </c>
      <c r="FF78" s="17">
        <f>FE78*VLOOKUP('Données projet'!$B$16,Paramètres!$A$1:$I$89,3,0)*VLOOKUP('Données projet'!$B$16,Paramètres!$A$1:$I$89,5,0)</f>
        <v>214.81199999999981</v>
      </c>
      <c r="FG78" s="13">
        <f t="shared" si="101"/>
        <v>52.985738231738011</v>
      </c>
      <c r="FH78" s="20">
        <f t="shared" si="76"/>
        <v>466.41439408694333</v>
      </c>
      <c r="FI78" s="59">
        <f t="shared" si="77"/>
        <v>759.74772742027665</v>
      </c>
      <c r="FJ78" s="59">
        <f ca="1">AVERAGE(OFFSET($FI$3,0,0,'Données projet'!$E$16+1,1))-AVERAGE(OFFSET($H$3,0,0,'Données projet'!$E$16+1,1))</f>
        <v>219.43439115440339</v>
      </c>
      <c r="FK78" s="59">
        <f t="shared" si="102"/>
        <v>217.8880462742099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9</v>
      </c>
      <c r="FN78" s="16">
        <f>IF(ISNA(VLOOKUP(A78,'Données projet'!$A$217:$I$237,5,0)),0%,VLOOKUP(A78,'Données projet'!$A$217:$I$237,5,0)*VLOOKUP('Données projet'!$B$16,Paramètres!$A$1:$I$89,7,0))</f>
        <v>0.371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0.2</v>
      </c>
      <c r="FQ78" s="21">
        <f>EXP(-LN(2)/35)*FQ77+(1-EXP(-LN(2)/35))/(LN(2)/35)*FM78*FN78*VLOOKUP('Données projet'!$B$16,Paramètres!$A$1:$I$89,3,0)*0.475*44/12</f>
        <v>18.146254427958741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1.8456458052731706</v>
      </c>
      <c r="FT78" s="22">
        <f t="shared" si="78"/>
        <v>19.991900233231913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>
        <f>FZ78*VLOOKUP('Données projet'!$B$17,Paramètres!$A$1:$I$89,3,0)*VLOOKUP('Données projet'!$B$17,Paramètres!$A$1:$I$89,5,0)</f>
        <v>0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191.77102466144095</v>
      </c>
      <c r="GF78" s="59">
        <f t="shared" si="104"/>
        <v>205.57161411620217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86.353175473252534</v>
      </c>
      <c r="GM78" s="21">
        <f>EXP(-LN(2)/25)*GM77+(1-EXP(-LN(2)/25))/(LN(2)/25)*Calculateur!GH78*Calculateur!GJ78*VLOOKUP('Données projet'!$B$17,Paramètres!$A$1:$I$89,3,0)*0.475*44/12</f>
        <v>16.03948497901872</v>
      </c>
      <c r="GN78" s="21">
        <f>EXP(-LN(2)/2)*GN77+(1-EXP(-LN(2)/2))/(LN(2)/2)*GH78*GK78*VLOOKUP('Données projet'!$B$17,Paramètres!$A$1:$I$89,3,0)*0.475*44/12</f>
        <v>0.23734237394600316</v>
      </c>
      <c r="GO78" s="21">
        <f t="shared" si="81"/>
        <v>102.63000282621726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84.31577618130467</v>
      </c>
      <c r="T79" s="59">
        <f t="shared" si="88"/>
        <v>527.2140904310653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49.172116106995453</v>
      </c>
      <c r="AA79" s="21">
        <f>EXP(-LN(2)/25)*AA78+(1-EXP(-LN(2)/25))/(LN(2)/25)*Calculateur!V79*Calculateur!X79*VLOOKUP('Données projet'!$B$9,Paramètres!$A$1:$I$89,3,0)*0.475*44/12</f>
        <v>9.8452219376452934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59.017338044640745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5.8888888888888893</v>
      </c>
      <c r="AI79" s="13">
        <f>IF('Données projet'!$A$62&gt;35,AI78+AH79-AQ78,IF(A79&lt;'Données projet'!$A$62,$AF$205^A79,IF(A79='Données projet'!$A$62,'Données projet'!$B$62,AI78+AH79-AQ78)))</f>
        <v>176.88888888888897</v>
      </c>
      <c r="AJ79" s="13">
        <f>AI79*VLOOKUP('Données projet'!$B$10,Paramètres!$A$1:$I$89,3,0)*VLOOKUP('Données projet'!$B$10,Paramètres!$A$1:$I$89,5,0)</f>
        <v>160.04906666666673</v>
      </c>
      <c r="AK79" s="13">
        <f t="shared" si="89"/>
        <v>40.853582332820466</v>
      </c>
      <c r="AL79" s="20">
        <f t="shared" si="58"/>
        <v>349.90544700744022</v>
      </c>
      <c r="AM79" s="59">
        <f t="shared" si="59"/>
        <v>643.23878034077347</v>
      </c>
      <c r="AN79" s="59">
        <f ca="1">AVERAGE(OFFSET($AM$3,0,0,'Données projet'!$E$10+1,1))-AVERAGE(OFFSET($H$3,0,0,'Données projet'!$E$10+1,1))</f>
        <v>297.90790572649428</v>
      </c>
      <c r="AO79" s="59">
        <f t="shared" si="90"/>
        <v>142.96889776844506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19.761690894526346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19.761690894526346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5.8888888888888893</v>
      </c>
      <c r="BD79" s="12">
        <f>IF('Données projet'!$A$88&gt;35,BD78+BC79-BL78,IF(A79&lt;'Données projet'!$A$88,$BA$205^A79,IF(A79='Données projet'!$A$88,'Données projet'!$B$88,BD78+BC79-BL78)))</f>
        <v>176.88888888888897</v>
      </c>
      <c r="BE79" s="13">
        <f>BD79*VLOOKUP('Données projet'!$B$11,Paramètres!$A$1:$I$89,3,0)*VLOOKUP('Données projet'!$B$11,Paramètres!$A$1:$I$89,5,0)</f>
        <v>179.36533333333341</v>
      </c>
      <c r="BF79" s="13">
        <f t="shared" si="91"/>
        <v>45.180955512347808</v>
      </c>
      <c r="BG79" s="20">
        <f t="shared" si="61"/>
        <v>391.08478640622803</v>
      </c>
      <c r="BH79" s="59">
        <f t="shared" si="62"/>
        <v>684.41811973956135</v>
      </c>
      <c r="BI79" s="59">
        <f ca="1">AVERAGE(OFFSET($BH$3,0,0,'Données projet'!$E$11+1,1))-AVERAGE(OFFSET($H$3,0,0,'Données projet'!$E$11+1,1))</f>
        <v>345.3294887586967</v>
      </c>
      <c r="BJ79" s="59">
        <f t="shared" si="92"/>
        <v>164.23448598618114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22.146722554210569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22.146722554210569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8.875</v>
      </c>
      <c r="BY79" s="12">
        <f>IF('Données projet'!$A$114&gt;35,BY78+BX79-CG78,IF(A79&lt;'Données projet'!$A$114,$BV$205^A79,IF(A79='Données projet'!$A$114,'Données projet'!$B$114,BY78+BX79-CG78)))</f>
        <v>513.75</v>
      </c>
      <c r="BZ79" s="13">
        <f>BY79*VLOOKUP('Données projet'!$B$12,Paramètres!$A$1:$I$89,3,0)*VLOOKUP('Données projet'!$B$12,Paramètres!$A$1:$I$89,5,0)</f>
        <v>307.22250000000003</v>
      </c>
      <c r="CA79" s="13">
        <f t="shared" si="93"/>
        <v>72.68847414066191</v>
      </c>
      <c r="CB79" s="20">
        <f t="shared" si="64"/>
        <v>661.67827996165295</v>
      </c>
      <c r="CC79" s="59">
        <f t="shared" si="65"/>
        <v>955.01161329498632</v>
      </c>
      <c r="CD79" s="59">
        <f ca="1">AVERAGE(OFFSET($CC$3,0,0,'Données projet'!$E$12+1,1))-AVERAGE(OFFSET($H$3,0,0,'Données projet'!$E$12+1,1))</f>
        <v>289.07218105343333</v>
      </c>
      <c r="CE79" s="59">
        <f t="shared" si="94"/>
        <v>217.57508587672368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20.167660856138458</v>
      </c>
      <c r="CL79" s="21">
        <f>EXP(-LN(2)/25)*CL78+(1-EXP(-LN(2)/25))/(LN(2)/25)*Calculateur!CG79*Calculateur!CI79*VLOOKUP('Données projet'!$B$12,Paramètres!$A$1:$I$89,3,0)*0.475*44/12</f>
        <v>35.630793229080055</v>
      </c>
      <c r="CM79" s="21">
        <f>EXP(-LN(2)/2)*CM78+(1-EXP(-LN(2)/2))/(LN(2)/2)*CG79*CJ79*VLOOKUP('Données projet'!$B$12,Paramètres!$A$1:$I$89,3,0)*0.475*44/12</f>
        <v>2.9508271633314518</v>
      </c>
      <c r="CN79" s="22">
        <f t="shared" si="66"/>
        <v>58.749281248549963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1.7053025658242404E-13</v>
      </c>
      <c r="CU79" s="17">
        <f>CT79*VLOOKUP('Données projet'!$B$13,Paramètres!$A$1:$I$89,3,0)*VLOOKUP('Données projet'!$B$13,Paramètres!$A$1:$I$89,5,0)</f>
        <v>1.4897523215040567E-13</v>
      </c>
      <c r="CV79" s="13">
        <f t="shared" si="95"/>
        <v>2.136562777003313E-12</v>
      </c>
      <c r="CW79" s="20">
        <f t="shared" si="67"/>
        <v>3.9806453659427267E-12</v>
      </c>
      <c r="CX79" s="59">
        <f t="shared" si="68"/>
        <v>293.33333333333729</v>
      </c>
      <c r="CY79" s="59">
        <f ca="1">AVERAGE(OFFSET($CX$3,0,0,'Données projet'!$E$13+1,1))-AVERAGE(OFFSET($H$3,0,0,'Données projet'!$E$13+1,1))</f>
        <v>237.8483058552178</v>
      </c>
      <c r="CZ79" s="59">
        <f t="shared" si="96"/>
        <v>313.36201272119723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77.841018719177356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5.148826120764797</v>
      </c>
      <c r="DI79" s="22">
        <f t="shared" si="69"/>
        <v>82.989844839942151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5.8888888888888893</v>
      </c>
      <c r="DO79" s="12">
        <f>IF('Données projet'!$A$166&gt;35,DO78+DN79-DW78,IF(A79&lt;'Données projet'!$A$166,$DL$205^A79,IF(A79='Données projet'!$A$166,'Données projet'!$B$166,DO78+DN79-DW78)))</f>
        <v>176.88888888888897</v>
      </c>
      <c r="DP79" s="17">
        <f>DO79*VLOOKUP('Données projet'!$B$14,Paramètres!$A$1:$I$89,3,0)*VLOOKUP('Données projet'!$B$14,Paramètres!$A$1:$I$89,5,0)</f>
        <v>171.08693333333341</v>
      </c>
      <c r="DQ79" s="13">
        <f t="shared" si="97"/>
        <v>43.333370122763419</v>
      </c>
      <c r="DR79" s="20">
        <f t="shared" si="70"/>
        <v>373.44869518603531</v>
      </c>
      <c r="DS79" s="59">
        <f t="shared" si="71"/>
        <v>666.78202851936862</v>
      </c>
      <c r="DT79" s="59">
        <f ca="1">AVERAGE(OFFSET($DS$3,0,0,'Données projet'!$E$14+1,1))-AVERAGE(OFFSET($H$3,0,0,'Données projet'!$E$14+1,1))</f>
        <v>325.01961068962373</v>
      </c>
      <c r="DU79" s="59">
        <f t="shared" si="98"/>
        <v>155.12737608540039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21.124566128631617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21.124566128631617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2.8</v>
      </c>
      <c r="EJ79" s="12">
        <f>IF('Données projet'!$A$192&gt;35,EJ78+EI79-ER78,IF(A79&lt;'Données projet'!$A$192,$EG$205^A79,IF(A79='Données projet'!$A$192,'Données projet'!$B$192,EJ78+EI79-ER78)))</f>
        <v>263.79999999999978</v>
      </c>
      <c r="EK79" s="17">
        <f>EJ79*VLOOKUP('Données projet'!$B$15,Paramètres!$A$1:$I$89,3,0)*VLOOKUP('Données projet'!$B$15,Paramètres!$A$1:$I$89,5,0)</f>
        <v>176.95703999999986</v>
      </c>
      <c r="EL79" s="13">
        <f t="shared" si="99"/>
        <v>44.64451330516016</v>
      </c>
      <c r="EM79" s="20">
        <f t="shared" si="73"/>
        <v>385.95603867315367</v>
      </c>
      <c r="EN79" s="59">
        <f t="shared" si="74"/>
        <v>679.28937200648693</v>
      </c>
      <c r="EO79" s="59">
        <f ca="1">AVERAGE(OFFSET($EN$3,0,0,'Données projet'!$E$15+1,1))-AVERAGE(OFFSET($H$3,0,0,'Données projet'!$E$15+1,1))</f>
        <v>178.09619481964575</v>
      </c>
      <c r="EP79" s="59">
        <f t="shared" si="100"/>
        <v>178.65167777495174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14.99976372961172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1.1003520113101588</v>
      </c>
      <c r="EY79" s="22">
        <f t="shared" si="75"/>
        <v>16.100115740921879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2.8</v>
      </c>
      <c r="FE79" s="12">
        <f>IF('Données projet'!$A$218&gt;35,FE78+FD79-FM78,IF(A79&lt;'Données projet'!$A$218,$FB$205^A79,IF(A79='Données projet'!$A$218,'Données projet'!$B$218,FE78+FD79-FM78)))</f>
        <v>263.79999999999978</v>
      </c>
      <c r="FF79" s="17">
        <f>FE79*VLOOKUP('Données projet'!$B$16,Paramètres!$A$1:$I$89,3,0)*VLOOKUP('Données projet'!$B$16,Paramètres!$A$1:$I$89,5,0)</f>
        <v>209.87927999999985</v>
      </c>
      <c r="FG79" s="13">
        <f t="shared" si="101"/>
        <v>51.909204458241767</v>
      </c>
      <c r="FH79" s="20">
        <f t="shared" si="76"/>
        <v>455.94827709810414</v>
      </c>
      <c r="FI79" s="59">
        <f t="shared" si="77"/>
        <v>749.28161043143746</v>
      </c>
      <c r="FJ79" s="59">
        <f ca="1">AVERAGE(OFFSET($FI$3,0,0,'Données projet'!$E$16+1,1))-AVERAGE(OFFSET($H$3,0,0,'Données projet'!$E$16+1,1))</f>
        <v>219.43439115440339</v>
      </c>
      <c r="FK79" s="59">
        <f t="shared" si="102"/>
        <v>217.8880462742099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17.790417446748783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1.3050686645771652</v>
      </c>
      <c r="FT79" s="22">
        <f t="shared" si="78"/>
        <v>19.095486111325947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>
        <f>FZ79*VLOOKUP('Données projet'!$B$17,Paramètres!$A$1:$I$89,3,0)*VLOOKUP('Données projet'!$B$17,Paramètres!$A$1:$I$89,5,0)</f>
        <v>0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191.77102466144095</v>
      </c>
      <c r="GF79" s="59">
        <f t="shared" si="104"/>
        <v>205.57161411620217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84.659842372458343</v>
      </c>
      <c r="GM79" s="21">
        <f>EXP(-LN(2)/25)*GM78+(1-EXP(-LN(2)/25))/(LN(2)/25)*Calculateur!GH79*Calculateur!GJ79*VLOOKUP('Données projet'!$B$17,Paramètres!$A$1:$I$89,3,0)*0.475*44/12</f>
        <v>15.600884418787597</v>
      </c>
      <c r="GN79" s="21">
        <f>EXP(-LN(2)/2)*GN78+(1-EXP(-LN(2)/2))/(LN(2)/2)*GH79*GK79*VLOOKUP('Données projet'!$B$17,Paramètres!$A$1:$I$89,3,0)*0.475*44/12</f>
        <v>0.16782640208013222</v>
      </c>
      <c r="GO79" s="21">
        <f t="shared" si="81"/>
        <v>100.42855319332608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84.31577618130467</v>
      </c>
      <c r="T80" s="59">
        <f t="shared" si="88"/>
        <v>527.2140904310653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48.207880902166629</v>
      </c>
      <c r="AA80" s="21">
        <f>EXP(-LN(2)/25)*AA79+(1-EXP(-LN(2)/25))/(LN(2)/25)*Calculateur!V80*Calculateur!X80*VLOOKUP('Données projet'!$B$9,Paramètres!$A$1:$I$89,3,0)*0.475*44/12</f>
        <v>9.5760038260226619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57.783884728189292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5.8888888888888893</v>
      </c>
      <c r="AI80" s="13">
        <f>IF('Données projet'!$A$62&gt;35,AI79+AH80-AQ79,IF(A80&lt;'Données projet'!$A$62,$AF$205^A80,IF(A80='Données projet'!$A$62,'Données projet'!$B$62,AI79+AH80-AQ79)))</f>
        <v>182.77777777777786</v>
      </c>
      <c r="AJ80" s="13">
        <f>AI80*VLOOKUP('Données projet'!$B$10,Paramètres!$A$1:$I$89,3,0)*VLOOKUP('Données projet'!$B$10,Paramètres!$A$1:$I$89,5,0)</f>
        <v>165.37733333333341</v>
      </c>
      <c r="AK80" s="13">
        <f t="shared" si="89"/>
        <v>42.053044719288117</v>
      </c>
      <c r="AL80" s="20">
        <f t="shared" si="58"/>
        <v>361.27457510831579</v>
      </c>
      <c r="AM80" s="59">
        <f t="shared" si="59"/>
        <v>654.6079084416491</v>
      </c>
      <c r="AN80" s="59">
        <f ca="1">AVERAGE(OFFSET($AM$3,0,0,'Données projet'!$E$10+1,1))-AVERAGE(OFFSET($H$3,0,0,'Données projet'!$E$10+1,1))</f>
        <v>297.90790572649428</v>
      </c>
      <c r="AO80" s="59">
        <f t="shared" si="90"/>
        <v>142.96889776844506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19.221306417793365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19.221306417793365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5.8888888888888893</v>
      </c>
      <c r="BD80" s="12">
        <f>IF('Données projet'!$A$88&gt;35,BD79+BC80-BL79,IF(A80&lt;'Données projet'!$A$88,$BA$205^A80,IF(A80='Données projet'!$A$88,'Données projet'!$B$88,BD79+BC80-BL79)))</f>
        <v>182.77777777777786</v>
      </c>
      <c r="BE80" s="13">
        <f>BD80*VLOOKUP('Données projet'!$B$11,Paramètres!$A$1:$I$89,3,0)*VLOOKUP('Données projet'!$B$11,Paramètres!$A$1:$I$89,5,0)</f>
        <v>185.33666666666676</v>
      </c>
      <c r="BF80" s="13">
        <f t="shared" si="91"/>
        <v>46.507469703447093</v>
      </c>
      <c r="BG80" s="20">
        <f t="shared" si="61"/>
        <v>403.79520417794828</v>
      </c>
      <c r="BH80" s="59">
        <f t="shared" si="62"/>
        <v>697.12853751128159</v>
      </c>
      <c r="BI80" s="59">
        <f ca="1">AVERAGE(OFFSET($BH$3,0,0,'Données projet'!$E$11+1,1))-AVERAGE(OFFSET($H$3,0,0,'Données projet'!$E$11+1,1))</f>
        <v>345.3294887586967</v>
      </c>
      <c r="BJ80" s="59">
        <f t="shared" si="92"/>
        <v>164.23448598618114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21.541119261320159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21.541119261320159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8.875</v>
      </c>
      <c r="BY80" s="12">
        <f>IF('Données projet'!$A$114&gt;35,BY79+BX80-CG79,IF(A80&lt;'Données projet'!$A$114,$BV$205^A80,IF(A80='Données projet'!$A$114,'Données projet'!$B$114,BY79+BX80-CG79)))</f>
        <v>522.625</v>
      </c>
      <c r="BZ80" s="13">
        <f>BY80*VLOOKUP('Données projet'!$B$12,Paramètres!$A$1:$I$89,3,0)*VLOOKUP('Données projet'!$B$12,Paramètres!$A$1:$I$89,5,0)</f>
        <v>312.52975000000004</v>
      </c>
      <c r="CA80" s="13">
        <f t="shared" si="93"/>
        <v>73.796892500493684</v>
      </c>
      <c r="CB80" s="20">
        <f t="shared" si="64"/>
        <v>672.85223568835988</v>
      </c>
      <c r="CC80" s="59">
        <f t="shared" si="65"/>
        <v>966.18556902169325</v>
      </c>
      <c r="CD80" s="59">
        <f ca="1">AVERAGE(OFFSET($CC$3,0,0,'Données projet'!$E$12+1,1))-AVERAGE(OFFSET($H$3,0,0,'Données projet'!$E$12+1,1))</f>
        <v>289.07218105343333</v>
      </c>
      <c r="CE80" s="59">
        <f t="shared" si="94"/>
        <v>217.57508587672368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19.772185327808074</v>
      </c>
      <c r="CL80" s="21">
        <f>EXP(-LN(2)/25)*CL79+(1-EXP(-LN(2)/25))/(LN(2)/25)*Calculateur!CG80*Calculateur!CI80*VLOOKUP('Données projet'!$B$12,Paramètres!$A$1:$I$89,3,0)*0.475*44/12</f>
        <v>34.656467314488879</v>
      </c>
      <c r="CM80" s="21">
        <f>EXP(-LN(2)/2)*CM79+(1-EXP(-LN(2)/2))/(LN(2)/2)*CG80*CJ80*VLOOKUP('Données projet'!$B$12,Paramètres!$A$1:$I$89,3,0)*0.475*44/12</f>
        <v>2.0865498973011336</v>
      </c>
      <c r="CN80" s="22">
        <f t="shared" si="66"/>
        <v>56.515202539598086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1.7053025658242404E-13</v>
      </c>
      <c r="CU80" s="17">
        <f>CT80*VLOOKUP('Données projet'!$B$13,Paramètres!$A$1:$I$89,3,0)*VLOOKUP('Données projet'!$B$13,Paramètres!$A$1:$I$89,5,0)</f>
        <v>1.4897523215040567E-13</v>
      </c>
      <c r="CV80" s="13">
        <f t="shared" si="95"/>
        <v>2.136562777003313E-12</v>
      </c>
      <c r="CW80" s="20">
        <f t="shared" si="67"/>
        <v>3.9806453659427267E-12</v>
      </c>
      <c r="CX80" s="59">
        <f t="shared" si="68"/>
        <v>293.33333333333729</v>
      </c>
      <c r="CY80" s="59">
        <f ca="1">AVERAGE(OFFSET($CX$3,0,0,'Données projet'!$E$13+1,1))-AVERAGE(OFFSET($H$3,0,0,'Données projet'!$E$13+1,1))</f>
        <v>237.8483058552178</v>
      </c>
      <c r="CZ80" s="59">
        <f t="shared" si="96"/>
        <v>313.36201272119723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76.314603820427607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3.6407698651432137</v>
      </c>
      <c r="DI80" s="22">
        <f t="shared" si="69"/>
        <v>79.955373685570819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5.8888888888888893</v>
      </c>
      <c r="DO80" s="12">
        <f>IF('Données projet'!$A$166&gt;35,DO79+DN80-DW79,IF(A80&lt;'Données projet'!$A$166,$DL$205^A80,IF(A80='Données projet'!$A$166,'Données projet'!$B$166,DO79+DN80-DW79)))</f>
        <v>182.77777777777786</v>
      </c>
      <c r="DP80" s="17">
        <f>DO80*VLOOKUP('Données projet'!$B$14,Paramètres!$A$1:$I$89,3,0)*VLOOKUP('Données projet'!$B$14,Paramètres!$A$1:$I$89,5,0)</f>
        <v>176.78266666666673</v>
      </c>
      <c r="DQ80" s="13">
        <f t="shared" si="97"/>
        <v>44.60563915214005</v>
      </c>
      <c r="DR80" s="20">
        <f t="shared" si="70"/>
        <v>385.58463263442172</v>
      </c>
      <c r="DS80" s="59">
        <f t="shared" si="71"/>
        <v>678.91796596775498</v>
      </c>
      <c r="DT80" s="59">
        <f ca="1">AVERAGE(OFFSET($DS$3,0,0,'Données projet'!$E$14+1,1))-AVERAGE(OFFSET($H$3,0,0,'Données projet'!$E$14+1,1))</f>
        <v>325.01961068962373</v>
      </c>
      <c r="DU80" s="59">
        <f t="shared" si="98"/>
        <v>155.12737608540039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20.546913756951533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20.546913756951533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2.8</v>
      </c>
      <c r="EJ80" s="12">
        <f>IF('Données projet'!$A$192&gt;35,EJ79+EI80-ER79,IF(A80&lt;'Données projet'!$A$192,$EG$205^A80,IF(A80='Données projet'!$A$192,'Données projet'!$B$192,EJ79+EI80-ER79)))</f>
        <v>266.5999999999998</v>
      </c>
      <c r="EK80" s="17">
        <f>EJ80*VLOOKUP('Données projet'!$B$15,Paramètres!$A$1:$I$89,3,0)*VLOOKUP('Données projet'!$B$15,Paramètres!$A$1:$I$89,5,0)</f>
        <v>178.83527999999987</v>
      </c>
      <c r="EL80" s="13">
        <f t="shared" si="99"/>
        <v>45.062959603448384</v>
      </c>
      <c r="EM80" s="20">
        <f t="shared" si="73"/>
        <v>389.95610064267231</v>
      </c>
      <c r="EN80" s="59">
        <f t="shared" si="74"/>
        <v>683.28943397600563</v>
      </c>
      <c r="EO80" s="59">
        <f ca="1">AVERAGE(OFFSET($EN$3,0,0,'Données projet'!$E$15+1,1))-AVERAGE(OFFSET($H$3,0,0,'Données projet'!$E$15+1,1))</f>
        <v>178.09619481964575</v>
      </c>
      <c r="EP80" s="59">
        <f t="shared" si="100"/>
        <v>178.65167777495174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14.705627511826526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0.77806636888966996</v>
      </c>
      <c r="EY80" s="22">
        <f t="shared" si="75"/>
        <v>15.483693880716196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2.8</v>
      </c>
      <c r="FE80" s="12">
        <f>IF('Données projet'!$A$218&gt;35,FE79+FD80-FM79,IF(A80&lt;'Données projet'!$A$218,$FB$205^A80,IF(A80='Données projet'!$A$218,'Données projet'!$B$218,FE79+FD80-FM79)))</f>
        <v>266.5999999999998</v>
      </c>
      <c r="FF80" s="17">
        <f>FE80*VLOOKUP('Données projet'!$B$16,Paramètres!$A$1:$I$89,3,0)*VLOOKUP('Données projet'!$B$16,Paramètres!$A$1:$I$89,5,0)</f>
        <v>212.10695999999984</v>
      </c>
      <c r="FG80" s="13">
        <f t="shared" si="101"/>
        <v>52.395741612408194</v>
      </c>
      <c r="FH80" s="20">
        <f t="shared" si="76"/>
        <v>460.67553864161067</v>
      </c>
      <c r="FI80" s="59">
        <f t="shared" si="77"/>
        <v>754.00887197494399</v>
      </c>
      <c r="FJ80" s="59">
        <f ca="1">AVERAGE(OFFSET($FI$3,0,0,'Données projet'!$E$16+1,1))-AVERAGE(OFFSET($H$3,0,0,'Données projet'!$E$16+1,1))</f>
        <v>219.43439115440339</v>
      </c>
      <c r="FK80" s="59">
        <f t="shared" si="102"/>
        <v>217.8880462742099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17.441558211701228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0.9228229026365854</v>
      </c>
      <c r="FT80" s="22">
        <f t="shared" si="78"/>
        <v>18.364381114337814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>
        <f>FZ80*VLOOKUP('Données projet'!$B$17,Paramètres!$A$1:$I$89,3,0)*VLOOKUP('Données projet'!$B$17,Paramètres!$A$1:$I$89,5,0)</f>
        <v>0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191.77102466144095</v>
      </c>
      <c r="GF80" s="59">
        <f t="shared" si="104"/>
        <v>205.57161411620217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82.999714500939518</v>
      </c>
      <c r="GM80" s="21">
        <f>EXP(-LN(2)/25)*GM79+(1-EXP(-LN(2)/25))/(LN(2)/25)*Calculateur!GH80*Calculateur!GJ80*VLOOKUP('Données projet'!$B$17,Paramètres!$A$1:$I$89,3,0)*0.475*44/12</f>
        <v>15.174277413940995</v>
      </c>
      <c r="GN80" s="21">
        <f>EXP(-LN(2)/2)*GN79+(1-EXP(-LN(2)/2))/(LN(2)/2)*GH80*GK80*VLOOKUP('Données projet'!$B$17,Paramètres!$A$1:$I$89,3,0)*0.475*44/12</f>
        <v>0.11867118697300161</v>
      </c>
      <c r="GO80" s="21">
        <f t="shared" si="81"/>
        <v>98.29266310185352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84.31577618130467</v>
      </c>
      <c r="T81" s="59">
        <f t="shared" si="88"/>
        <v>527.2140904310653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47.262553761579099</v>
      </c>
      <c r="AA81" s="21">
        <f>EXP(-LN(2)/25)*AA80+(1-EXP(-LN(2)/25))/(LN(2)/25)*Calculateur!V81*Calculateur!X81*VLOOKUP('Données projet'!$B$9,Paramètres!$A$1:$I$89,3,0)*0.475*44/12</f>
        <v>9.314147497819917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56.576701259399016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5.8888888888888893</v>
      </c>
      <c r="AI81" s="13">
        <f>IF('Données projet'!$A$62&gt;35,AI80+AH81-AQ80,IF(A81&lt;'Données projet'!$A$62,$AF$205^A81,IF(A81='Données projet'!$A$62,'Données projet'!$B$62,AI80+AH81-AQ80)))</f>
        <v>188.66666666666674</v>
      </c>
      <c r="AJ81" s="13">
        <f>AI81*VLOOKUP('Données projet'!$B$10,Paramètres!$A$1:$I$89,3,0)*VLOOKUP('Données projet'!$B$10,Paramètres!$A$1:$I$89,5,0)</f>
        <v>170.70560000000006</v>
      </c>
      <c r="AK81" s="13">
        <f t="shared" si="89"/>
        <v>43.248016397285603</v>
      </c>
      <c r="AL81" s="20">
        <f t="shared" si="58"/>
        <v>372.63588189193916</v>
      </c>
      <c r="AM81" s="59">
        <f t="shared" si="59"/>
        <v>665.96921522527248</v>
      </c>
      <c r="AN81" s="59">
        <f ca="1">AVERAGE(OFFSET($AM$3,0,0,'Données projet'!$E$10+1,1))-AVERAGE(OFFSET($H$3,0,0,'Données projet'!$E$10+1,1))</f>
        <v>297.90790572649428</v>
      </c>
      <c r="AO81" s="59">
        <f t="shared" si="90"/>
        <v>142.96889776844506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18.695698782994231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18.695698782994231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5.8888888888888893</v>
      </c>
      <c r="BD81" s="12">
        <f>IF('Données projet'!$A$88&gt;35,BD80+BC81-BL80,IF(A81&lt;'Données projet'!$A$88,$BA$205^A81,IF(A81='Données projet'!$A$88,'Données projet'!$B$88,BD80+BC81-BL80)))</f>
        <v>188.66666666666674</v>
      </c>
      <c r="BE81" s="13">
        <f>BD81*VLOOKUP('Données projet'!$B$11,Paramètres!$A$1:$I$89,3,0)*VLOOKUP('Données projet'!$B$11,Paramètres!$A$1:$I$89,5,0)</f>
        <v>191.30800000000008</v>
      </c>
      <c r="BF81" s="13">
        <f t="shared" si="91"/>
        <v>47.829017512456396</v>
      </c>
      <c r="BG81" s="20">
        <f t="shared" si="61"/>
        <v>416.49697216752833</v>
      </c>
      <c r="BH81" s="59">
        <f t="shared" si="62"/>
        <v>709.83030550086164</v>
      </c>
      <c r="BI81" s="59">
        <f ca="1">AVERAGE(OFFSET($BH$3,0,0,'Données projet'!$E$11+1,1))-AVERAGE(OFFSET($H$3,0,0,'Données projet'!$E$11+1,1))</f>
        <v>345.3294887586967</v>
      </c>
      <c r="BJ81" s="59">
        <f t="shared" si="92"/>
        <v>164.23448598618114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20.952076222321129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20.952076222321129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8.875</v>
      </c>
      <c r="BY81" s="12">
        <f>IF('Données projet'!$A$114&gt;35,BY80+BX81-CG80,IF(A81&lt;'Données projet'!$A$114,$BV$205^A81,IF(A81='Données projet'!$A$114,'Données projet'!$B$114,BY80+BX81-CG80)))</f>
        <v>531.5</v>
      </c>
      <c r="BZ81" s="13">
        <f>BY81*VLOOKUP('Données projet'!$B$12,Paramètres!$A$1:$I$89,3,0)*VLOOKUP('Données projet'!$B$12,Paramètres!$A$1:$I$89,5,0)</f>
        <v>317.83700000000005</v>
      </c>
      <c r="CA81" s="13">
        <f t="shared" si="93"/>
        <v>74.903121950927684</v>
      </c>
      <c r="CB81" s="20">
        <f t="shared" si="64"/>
        <v>684.0223790645324</v>
      </c>
      <c r="CC81" s="59">
        <f t="shared" si="65"/>
        <v>977.35571239786577</v>
      </c>
      <c r="CD81" s="59">
        <f ca="1">AVERAGE(OFFSET($CC$3,0,0,'Données projet'!$E$12+1,1))-AVERAGE(OFFSET($H$3,0,0,'Données projet'!$E$12+1,1))</f>
        <v>289.07218105343333</v>
      </c>
      <c r="CE81" s="59">
        <f t="shared" si="94"/>
        <v>217.57508587672368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19.384464833371997</v>
      </c>
      <c r="CL81" s="21">
        <f>EXP(-LN(2)/25)*CL80+(1-EXP(-LN(2)/25))/(LN(2)/25)*Calculateur!CG81*Calculateur!CI81*VLOOKUP('Données projet'!$B$12,Paramètres!$A$1:$I$89,3,0)*0.475*44/12</f>
        <v>33.708784393269774</v>
      </c>
      <c r="CM81" s="21">
        <f>EXP(-LN(2)/2)*CM80+(1-EXP(-LN(2)/2))/(LN(2)/2)*CG81*CJ81*VLOOKUP('Données projet'!$B$12,Paramètres!$A$1:$I$89,3,0)*0.475*44/12</f>
        <v>1.4754135816657259</v>
      </c>
      <c r="CN81" s="22">
        <f t="shared" si="66"/>
        <v>54.568662808307501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1.7053025658242404E-13</v>
      </c>
      <c r="CU81" s="17">
        <f>CT81*VLOOKUP('Données projet'!$B$13,Paramètres!$A$1:$I$89,3,0)*VLOOKUP('Données projet'!$B$13,Paramètres!$A$1:$I$89,5,0)</f>
        <v>1.4897523215040567E-13</v>
      </c>
      <c r="CV81" s="13">
        <f t="shared" si="95"/>
        <v>2.136562777003313E-12</v>
      </c>
      <c r="CW81" s="20">
        <f t="shared" si="67"/>
        <v>3.9806453659427267E-12</v>
      </c>
      <c r="CX81" s="59">
        <f t="shared" si="68"/>
        <v>293.33333333333729</v>
      </c>
      <c r="CY81" s="59">
        <f ca="1">AVERAGE(OFFSET($CX$3,0,0,'Données projet'!$E$13+1,1))-AVERAGE(OFFSET($H$3,0,0,'Données projet'!$E$13+1,1))</f>
        <v>237.8483058552178</v>
      </c>
      <c r="CZ81" s="59">
        <f t="shared" si="96"/>
        <v>313.36201272119723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74.818120986821185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2.5744130603823985</v>
      </c>
      <c r="DI81" s="22">
        <f t="shared" si="69"/>
        <v>77.392534047203583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5.8888888888888893</v>
      </c>
      <c r="DO81" s="12">
        <f>IF('Données projet'!$A$166&gt;35,DO80+DN81-DW80,IF(A81&lt;'Données projet'!$A$166,$DL$205^A81,IF(A81='Données projet'!$A$166,'Données projet'!$B$166,DO80+DN81-DW80)))</f>
        <v>188.66666666666674</v>
      </c>
      <c r="DP81" s="17">
        <f>DO81*VLOOKUP('Données projet'!$B$14,Paramètres!$A$1:$I$89,3,0)*VLOOKUP('Données projet'!$B$14,Paramètres!$A$1:$I$89,5,0)</f>
        <v>182.47840000000008</v>
      </c>
      <c r="DQ81" s="13">
        <f t="shared" si="97"/>
        <v>45.873144889752759</v>
      </c>
      <c r="DR81" s="20">
        <f t="shared" si="70"/>
        <v>397.7122740163195</v>
      </c>
      <c r="DS81" s="59">
        <f t="shared" si="71"/>
        <v>691.04560734965276</v>
      </c>
      <c r="DT81" s="59">
        <f ca="1">AVERAGE(OFFSET($DS$3,0,0,'Données projet'!$E$14+1,1))-AVERAGE(OFFSET($H$3,0,0,'Données projet'!$E$14+1,1))</f>
        <v>325.01961068962373</v>
      </c>
      <c r="DU81" s="59">
        <f t="shared" si="98"/>
        <v>155.12737608540039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19.98505731975246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19.98505731975246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2.8</v>
      </c>
      <c r="EJ81" s="12">
        <f>IF('Données projet'!$A$192&gt;35,EJ80+EI81-ER80,IF(A81&lt;'Données projet'!$A$192,$EG$205^A81,IF(A81='Données projet'!$A$192,'Données projet'!$B$192,EJ80+EI81-ER80)))</f>
        <v>269.39999999999981</v>
      </c>
      <c r="EK81" s="17">
        <f>EJ81*VLOOKUP('Données projet'!$B$15,Paramètres!$A$1:$I$89,3,0)*VLOOKUP('Données projet'!$B$15,Paramètres!$A$1:$I$89,5,0)</f>
        <v>180.71351999999987</v>
      </c>
      <c r="EL81" s="13">
        <f t="shared" si="99"/>
        <v>45.480894651403275</v>
      </c>
      <c r="EM81" s="20">
        <f t="shared" si="73"/>
        <v>393.95527218452713</v>
      </c>
      <c r="EN81" s="59">
        <f t="shared" si="74"/>
        <v>687.28860551786045</v>
      </c>
      <c r="EO81" s="59">
        <f ca="1">AVERAGE(OFFSET($EN$3,0,0,'Données projet'!$E$15+1,1))-AVERAGE(OFFSET($H$3,0,0,'Données projet'!$E$15+1,1))</f>
        <v>178.09619481964575</v>
      </c>
      <c r="EP81" s="59">
        <f t="shared" si="100"/>
        <v>178.65167777495174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14.417259125866721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0.55017600565507951</v>
      </c>
      <c r="EY81" s="22">
        <f t="shared" si="75"/>
        <v>14.9674351315218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2.8</v>
      </c>
      <c r="FE81" s="12">
        <f>IF('Données projet'!$A$218&gt;35,FE80+FD81-FM80,IF(A81&lt;'Données projet'!$A$218,$FB$205^A81,IF(A81='Données projet'!$A$218,'Données projet'!$B$218,FE80+FD81-FM80)))</f>
        <v>269.39999999999981</v>
      </c>
      <c r="FF81" s="17">
        <f>FE81*VLOOKUP('Données projet'!$B$16,Paramètres!$A$1:$I$89,3,0)*VLOOKUP('Données projet'!$B$16,Paramètres!$A$1:$I$89,5,0)</f>
        <v>214.33463999999984</v>
      </c>
      <c r="FG81" s="13">
        <f t="shared" si="101"/>
        <v>52.881684324030282</v>
      </c>
      <c r="FH81" s="20">
        <f t="shared" si="76"/>
        <v>465.40176486435234</v>
      </c>
      <c r="FI81" s="59">
        <f t="shared" si="77"/>
        <v>758.7350981976856</v>
      </c>
      <c r="FJ81" s="59">
        <f ca="1">AVERAGE(OFFSET($FI$3,0,0,'Données projet'!$E$16+1,1))-AVERAGE(OFFSET($H$3,0,0,'Données projet'!$E$16+1,1))</f>
        <v>219.43439115440339</v>
      </c>
      <c r="FK81" s="59">
        <f t="shared" si="102"/>
        <v>217.8880462742099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17.099539893469831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0.65253433228858271</v>
      </c>
      <c r="FT81" s="22">
        <f t="shared" si="78"/>
        <v>17.752074225758413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>
        <f>FZ81*VLOOKUP('Données projet'!$B$17,Paramètres!$A$1:$I$89,3,0)*VLOOKUP('Données projet'!$B$17,Paramètres!$A$1:$I$89,5,0)</f>
        <v>0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191.77102466144095</v>
      </c>
      <c r="GF81" s="59">
        <f t="shared" si="104"/>
        <v>205.57161411620217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81.372140724403152</v>
      </c>
      <c r="GM81" s="21">
        <f>EXP(-LN(2)/25)*GM80+(1-EXP(-LN(2)/25))/(LN(2)/25)*Calculateur!GH81*Calculateur!GJ81*VLOOKUP('Données projet'!$B$17,Paramètres!$A$1:$I$89,3,0)*0.475*44/12</f>
        <v>14.75933600007621</v>
      </c>
      <c r="GN81" s="21">
        <f>EXP(-LN(2)/2)*GN80+(1-EXP(-LN(2)/2))/(LN(2)/2)*GH81*GK81*VLOOKUP('Données projet'!$B$17,Paramètres!$A$1:$I$89,3,0)*0.475*44/12</f>
        <v>8.3913201040066124E-2</v>
      </c>
      <c r="GO81" s="21">
        <f t="shared" si="81"/>
        <v>96.215389925519432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84.31577618130467</v>
      </c>
      <c r="T82" s="59">
        <f t="shared" si="88"/>
        <v>527.2140904310653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46.335763909625868</v>
      </c>
      <c r="AA82" s="21">
        <f>EXP(-LN(2)/25)*AA81+(1-EXP(-LN(2)/25))/(LN(2)/25)*Calculateur!V82*Calculateur!X82*VLOOKUP('Données projet'!$B$9,Paramètres!$A$1:$I$89,3,0)*0.475*44/12</f>
        <v>9.0594516446823015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55.395215554308166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5.8888888888888893</v>
      </c>
      <c r="AI82" s="13">
        <f>IF('Données projet'!$A$62&gt;35,AI81+AH82-AQ81,IF(A82&lt;'Données projet'!$A$62,$AF$205^A82,IF(A82='Données projet'!$A$62,'Données projet'!$B$62,AI81+AH82-AQ81)))</f>
        <v>194.55555555555563</v>
      </c>
      <c r="AJ82" s="13">
        <f>AI82*VLOOKUP('Données projet'!$B$10,Paramètres!$A$1:$I$89,3,0)*VLOOKUP('Données projet'!$B$10,Paramètres!$A$1:$I$89,5,0)</f>
        <v>176.03386666666674</v>
      </c>
      <c r="AK82" s="13">
        <f t="shared" si="89"/>
        <v>44.438653619423476</v>
      </c>
      <c r="AL82" s="20">
        <f t="shared" si="58"/>
        <v>383.98963949827385</v>
      </c>
      <c r="AM82" s="59">
        <f t="shared" si="59"/>
        <v>677.3229728316071</v>
      </c>
      <c r="AN82" s="59">
        <f ca="1">AVERAGE(OFFSET($AM$3,0,0,'Données projet'!$E$10+1,1))-AVERAGE(OFFSET($H$3,0,0,'Données projet'!$E$10+1,1))</f>
        <v>297.90790572649428</v>
      </c>
      <c r="AO82" s="59">
        <f t="shared" si="90"/>
        <v>142.96889776844506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18.184463916609186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18.184463916609186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5.8888888888888893</v>
      </c>
      <c r="BD82" s="12">
        <f>IF('Données projet'!$A$88&gt;35,BD81+BC82-BL81,IF(A82&lt;'Données projet'!$A$88,$BA$205^A82,IF(A82='Données projet'!$A$88,'Données projet'!$B$88,BD81+BC82-BL81)))</f>
        <v>194.55555555555563</v>
      </c>
      <c r="BE82" s="13">
        <f>BD82*VLOOKUP('Données projet'!$B$11,Paramètres!$A$1:$I$89,3,0)*VLOOKUP('Données projet'!$B$11,Paramètres!$A$1:$I$89,5,0)</f>
        <v>197.27933333333343</v>
      </c>
      <c r="BF82" s="13">
        <f t="shared" si="91"/>
        <v>49.145771742881422</v>
      </c>
      <c r="BG82" s="20">
        <f t="shared" si="61"/>
        <v>429.19039134107408</v>
      </c>
      <c r="BH82" s="59">
        <f t="shared" si="62"/>
        <v>722.52372467440739</v>
      </c>
      <c r="BI82" s="59">
        <f ca="1">AVERAGE(OFFSET($BH$3,0,0,'Données projet'!$E$11+1,1))-AVERAGE(OFFSET($H$3,0,0,'Données projet'!$E$11+1,1))</f>
        <v>345.3294887586967</v>
      </c>
      <c r="BJ82" s="59">
        <f t="shared" si="92"/>
        <v>164.23448598618114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20.379140596199957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20.379140596199957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8.875</v>
      </c>
      <c r="BY82" s="12">
        <f>IF('Données projet'!$A$114&gt;35,BY81+BX82-CG81,IF(A82&lt;'Données projet'!$A$114,$BV$205^A82,IF(A82='Données projet'!$A$114,'Données projet'!$B$114,BY81+BX82-CG81)))</f>
        <v>540.375</v>
      </c>
      <c r="BZ82" s="13">
        <f>BY82*VLOOKUP('Données projet'!$B$12,Paramètres!$A$1:$I$89,3,0)*VLOOKUP('Données projet'!$B$12,Paramètres!$A$1:$I$89,5,0)</f>
        <v>323.14425000000006</v>
      </c>
      <c r="CA82" s="13">
        <f t="shared" si="93"/>
        <v>76.007203261088534</v>
      </c>
      <c r="CB82" s="20">
        <f t="shared" si="64"/>
        <v>695.18878109639593</v>
      </c>
      <c r="CC82" s="59">
        <f t="shared" si="65"/>
        <v>988.5221144297293</v>
      </c>
      <c r="CD82" s="59">
        <f ca="1">AVERAGE(OFFSET($CC$3,0,0,'Données projet'!$E$12+1,1))-AVERAGE(OFFSET($H$3,0,0,'Données projet'!$E$12+1,1))</f>
        <v>289.07218105343333</v>
      </c>
      <c r="CE82" s="59">
        <f t="shared" si="94"/>
        <v>217.57508587672368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19.004347301345661</v>
      </c>
      <c r="CL82" s="21">
        <f>EXP(-LN(2)/25)*CL81+(1-EXP(-LN(2)/25))/(LN(2)/25)*Calculateur!CG82*Calculateur!CI82*VLOOKUP('Données projet'!$B$12,Paramètres!$A$1:$I$89,3,0)*0.475*44/12</f>
        <v>32.787015911367881</v>
      </c>
      <c r="CM82" s="21">
        <f>EXP(-LN(2)/2)*CM81+(1-EXP(-LN(2)/2))/(LN(2)/2)*CG82*CJ82*VLOOKUP('Données projet'!$B$12,Paramètres!$A$1:$I$89,3,0)*0.475*44/12</f>
        <v>1.0432749486505668</v>
      </c>
      <c r="CN82" s="22">
        <f t="shared" si="66"/>
        <v>52.834638161364111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1.7053025658242404E-13</v>
      </c>
      <c r="CU82" s="17">
        <f>CT82*VLOOKUP('Données projet'!$B$13,Paramètres!$A$1:$I$89,3,0)*VLOOKUP('Données projet'!$B$13,Paramètres!$A$1:$I$89,5,0)</f>
        <v>1.4897523215040567E-13</v>
      </c>
      <c r="CV82" s="13">
        <f t="shared" si="95"/>
        <v>2.136562777003313E-12</v>
      </c>
      <c r="CW82" s="20">
        <f t="shared" si="67"/>
        <v>3.9806453659427267E-12</v>
      </c>
      <c r="CX82" s="59">
        <f t="shared" si="68"/>
        <v>293.33333333333729</v>
      </c>
      <c r="CY82" s="59">
        <f ca="1">AVERAGE(OFFSET($CX$3,0,0,'Données projet'!$E$13+1,1))-AVERAGE(OFFSET($H$3,0,0,'Données projet'!$E$13+1,1))</f>
        <v>237.8483058552178</v>
      </c>
      <c r="CZ82" s="59">
        <f t="shared" si="96"/>
        <v>313.36201272119723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73.350983268817387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1.8203849325716068</v>
      </c>
      <c r="DI82" s="22">
        <f t="shared" si="69"/>
        <v>75.171368201389001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5.8888888888888893</v>
      </c>
      <c r="DO82" s="12">
        <f>IF('Données projet'!$A$166&gt;35,DO81+DN82-DW81,IF(A82&lt;'Données projet'!$A$166,$DL$205^A82,IF(A82='Données projet'!$A$166,'Données projet'!$B$166,DO81+DN82-DW81)))</f>
        <v>194.55555555555563</v>
      </c>
      <c r="DP82" s="17">
        <f>DO82*VLOOKUP('Données projet'!$B$14,Paramètres!$A$1:$I$89,3,0)*VLOOKUP('Données projet'!$B$14,Paramètres!$A$1:$I$89,5,0)</f>
        <v>188.1741333333334</v>
      </c>
      <c r="DQ82" s="13">
        <f t="shared" si="97"/>
        <v>47.136053072651407</v>
      </c>
      <c r="DR82" s="20">
        <f t="shared" si="70"/>
        <v>409.83190799042353</v>
      </c>
      <c r="DS82" s="59">
        <f t="shared" si="71"/>
        <v>703.16524132375685</v>
      </c>
      <c r="DT82" s="59">
        <f ca="1">AVERAGE(OFFSET($DS$3,0,0,'Données projet'!$E$14+1,1))-AVERAGE(OFFSET($H$3,0,0,'Données projet'!$E$14+1,1))</f>
        <v>325.01961068962373</v>
      </c>
      <c r="DU82" s="59">
        <f t="shared" si="98"/>
        <v>155.12737608540039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19.438564876375342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19.438564876375342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2.8</v>
      </c>
      <c r="EJ82" s="12">
        <f>IF('Données projet'!$A$192&gt;35,EJ81+EI82-ER81,IF(A82&lt;'Données projet'!$A$192,$EG$205^A82,IF(A82='Données projet'!$A$192,'Données projet'!$B$192,EJ81+EI82-ER81)))</f>
        <v>272.19999999999982</v>
      </c>
      <c r="EK82" s="17">
        <f>EJ82*VLOOKUP('Données projet'!$B$15,Paramètres!$A$1:$I$89,3,0)*VLOOKUP('Données projet'!$B$15,Paramètres!$A$1:$I$89,5,0)</f>
        <v>182.59175999999988</v>
      </c>
      <c r="EL82" s="13">
        <f t="shared" si="99"/>
        <v>45.898324377826299</v>
      </c>
      <c r="EM82" s="20">
        <f t="shared" si="73"/>
        <v>397.95356362471392</v>
      </c>
      <c r="EN82" s="59">
        <f t="shared" si="74"/>
        <v>691.28689695804724</v>
      </c>
      <c r="EO82" s="59">
        <f ca="1">AVERAGE(OFFSET($EN$3,0,0,'Données projet'!$E$15+1,1))-AVERAGE(OFFSET($H$3,0,0,'Données projet'!$E$15+1,1))</f>
        <v>178.09619481964575</v>
      </c>
      <c r="EP82" s="59">
        <f t="shared" si="100"/>
        <v>178.65167777495174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14.134545468068239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0.38903318444483509</v>
      </c>
      <c r="EY82" s="22">
        <f t="shared" si="75"/>
        <v>14.523578652513075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2.8</v>
      </c>
      <c r="FE82" s="12">
        <f>IF('Données projet'!$A$218&gt;35,FE81+FD82-FM81,IF(A82&lt;'Données projet'!$A$218,$FB$205^A82,IF(A82='Données projet'!$A$218,'Données projet'!$B$218,FE81+FD82-FM81)))</f>
        <v>272.19999999999982</v>
      </c>
      <c r="FF82" s="17">
        <f>FE82*VLOOKUP('Données projet'!$B$16,Paramètres!$A$1:$I$89,3,0)*VLOOKUP('Données projet'!$B$16,Paramètres!$A$1:$I$89,5,0)</f>
        <v>216.56231999999989</v>
      </c>
      <c r="FG82" s="13">
        <f t="shared" si="101"/>
        <v>53.367039486661959</v>
      </c>
      <c r="FH82" s="20">
        <f t="shared" si="76"/>
        <v>470.12696777260271</v>
      </c>
      <c r="FI82" s="59">
        <f t="shared" si="77"/>
        <v>763.46030110593597</v>
      </c>
      <c r="FJ82" s="59">
        <f ca="1">AVERAGE(OFFSET($FI$3,0,0,'Données projet'!$E$16+1,1))-AVERAGE(OFFSET($H$3,0,0,'Données projet'!$E$16+1,1))</f>
        <v>219.43439115440339</v>
      </c>
      <c r="FK82" s="59">
        <f t="shared" si="102"/>
        <v>217.8880462742099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16.764228345848377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0.46141145131829275</v>
      </c>
      <c r="FT82" s="22">
        <f t="shared" si="78"/>
        <v>17.225639797166668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>
        <f>FZ82*VLOOKUP('Données projet'!$B$17,Paramètres!$A$1:$I$89,3,0)*VLOOKUP('Données projet'!$B$17,Paramètres!$A$1:$I$89,5,0)</f>
        <v>0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191.77102466144095</v>
      </c>
      <c r="GF82" s="59">
        <f t="shared" si="104"/>
        <v>205.57161411620217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79.776482676902688</v>
      </c>
      <c r="GM82" s="21">
        <f>EXP(-LN(2)/25)*GM81+(1-EXP(-LN(2)/25))/(LN(2)/25)*Calculateur!GH82*Calculateur!GJ82*VLOOKUP('Données projet'!$B$17,Paramètres!$A$1:$I$89,3,0)*0.475*44/12</f>
        <v>14.355741180994379</v>
      </c>
      <c r="GN82" s="21">
        <f>EXP(-LN(2)/2)*GN81+(1-EXP(-LN(2)/2))/(LN(2)/2)*GH82*GK82*VLOOKUP('Données projet'!$B$17,Paramètres!$A$1:$I$89,3,0)*0.475*44/12</f>
        <v>5.9335593486500811E-2</v>
      </c>
      <c r="GO82" s="21">
        <f t="shared" si="81"/>
        <v>94.191559451383554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84.31577618130467</v>
      </c>
      <c r="T83" s="59">
        <f t="shared" si="88"/>
        <v>527.2140904310653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45.427147841383444</v>
      </c>
      <c r="AA83" s="21">
        <f>EXP(-LN(2)/25)*AA82+(1-EXP(-LN(2)/25))/(LN(2)/25)*Calculateur!V83*Calculateur!X83*VLOOKUP('Données projet'!$B$9,Paramètres!$A$1:$I$89,3,0)*0.475*44/12</f>
        <v>8.811720463042608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54.238868304426049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5.8888888888888893</v>
      </c>
      <c r="AI83" s="13">
        <f>IF('Données projet'!$A$62&gt;35,AI82+AH83-AQ82,IF(A83&lt;'Données projet'!$A$62,$AF$205^A83,IF(A83='Données projet'!$A$62,'Données projet'!$B$62,AI82+AH83-AQ82)))</f>
        <v>200.44444444444451</v>
      </c>
      <c r="AJ83" s="13">
        <f>AI83*VLOOKUP('Données projet'!$B$10,Paramètres!$A$1:$I$89,3,0)*VLOOKUP('Données projet'!$B$10,Paramètres!$A$1:$I$89,5,0)</f>
        <v>181.36213333333339</v>
      </c>
      <c r="AK83" s="13">
        <f t="shared" si="89"/>
        <v>45.625102641743339</v>
      </c>
      <c r="AL83" s="20">
        <f t="shared" si="58"/>
        <v>395.33610265659195</v>
      </c>
      <c r="AM83" s="59">
        <f t="shared" si="59"/>
        <v>688.6694359899252</v>
      </c>
      <c r="AN83" s="59">
        <f ca="1">AVERAGE(OFFSET($AM$3,0,0,'Données projet'!$E$10+1,1))-AVERAGE(OFFSET($H$3,0,0,'Données projet'!$E$10+1,1))</f>
        <v>297.90790572649428</v>
      </c>
      <c r="AO83" s="59">
        <f t="shared" si="90"/>
        <v>142.96889776844506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17.687208794530111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17.687208794530111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5.8888888888888893</v>
      </c>
      <c r="BD83" s="12">
        <f>IF('Données projet'!$A$88&gt;35,BD82+BC83-BL82,IF(A83&lt;'Données projet'!$A$88,$BA$205^A83,IF(A83='Données projet'!$A$88,'Données projet'!$B$88,BD82+BC83-BL82)))</f>
        <v>200.44444444444451</v>
      </c>
      <c r="BE83" s="13">
        <f>BD83*VLOOKUP('Données projet'!$B$11,Paramètres!$A$1:$I$89,3,0)*VLOOKUP('Données projet'!$B$11,Paramètres!$A$1:$I$89,5,0)</f>
        <v>203.25066666666677</v>
      </c>
      <c r="BF83" s="13">
        <f t="shared" si="91"/>
        <v>50.457894142782592</v>
      </c>
      <c r="BG83" s="20">
        <f t="shared" si="61"/>
        <v>441.87574340979091</v>
      </c>
      <c r="BH83" s="59">
        <f t="shared" si="62"/>
        <v>735.20907674312423</v>
      </c>
      <c r="BI83" s="59">
        <f ca="1">AVERAGE(OFFSET($BH$3,0,0,'Données projet'!$E$11+1,1))-AVERAGE(OFFSET($H$3,0,0,'Données projet'!$E$11+1,1))</f>
        <v>345.3294887586967</v>
      </c>
      <c r="BJ83" s="59">
        <f t="shared" si="92"/>
        <v>164.23448598618114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19.821871924904443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19.821871924904443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8.875</v>
      </c>
      <c r="BY83" s="12">
        <f>IF('Données projet'!$A$114&gt;35,BY82+BX83-CG82,IF(A83&lt;'Données projet'!$A$114,$BV$205^A83,IF(A83='Données projet'!$A$114,'Données projet'!$B$114,BY82+BX83-CG82)))</f>
        <v>549.25</v>
      </c>
      <c r="BZ83" s="13">
        <f>BY83*VLOOKUP('Données projet'!$B$12,Paramètres!$A$1:$I$89,3,0)*VLOOKUP('Données projet'!$B$12,Paramètres!$A$1:$I$89,5,0)</f>
        <v>328.45150000000001</v>
      </c>
      <c r="CA83" s="13">
        <f t="shared" si="93"/>
        <v>77.109175784158708</v>
      </c>
      <c r="CB83" s="20">
        <f t="shared" si="64"/>
        <v>706.35151032407646</v>
      </c>
      <c r="CC83" s="59">
        <f t="shared" si="65"/>
        <v>999.68484365740983</v>
      </c>
      <c r="CD83" s="59">
        <f ca="1">AVERAGE(OFFSET($CC$3,0,0,'Données projet'!$E$12+1,1))-AVERAGE(OFFSET($H$3,0,0,'Données projet'!$E$12+1,1))</f>
        <v>289.07218105343333</v>
      </c>
      <c r="CE83" s="59">
        <f t="shared" si="94"/>
        <v>217.57508587672368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18.631683642273561</v>
      </c>
      <c r="CL83" s="21">
        <f>EXP(-LN(2)/25)*CL82+(1-EXP(-LN(2)/25))/(LN(2)/25)*Calculateur!CG83*Calculateur!CI83*VLOOKUP('Données projet'!$B$12,Paramètres!$A$1:$I$89,3,0)*0.475*44/12</f>
        <v>31.890453237077296</v>
      </c>
      <c r="CM83" s="21">
        <f>EXP(-LN(2)/2)*CM82+(1-EXP(-LN(2)/2))/(LN(2)/2)*CG83*CJ83*VLOOKUP('Données projet'!$B$12,Paramètres!$A$1:$I$89,3,0)*0.475*44/12</f>
        <v>0.73770679083286295</v>
      </c>
      <c r="CN83" s="22">
        <f t="shared" si="66"/>
        <v>51.259843670183713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1.7053025658242404E-13</v>
      </c>
      <c r="CU83" s="17">
        <f>CT83*VLOOKUP('Données projet'!$B$13,Paramètres!$A$1:$I$89,3,0)*VLOOKUP('Données projet'!$B$13,Paramètres!$A$1:$I$89,5,0)</f>
        <v>1.4897523215040567E-13</v>
      </c>
      <c r="CV83" s="13">
        <f t="shared" si="95"/>
        <v>2.136562777003313E-12</v>
      </c>
      <c r="CW83" s="20">
        <f t="shared" si="67"/>
        <v>3.9806453659427267E-12</v>
      </c>
      <c r="CX83" s="59">
        <f t="shared" si="68"/>
        <v>293.33333333333729</v>
      </c>
      <c r="CY83" s="59">
        <f ca="1">AVERAGE(OFFSET($CX$3,0,0,'Données projet'!$E$13+1,1))-AVERAGE(OFFSET($H$3,0,0,'Données projet'!$E$13+1,1))</f>
        <v>237.8483058552178</v>
      </c>
      <c r="CZ83" s="59">
        <f t="shared" si="96"/>
        <v>313.36201272119723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71.912615226597993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1.2872065301911992</v>
      </c>
      <c r="DI83" s="22">
        <f t="shared" si="69"/>
        <v>73.199821756789191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5.8888888888888893</v>
      </c>
      <c r="DO83" s="12">
        <f>IF('Données projet'!$A$166&gt;35,DO82+DN83-DW82,IF(A83&lt;'Données projet'!$A$166,$DL$205^A83,IF(A83='Données projet'!$A$166,'Données projet'!$B$166,DO82+DN83-DW82)))</f>
        <v>200.44444444444451</v>
      </c>
      <c r="DP83" s="17">
        <f>DO83*VLOOKUP('Données projet'!$B$14,Paramètres!$A$1:$I$89,3,0)*VLOOKUP('Données projet'!$B$14,Paramètres!$A$1:$I$89,5,0)</f>
        <v>193.86986666666675</v>
      </c>
      <c r="DQ83" s="13">
        <f t="shared" si="97"/>
        <v>48.394518834530807</v>
      </c>
      <c r="DR83" s="20">
        <f t="shared" si="70"/>
        <v>421.94380474791905</v>
      </c>
      <c r="DS83" s="59">
        <f t="shared" si="71"/>
        <v>715.27713808125236</v>
      </c>
      <c r="DT83" s="59">
        <f ca="1">AVERAGE(OFFSET($DS$3,0,0,'Données projet'!$E$14+1,1))-AVERAGE(OFFSET($H$3,0,0,'Données projet'!$E$14+1,1))</f>
        <v>325.01961068962373</v>
      </c>
      <c r="DU83" s="59">
        <f t="shared" si="98"/>
        <v>155.12737608540039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18.90701629760116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18.90701629760116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275</v>
      </c>
      <c r="EH83" s="12">
        <f>VLOOKUP(A83,'Données projet'!$A$191:$I$211,9,0)</f>
        <v>2.8</v>
      </c>
      <c r="EI83" s="12">
        <f t="array" ref="EI83">INDEX(EH:EH,MIN(IF(ISNUMBER(EH83:EH279),ROW(EH83:EH279),"")))</f>
        <v>2.8</v>
      </c>
      <c r="EJ83" s="12">
        <f>IF('Données projet'!$A$192&gt;35,EJ82+EI83-ER82,IF(A83&lt;'Données projet'!$A$192,$EG$205^A83,IF(A83='Données projet'!$A$192,'Données projet'!$B$192,EJ82+EI83-ER82)))</f>
        <v>274.99999999999983</v>
      </c>
      <c r="EK83" s="17">
        <f>EJ83*VLOOKUP('Données projet'!$B$15,Paramètres!$A$1:$I$89,3,0)*VLOOKUP('Données projet'!$B$15,Paramètres!$A$1:$I$89,5,0)</f>
        <v>184.46999999999989</v>
      </c>
      <c r="EL83" s="13">
        <f t="shared" si="99"/>
        <v>46.315254582516552</v>
      </c>
      <c r="EM83" s="20">
        <f t="shared" si="73"/>
        <v>401.95098506454946</v>
      </c>
      <c r="EN83" s="59">
        <f t="shared" si="74"/>
        <v>695.28431839788277</v>
      </c>
      <c r="EO83" s="59">
        <f ca="1">AVERAGE(OFFSET($EN$3,0,0,'Données projet'!$E$15+1,1))-AVERAGE(OFFSET($H$3,0,0,'Données projet'!$E$15+1,1))</f>
        <v>178.09619481964575</v>
      </c>
      <c r="EP83" s="59">
        <f t="shared" si="100"/>
        <v>178.65167777495174</v>
      </c>
      <c r="EQ83" s="15" t="str">
        <f>IF(ISNA(VLOOKUP(A83,'Données projet'!$A$191:$I$211,3,0)),0,VLOOKUP(A83,'Données projet'!$A$191:$I$211,3,0))</f>
        <v>CR</v>
      </c>
      <c r="ER83" s="15">
        <f>IF(ISNA(VLOOKUP(A83,'Données projet'!$A$191:$I$211,4,0)),0,VLOOKUP(A83,'Données projet'!$A$191:$I$211,4,0))</f>
        <v>275</v>
      </c>
      <c r="ES83" s="16">
        <f>IF(ISNA(VLOOKUP(A83,'Données projet'!$A$191:$I$211,5,0)),0%,VLOOKUP(A83,'Données projet'!$A$191:$I$211,5,0)*VLOOKUP('Données projet'!$B$15,Paramètres!$A$1:$I$89,7,0))</f>
        <v>0.371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0.2</v>
      </c>
      <c r="EV83" s="21">
        <f>EXP(-LN(2)/35)*EV82+(1-EXP(-LN(2)/35))/(LN(2)/35)*ER83*ES83*VLOOKUP('Données projet'!$B$15,Paramètres!$A$1:$I$89,3,0)*0.475*44/12</f>
        <v>89.513966511177344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35.085569990278735</v>
      </c>
      <c r="EY83" s="22">
        <f t="shared" si="75"/>
        <v>124.59953650145607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275</v>
      </c>
      <c r="FC83" s="12">
        <f>VLOOKUP(A83,'Données projet'!$A$217:$I$237,9,0)</f>
        <v>2.8</v>
      </c>
      <c r="FD83" s="12">
        <f t="array" ref="FD83">INDEX(FC:FC,MIN(IF(ISNUMBER(FC83:FC279),ROW(FC83:FC279),"")))</f>
        <v>2.8</v>
      </c>
      <c r="FE83" s="12">
        <f>IF('Données projet'!$A$218&gt;35,FE82+FD83-FM82,IF(A83&lt;'Données projet'!$A$218,$FB$205^A83,IF(A83='Données projet'!$A$218,'Données projet'!$B$218,FE82+FD83-FM82)))</f>
        <v>274.99999999999983</v>
      </c>
      <c r="FF83" s="17">
        <f>FE83*VLOOKUP('Données projet'!$B$16,Paramètres!$A$1:$I$89,3,0)*VLOOKUP('Données projet'!$B$16,Paramètres!$A$1:$I$89,5,0)</f>
        <v>218.78999999999988</v>
      </c>
      <c r="FG83" s="13">
        <f t="shared" si="101"/>
        <v>53.851813843863468</v>
      </c>
      <c r="FH83" s="20">
        <f t="shared" si="76"/>
        <v>474.85115911139536</v>
      </c>
      <c r="FI83" s="59">
        <f t="shared" si="77"/>
        <v>768.18449244472868</v>
      </c>
      <c r="FJ83" s="59">
        <f ca="1">AVERAGE(OFFSET($FI$3,0,0,'Données projet'!$E$16+1,1))-AVERAGE(OFFSET($H$3,0,0,'Données projet'!$E$16+1,1))</f>
        <v>219.43439115440339</v>
      </c>
      <c r="FK83" s="59">
        <f t="shared" si="102"/>
        <v>217.8880462742099</v>
      </c>
      <c r="FL83" s="15" t="str">
        <f>IF(ISNA(VLOOKUP(A83,'Données projet'!$A$217:$I$237,3,0)),0,VLOOKUP(A83,'Données projet'!$A$217:$I$237,3,0))</f>
        <v>CR</v>
      </c>
      <c r="FM83" s="15">
        <f>IF(ISNA(VLOOKUP(A83,'Données projet'!$A$217:$I$237,4,0)),0,VLOOKUP(A83,'Données projet'!$A$217:$I$237,4,0))</f>
        <v>275</v>
      </c>
      <c r="FN83" s="16">
        <f>IF(ISNA(VLOOKUP(A83,'Données projet'!$A$217:$I$237,5,0)),0%,VLOOKUP(A83,'Données projet'!$A$217:$I$237,5,0)*VLOOKUP('Données projet'!$B$16,Paramètres!$A$1:$I$89,7,0))</f>
        <v>0.371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0.2</v>
      </c>
      <c r="FQ83" s="21">
        <f>EXP(-LN(2)/35)*FQ82+(1-EXP(-LN(2)/35))/(LN(2)/35)*FM83*FN83*VLOOKUP('Données projet'!$B$16,Paramètres!$A$1:$I$89,3,0)*0.475*44/12</f>
        <v>106.16772772255916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41.613117895446869</v>
      </c>
      <c r="FT83" s="22">
        <f t="shared" si="78"/>
        <v>147.78084561800603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>
        <f>FZ83*VLOOKUP('Données projet'!$B$17,Paramètres!$A$1:$I$89,3,0)*VLOOKUP('Données projet'!$B$17,Paramètres!$A$1:$I$89,5,0)</f>
        <v>0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191.77102466144095</v>
      </c>
      <c r="GF83" s="59">
        <f t="shared" si="104"/>
        <v>205.57161411620217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78.212114510458392</v>
      </c>
      <c r="GM83" s="21">
        <f>EXP(-LN(2)/25)*GM82+(1-EXP(-LN(2)/25))/(LN(2)/25)*Calculateur!GH83*Calculateur!GJ83*VLOOKUP('Données projet'!$B$17,Paramètres!$A$1:$I$89,3,0)*0.475*44/12</f>
        <v>13.963182683464469</v>
      </c>
      <c r="GN83" s="21">
        <f>EXP(-LN(2)/2)*GN82+(1-EXP(-LN(2)/2))/(LN(2)/2)*GH83*GK83*VLOOKUP('Données projet'!$B$17,Paramètres!$A$1:$I$89,3,0)*0.475*44/12</f>
        <v>4.1956600520033069E-2</v>
      </c>
      <c r="GO83" s="21">
        <f t="shared" si="81"/>
        <v>92.217253794442897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84.31577618130467</v>
      </c>
      <c r="T84" s="59">
        <f t="shared" si="88"/>
        <v>527.2140904310653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44.536349180038179</v>
      </c>
      <c r="AA84" s="21">
        <f>EXP(-LN(2)/25)*AA83+(1-EXP(-LN(2)/25))/(LN(2)/25)*Calculateur!V84*Calculateur!X84*VLOOKUP('Données projet'!$B$9,Paramètres!$A$1:$I$89,3,0)*0.475*44/12</f>
        <v>8.5707635035924685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53.107112683630646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5.8888888888888893</v>
      </c>
      <c r="AI84" s="13">
        <f>IF('Données projet'!$A$62&gt;35,AI83+AH84-AQ83,IF(A84&lt;'Données projet'!$A$62,$AF$205^A84,IF(A84='Données projet'!$A$62,'Données projet'!$B$62,AI83+AH84-AQ83)))</f>
        <v>206.3333333333334</v>
      </c>
      <c r="AJ84" s="13">
        <f>AI84*VLOOKUP('Données projet'!$B$10,Paramètres!$A$1:$I$89,3,0)*VLOOKUP('Données projet'!$B$10,Paramètres!$A$1:$I$89,5,0)</f>
        <v>186.69040000000004</v>
      </c>
      <c r="AK84" s="13">
        <f t="shared" si="89"/>
        <v>46.807500637946397</v>
      </c>
      <c r="AL84" s="20">
        <f t="shared" si="58"/>
        <v>406.6755102777567</v>
      </c>
      <c r="AM84" s="59">
        <f t="shared" si="59"/>
        <v>700.00884361109001</v>
      </c>
      <c r="AN84" s="59">
        <f ca="1">AVERAGE(OFFSET($AM$3,0,0,'Données projet'!$E$10+1,1))-AVERAGE(OFFSET($H$3,0,0,'Données projet'!$E$10+1,1))</f>
        <v>297.90790572649428</v>
      </c>
      <c r="AO84" s="59">
        <f t="shared" si="90"/>
        <v>142.96889776844506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17.203551139913799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17.203551139913799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5.8888888888888893</v>
      </c>
      <c r="BD84" s="12">
        <f>IF('Données projet'!$A$88&gt;35,BD83+BC84-BL83,IF(A84&lt;'Données projet'!$A$88,$BA$205^A84,IF(A84='Données projet'!$A$88,'Données projet'!$B$88,BD83+BC84-BL83)))</f>
        <v>206.3333333333334</v>
      </c>
      <c r="BE84" s="13">
        <f>BD84*VLOOKUP('Données projet'!$B$11,Paramètres!$A$1:$I$89,3,0)*VLOOKUP('Données projet'!$B$11,Paramètres!$A$1:$I$89,5,0)</f>
        <v>209.22200000000007</v>
      </c>
      <c r="BF84" s="13">
        <f t="shared" si="91"/>
        <v>51.765536415842753</v>
      </c>
      <c r="BG84" s="20">
        <f t="shared" si="61"/>
        <v>454.55329259092628</v>
      </c>
      <c r="BH84" s="59">
        <f t="shared" si="62"/>
        <v>747.88662592425953</v>
      </c>
      <c r="BI84" s="59">
        <f ca="1">AVERAGE(OFFSET($BH$3,0,0,'Données projet'!$E$11+1,1))-AVERAGE(OFFSET($H$3,0,0,'Données projet'!$E$11+1,1))</f>
        <v>345.3294887586967</v>
      </c>
      <c r="BJ84" s="59">
        <f t="shared" si="92"/>
        <v>164.23448598618114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19.279841794730988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19.279841794730988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8.875</v>
      </c>
      <c r="BY84" s="12">
        <f>IF('Données projet'!$A$114&gt;35,BY83+BX84-CG83,IF(A84&lt;'Données projet'!$A$114,$BV$205^A84,IF(A84='Données projet'!$A$114,'Données projet'!$B$114,BY83+BX84-CG83)))</f>
        <v>558.125</v>
      </c>
      <c r="BZ84" s="13">
        <f>BY84*VLOOKUP('Données projet'!$B$12,Paramètres!$A$1:$I$89,3,0)*VLOOKUP('Données projet'!$B$12,Paramètres!$A$1:$I$89,5,0)</f>
        <v>333.75875000000002</v>
      </c>
      <c r="CA84" s="13">
        <f t="shared" si="93"/>
        <v>78.209077528625059</v>
      </c>
      <c r="CB84" s="20">
        <f t="shared" si="64"/>
        <v>717.5106329456886</v>
      </c>
      <c r="CC84" s="59">
        <f t="shared" si="65"/>
        <v>1010.843966279022</v>
      </c>
      <c r="CD84" s="59">
        <f ca="1">AVERAGE(OFFSET($CC$3,0,0,'Données projet'!$E$12+1,1))-AVERAGE(OFFSET($H$3,0,0,'Données projet'!$E$12+1,1))</f>
        <v>289.07218105343333</v>
      </c>
      <c r="CE84" s="59">
        <f t="shared" si="94"/>
        <v>217.57508587672368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18.266327690253476</v>
      </c>
      <c r="CL84" s="21">
        <f>EXP(-LN(2)/25)*CL83+(1-EXP(-LN(2)/25))/(LN(2)/25)*Calculateur!CG84*Calculateur!CI84*VLOOKUP('Données projet'!$B$12,Paramètres!$A$1:$I$89,3,0)*0.475*44/12</f>
        <v>31.018407116263369</v>
      </c>
      <c r="CM84" s="21">
        <f>EXP(-LN(2)/2)*CM83+(1-EXP(-LN(2)/2))/(LN(2)/2)*CG84*CJ84*VLOOKUP('Données projet'!$B$12,Paramètres!$A$1:$I$89,3,0)*0.475*44/12</f>
        <v>0.5216374743252834</v>
      </c>
      <c r="CN84" s="22">
        <f t="shared" si="66"/>
        <v>49.806372280842126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1.7053025658242404E-13</v>
      </c>
      <c r="CU84" s="17">
        <f>CT84*VLOOKUP('Données projet'!$B$13,Paramètres!$A$1:$I$89,3,0)*VLOOKUP('Données projet'!$B$13,Paramètres!$A$1:$I$89,5,0)</f>
        <v>1.4897523215040567E-13</v>
      </c>
      <c r="CV84" s="13">
        <f t="shared" si="95"/>
        <v>2.136562777003313E-12</v>
      </c>
      <c r="CW84" s="20">
        <f t="shared" si="67"/>
        <v>3.9806453659427267E-12</v>
      </c>
      <c r="CX84" s="59">
        <f t="shared" si="68"/>
        <v>293.33333333333729</v>
      </c>
      <c r="CY84" s="59">
        <f ca="1">AVERAGE(OFFSET($CX$3,0,0,'Données projet'!$E$13+1,1))-AVERAGE(OFFSET($H$3,0,0,'Données projet'!$E$13+1,1))</f>
        <v>237.8483058552178</v>
      </c>
      <c r="CZ84" s="59">
        <f t="shared" si="96"/>
        <v>313.36201272119723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70.50245270436865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0.91019246628580341</v>
      </c>
      <c r="DI84" s="22">
        <f t="shared" si="69"/>
        <v>71.412645170654457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5.8888888888888893</v>
      </c>
      <c r="DO84" s="12">
        <f>IF('Données projet'!$A$166&gt;35,DO83+DN84-DW83,IF(A84&lt;'Données projet'!$A$166,$DL$205^A84,IF(A84='Données projet'!$A$166,'Données projet'!$B$166,DO83+DN84-DW83)))</f>
        <v>206.3333333333334</v>
      </c>
      <c r="DP84" s="17">
        <f>DO84*VLOOKUP('Données projet'!$B$14,Paramètres!$A$1:$I$89,3,0)*VLOOKUP('Données projet'!$B$14,Paramètres!$A$1:$I$89,5,0)</f>
        <v>199.56560000000007</v>
      </c>
      <c r="DQ84" s="13">
        <f t="shared" si="97"/>
        <v>49.648687675453196</v>
      </c>
      <c r="DR84" s="20">
        <f t="shared" si="70"/>
        <v>434.04821770141444</v>
      </c>
      <c r="DS84" s="59">
        <f t="shared" si="71"/>
        <v>727.38155103474776</v>
      </c>
      <c r="DT84" s="59">
        <f ca="1">AVERAGE(OFFSET($DS$3,0,0,'Données projet'!$E$14+1,1))-AVERAGE(OFFSET($H$3,0,0,'Données projet'!$E$14+1,1))</f>
        <v>325.01961068962373</v>
      </c>
      <c r="DU84" s="59">
        <f t="shared" si="98"/>
        <v>155.12737608540039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18.390002942666481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18.390002942666481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-1.7053025658242404E-13</v>
      </c>
      <c r="EK84" s="17">
        <f>EJ84*VLOOKUP('Données projet'!$B$15,Paramètres!$A$1:$I$89,3,0)*VLOOKUP('Données projet'!$B$15,Paramètres!$A$1:$I$89,5,0)</f>
        <v>-1.1439169611549005E-13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178.09619481964575</v>
      </c>
      <c r="EP84" s="59">
        <f t="shared" si="100"/>
        <v>178.65167777495174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87.75865222602161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24.809244461921324</v>
      </c>
      <c r="EY84" s="22">
        <f t="shared" si="75"/>
        <v>112.56789668794293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-1.7053025658242404E-13</v>
      </c>
      <c r="FF84" s="17">
        <f>FE84*VLOOKUP('Données projet'!$B$16,Paramètres!$A$1:$I$89,3,0)*VLOOKUP('Données projet'!$B$16,Paramètres!$A$1:$I$89,5,0)</f>
        <v>-1.3567387213697657E-13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219.43439115440339</v>
      </c>
      <c r="FK84" s="59">
        <f t="shared" si="102"/>
        <v>217.8880462742099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104.08584333783958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29.424917850185757</v>
      </c>
      <c r="FT84" s="22">
        <f t="shared" si="78"/>
        <v>133.51076118802533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191.77102466144095</v>
      </c>
      <c r="GF84" s="59">
        <f t="shared" si="104"/>
        <v>205.57161411620217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76.678422649587702</v>
      </c>
      <c r="GM84" s="21">
        <f>EXP(-LN(2)/25)*GM83+(1-EXP(-LN(2)/25))/(LN(2)/25)*Calculateur!GH84*Calculateur!GJ84*VLOOKUP('Données projet'!$B$17,Paramètres!$A$1:$I$89,3,0)*0.475*44/12</f>
        <v>13.581358718693268</v>
      </c>
      <c r="GN84" s="21">
        <f>EXP(-LN(2)/2)*GN83+(1-EXP(-LN(2)/2))/(LN(2)/2)*GH84*GK84*VLOOKUP('Données projet'!$B$17,Paramètres!$A$1:$I$89,3,0)*0.475*44/12</f>
        <v>2.9667796743250412E-2</v>
      </c>
      <c r="GO84" s="21">
        <f t="shared" si="81"/>
        <v>90.289449165024223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84.31577618130467</v>
      </c>
      <c r="T85" s="59">
        <f t="shared" si="88"/>
        <v>527.2140904310653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43.663018537108357</v>
      </c>
      <c r="AA85" s="21">
        <f>EXP(-LN(2)/25)*AA84+(1-EXP(-LN(2)/25))/(LN(2)/25)*Calculateur!V85*Calculateur!X85*VLOOKUP('Données projet'!$B$9,Paramètres!$A$1:$I$89,3,0)*0.475*44/12</f>
        <v>8.336395524869868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51.999414061978229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5.8888888888888893</v>
      </c>
      <c r="AI85" s="13">
        <f>IF('Données projet'!$A$62&gt;35,AI84+AH85-AQ84,IF(A85&lt;'Données projet'!$A$62,$AF$205^A85,IF(A85='Données projet'!$A$62,'Données projet'!$B$62,AI84+AH85-AQ84)))</f>
        <v>212.22222222222229</v>
      </c>
      <c r="AJ85" s="13">
        <f>AI85*VLOOKUP('Données projet'!$B$10,Paramètres!$A$1:$I$89,3,0)*VLOOKUP('Données projet'!$B$10,Paramètres!$A$1:$I$89,5,0)</f>
        <v>192.01866666666672</v>
      </c>
      <c r="AK85" s="13">
        <f t="shared" si="89"/>
        <v>47.985976506318345</v>
      </c>
      <c r="AL85" s="20">
        <f t="shared" si="58"/>
        <v>418.00808685961562</v>
      </c>
      <c r="AM85" s="59">
        <f t="shared" si="59"/>
        <v>711.34142019294893</v>
      </c>
      <c r="AN85" s="59">
        <f ca="1">AVERAGE(OFFSET($AM$3,0,0,'Données projet'!$E$10+1,1))-AVERAGE(OFFSET($H$3,0,0,'Données projet'!$E$10+1,1))</f>
        <v>297.90790572649428</v>
      </c>
      <c r="AO85" s="59">
        <f t="shared" si="90"/>
        <v>142.96889776844506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16.733119129297421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16.733119129297421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5.8888888888888893</v>
      </c>
      <c r="BD85" s="12">
        <f>IF('Données projet'!$A$88&gt;35,BD84+BC85-BL84,IF(A85&lt;'Données projet'!$A$88,$BA$205^A85,IF(A85='Données projet'!$A$88,'Données projet'!$B$88,BD84+BC85-BL84)))</f>
        <v>212.22222222222229</v>
      </c>
      <c r="BE85" s="13">
        <f>BD85*VLOOKUP('Données projet'!$B$11,Paramètres!$A$1:$I$89,3,0)*VLOOKUP('Données projet'!$B$11,Paramètres!$A$1:$I$89,5,0)</f>
        <v>215.19333333333341</v>
      </c>
      <c r="BF85" s="13">
        <f t="shared" si="91"/>
        <v>53.068841113764265</v>
      </c>
      <c r="BG85" s="20">
        <f t="shared" si="61"/>
        <v>467.22328716202838</v>
      </c>
      <c r="BH85" s="59">
        <f t="shared" si="62"/>
        <v>760.5566204953617</v>
      </c>
      <c r="BI85" s="59">
        <f ca="1">AVERAGE(OFFSET($BH$3,0,0,'Données projet'!$E$11+1,1))-AVERAGE(OFFSET($H$3,0,0,'Données projet'!$E$11+1,1))</f>
        <v>345.3294887586967</v>
      </c>
      <c r="BJ85" s="59">
        <f t="shared" si="92"/>
        <v>164.23448598618114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18.752633506971254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18.752633506971254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567</v>
      </c>
      <c r="BW85" s="12">
        <f>VLOOKUP(A85,'Données projet'!$A$113:$I$133,9,0)</f>
        <v>8.875</v>
      </c>
      <c r="BX85" s="12">
        <f t="array" ref="BX85">INDEX(BW:BW,MIN(IF(ISNUMBER(BW85:BW281),ROW(BW85:BW281),"")))</f>
        <v>8.875</v>
      </c>
      <c r="BY85" s="12">
        <f>IF('Données projet'!$A$114&gt;35,BY84+BX85-CG84,IF(A85&lt;'Données projet'!$A$114,$BV$205^A85,IF(A85='Données projet'!$A$114,'Données projet'!$B$114,BY84+BX85-CG84)))</f>
        <v>567</v>
      </c>
      <c r="BZ85" s="13">
        <f>BY85*VLOOKUP('Données projet'!$B$12,Paramètres!$A$1:$I$89,3,0)*VLOOKUP('Données projet'!$B$12,Paramètres!$A$1:$I$89,5,0)</f>
        <v>339.06600000000003</v>
      </c>
      <c r="CA85" s="13">
        <f t="shared" si="93"/>
        <v>79.30694522486489</v>
      </c>
      <c r="CB85" s="20">
        <f t="shared" si="64"/>
        <v>728.66621293330627</v>
      </c>
      <c r="CC85" s="59">
        <f t="shared" si="65"/>
        <v>1021.9995462666395</v>
      </c>
      <c r="CD85" s="59">
        <f ca="1">AVERAGE(OFFSET($CC$3,0,0,'Données projet'!$E$12+1,1))-AVERAGE(OFFSET($H$3,0,0,'Données projet'!$E$12+1,1))</f>
        <v>289.07218105343333</v>
      </c>
      <c r="CE85" s="59">
        <f t="shared" si="94"/>
        <v>217.57508587672368</v>
      </c>
      <c r="CF85" s="15" t="str">
        <f>IF(ISNA(VLOOKUP(A85,'Données projet'!$A$113:$I$133,3,0)),0,VLOOKUP(A85,'Données projet'!$A$113:$I$133,3,0))</f>
        <v>CR</v>
      </c>
      <c r="CG85" s="15">
        <f>IF(ISNA(VLOOKUP(A85,'Données projet'!$A$113:$I$133,4,0)),0,VLOOKUP(A85,'Données projet'!$A$113:$I$133,4,0))</f>
        <v>567</v>
      </c>
      <c r="CH85" s="16">
        <f>IF(ISNA(VLOOKUP(A85,'Données projet'!$A$113:$I$133,5,0)),0%,VLOOKUP(A85,'Données projet'!$A$113:$I$133,5,0)*VLOOKUP('Données projet'!$B$12,Paramètres!$A$1:$I$89,7,0))</f>
        <v>0.315</v>
      </c>
      <c r="CI85" s="16">
        <f>IF(ISNA(VLOOKUP(A85,'Données projet'!$A$113:$I$133,6,0)),0%,VLOOKUP(A85,'Données projet'!$A$113:$I$133,6,0)*VLOOKUP('Données projet'!$B$12,Paramètres!$A$1:$I$89,7,0))</f>
        <v>9.0000000000000011E-2</v>
      </c>
      <c r="CJ85" s="16">
        <f>IF(ISNA(VLOOKUP(A85,'Données projet'!$A$113:$I$133,7,0)),0%,VLOOKUP(A85,'Données projet'!$A$113:$I$133,7,0))</f>
        <v>0.1</v>
      </c>
      <c r="CK85" s="21">
        <f>EXP(-LN(2)/35)*CK84+(1-EXP(-LN(2)/35))/(LN(2)/35)*CG85*CH85*VLOOKUP('Données projet'!$B$12,Paramètres!$A$1:$I$89,3,0)*0.475*44/12</f>
        <v>159.59290079474727</v>
      </c>
      <c r="CL85" s="21">
        <f>EXP(-LN(2)/25)*CL84+(1-EXP(-LN(2)/25))/(LN(2)/25)*Calculateur!CG85*Calculateur!CI85*VLOOKUP('Données projet'!$B$12,Paramètres!$A$1:$I$89,3,0)*0.475*44/12</f>
        <v>70.492177926650143</v>
      </c>
      <c r="CM85" s="21">
        <f>EXP(-LN(2)/2)*CM84+(1-EXP(-LN(2)/2))/(LN(2)/2)*CG85*CJ85*VLOOKUP('Données projet'!$B$12,Paramètres!$A$1:$I$89,3,0)*0.475*44/12</f>
        <v>38.759001014727303</v>
      </c>
      <c r="CN85" s="22">
        <f t="shared" si="66"/>
        <v>268.84407973612468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1.7053025658242404E-13</v>
      </c>
      <c r="CU85" s="17">
        <f>CT85*VLOOKUP('Données projet'!$B$13,Paramètres!$A$1:$I$89,3,0)*VLOOKUP('Données projet'!$B$13,Paramètres!$A$1:$I$89,5,0)</f>
        <v>1.4897523215040567E-13</v>
      </c>
      <c r="CV85" s="13">
        <f t="shared" si="95"/>
        <v>2.136562777003313E-12</v>
      </c>
      <c r="CW85" s="20">
        <f t="shared" si="67"/>
        <v>3.9806453659427267E-12</v>
      </c>
      <c r="CX85" s="59">
        <f t="shared" si="68"/>
        <v>293.33333333333729</v>
      </c>
      <c r="CY85" s="59">
        <f ca="1">AVERAGE(OFFSET($CX$3,0,0,'Données projet'!$E$13+1,1))-AVERAGE(OFFSET($H$3,0,0,'Données projet'!$E$13+1,1))</f>
        <v>237.8483058552178</v>
      </c>
      <c r="CZ85" s="59">
        <f t="shared" si="96"/>
        <v>313.36201272119723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69.11994260908601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0.64360326509559962</v>
      </c>
      <c r="DI85" s="22">
        <f t="shared" si="69"/>
        <v>69.763545874181617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5.8888888888888893</v>
      </c>
      <c r="DO85" s="12">
        <f>IF('Données projet'!$A$166&gt;35,DO84+DN85-DW84,IF(A85&lt;'Données projet'!$A$166,$DL$205^A85,IF(A85='Données projet'!$A$166,'Données projet'!$B$166,DO84+DN85-DW84)))</f>
        <v>212.22222222222229</v>
      </c>
      <c r="DP85" s="17">
        <f>DO85*VLOOKUP('Données projet'!$B$14,Paramètres!$A$1:$I$89,3,0)*VLOOKUP('Données projet'!$B$14,Paramètres!$A$1:$I$89,5,0)</f>
        <v>205.2613333333334</v>
      </c>
      <c r="DQ85" s="13">
        <f t="shared" si="97"/>
        <v>50.898696317752375</v>
      </c>
      <c r="DR85" s="20">
        <f t="shared" si="70"/>
        <v>446.14538497564104</v>
      </c>
      <c r="DS85" s="59">
        <f t="shared" si="71"/>
        <v>739.47871830897429</v>
      </c>
      <c r="DT85" s="59">
        <f ca="1">AVERAGE(OFFSET($DS$3,0,0,'Données projet'!$E$14+1,1))-AVERAGE(OFFSET($H$3,0,0,'Données projet'!$E$14+1,1))</f>
        <v>325.01961068962373</v>
      </c>
      <c r="DU85" s="59">
        <f t="shared" si="98"/>
        <v>155.12737608540039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17.887127345111043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17.887127345111043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-1.7053025658242404E-13</v>
      </c>
      <c r="EK85" s="17">
        <f>EJ85*VLOOKUP('Données projet'!$B$15,Paramètres!$A$1:$I$89,3,0)*VLOOKUP('Données projet'!$B$15,Paramètres!$A$1:$I$89,5,0)</f>
        <v>-1.1439169611549005E-13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178.09619481964575</v>
      </c>
      <c r="EP85" s="59">
        <f t="shared" si="100"/>
        <v>178.65167777495174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86.037758583361779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17.542784995139368</v>
      </c>
      <c r="EY85" s="22">
        <f t="shared" si="75"/>
        <v>103.58054357850115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-1.7053025658242404E-13</v>
      </c>
      <c r="FF85" s="17">
        <f>FE85*VLOOKUP('Données projet'!$B$16,Paramètres!$A$1:$I$89,3,0)*VLOOKUP('Données projet'!$B$16,Paramètres!$A$1:$I$89,5,0)</f>
        <v>-1.3567387213697657E-13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219.43439115440339</v>
      </c>
      <c r="FK85" s="59">
        <f t="shared" si="102"/>
        <v>217.8880462742099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102.04478343608025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20.806558947723438</v>
      </c>
      <c r="FT85" s="22">
        <f t="shared" si="78"/>
        <v>122.85134238380368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191.77102466144095</v>
      </c>
      <c r="GF85" s="59">
        <f t="shared" si="104"/>
        <v>205.57161411620217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75.174805550649026</v>
      </c>
      <c r="GM85" s="21">
        <f>EXP(-LN(2)/25)*GM84+(1-EXP(-LN(2)/25))/(LN(2)/25)*Calculateur!GH85*Calculateur!GJ85*VLOOKUP('Données projet'!$B$17,Paramètres!$A$1:$I$89,3,0)*0.475*44/12</f>
        <v>13.209975750317987</v>
      </c>
      <c r="GN85" s="21">
        <f>EXP(-LN(2)/2)*GN84+(1-EXP(-LN(2)/2))/(LN(2)/2)*GH85*GK85*VLOOKUP('Données projet'!$B$17,Paramètres!$A$1:$I$89,3,0)*0.475*44/12</f>
        <v>2.0978300260016538E-2</v>
      </c>
      <c r="GO85" s="21">
        <f t="shared" si="81"/>
        <v>88.405759601227018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84.31577618130467</v>
      </c>
      <c r="T86" s="59">
        <f t="shared" si="88"/>
        <v>527.2140904310653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42.806813375407295</v>
      </c>
      <c r="AA86" s="21">
        <f>EXP(-LN(2)/25)*AA85+(1-EXP(-LN(2)/25))/(LN(2)/25)*Calculateur!V86*Calculateur!X86*VLOOKUP('Données projet'!$B$9,Paramètres!$A$1:$I$89,3,0)*0.475*44/12</f>
        <v>8.1084363508503134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50.915249726257606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5.8888888888888893</v>
      </c>
      <c r="AI86" s="13">
        <f>IF('Données projet'!$A$62&gt;35,AI85+AH86-AQ85,IF(A86&lt;'Données projet'!$A$62,$AF$205^A86,IF(A86='Données projet'!$A$62,'Données projet'!$B$62,AI85+AH86-AQ85)))</f>
        <v>218.11111111111117</v>
      </c>
      <c r="AJ86" s="13">
        <f>AI86*VLOOKUP('Données projet'!$B$10,Paramètres!$A$1:$I$89,3,0)*VLOOKUP('Données projet'!$B$10,Paramètres!$A$1:$I$89,5,0)</f>
        <v>197.3469333333334</v>
      </c>
      <c r="AK86" s="13">
        <f t="shared" si="89"/>
        <v>49.160651584571333</v>
      </c>
      <c r="AL86" s="20">
        <f t="shared" si="58"/>
        <v>429.33404373201734</v>
      </c>
      <c r="AM86" s="59">
        <f t="shared" si="59"/>
        <v>722.66737706535059</v>
      </c>
      <c r="AN86" s="59">
        <f ca="1">AVERAGE(OFFSET($AM$3,0,0,'Données projet'!$E$10+1,1))-AVERAGE(OFFSET($H$3,0,0,'Données projet'!$E$10+1,1))</f>
        <v>297.90790572649428</v>
      </c>
      <c r="AO86" s="59">
        <f t="shared" si="90"/>
        <v>142.96889776844506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16.275551106750292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16.275551106750292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5.8888888888888893</v>
      </c>
      <c r="BD86" s="12">
        <f>IF('Données projet'!$A$88&gt;35,BD85+BC86-BL85,IF(A86&lt;'Données projet'!$A$88,$BA$205^A86,IF(A86='Données projet'!$A$88,'Données projet'!$B$88,BD85+BC86-BL85)))</f>
        <v>218.11111111111117</v>
      </c>
      <c r="BE86" s="13">
        <f>BD86*VLOOKUP('Données projet'!$B$11,Paramètres!$A$1:$I$89,3,0)*VLOOKUP('Données projet'!$B$11,Paramètres!$A$1:$I$89,5,0)</f>
        <v>221.16466666666673</v>
      </c>
      <c r="BF86" s="13">
        <f t="shared" si="91"/>
        <v>54.36794242683014</v>
      </c>
      <c r="BG86" s="20">
        <f t="shared" si="61"/>
        <v>479.88596083784046</v>
      </c>
      <c r="BH86" s="59">
        <f t="shared" si="62"/>
        <v>773.21929417117371</v>
      </c>
      <c r="BI86" s="59">
        <f ca="1">AVERAGE(OFFSET($BH$3,0,0,'Données projet'!$E$11+1,1))-AVERAGE(OFFSET($H$3,0,0,'Données projet'!$E$11+1,1))</f>
        <v>345.3294887586967</v>
      </c>
      <c r="BJ86" s="59">
        <f t="shared" si="92"/>
        <v>164.23448598618114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18.239841757564989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18.239841757564989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289.07218105343333</v>
      </c>
      <c r="CE86" s="59">
        <f t="shared" si="94"/>
        <v>217.57508587672368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156.46338135222004</v>
      </c>
      <c r="CL86" s="21">
        <f>EXP(-LN(2)/25)*CL85+(1-EXP(-LN(2)/25))/(LN(2)/25)*Calculateur!CG86*Calculateur!CI86*VLOOKUP('Données projet'!$B$12,Paramètres!$A$1:$I$89,3,0)*0.475*44/12</f>
        <v>68.564565614223369</v>
      </c>
      <c r="CM86" s="21">
        <f>EXP(-LN(2)/2)*CM85+(1-EXP(-LN(2)/2))/(LN(2)/2)*CG86*CJ86*VLOOKUP('Données projet'!$B$12,Paramètres!$A$1:$I$89,3,0)*0.475*44/12</f>
        <v>27.406752449529954</v>
      </c>
      <c r="CN86" s="22">
        <f t="shared" si="66"/>
        <v>252.43469941597337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1.7053025658242404E-13</v>
      </c>
      <c r="CU86" s="17">
        <f>CT86*VLOOKUP('Données projet'!$B$13,Paramètres!$A$1:$I$89,3,0)*VLOOKUP('Données projet'!$B$13,Paramètres!$A$1:$I$89,5,0)</f>
        <v>1.4897523215040567E-13</v>
      </c>
      <c r="CV86" s="13">
        <f t="shared" si="95"/>
        <v>2.136562777003313E-12</v>
      </c>
      <c r="CW86" s="20">
        <f t="shared" si="67"/>
        <v>3.9806453659427267E-12</v>
      </c>
      <c r="CX86" s="59">
        <f t="shared" si="68"/>
        <v>293.33333333333729</v>
      </c>
      <c r="CY86" s="59">
        <f ca="1">AVERAGE(OFFSET($CX$3,0,0,'Données projet'!$E$13+1,1))-AVERAGE(OFFSET($H$3,0,0,'Données projet'!$E$13+1,1))</f>
        <v>237.8483058552178</v>
      </c>
      <c r="CZ86" s="59">
        <f t="shared" si="96"/>
        <v>313.36201272119723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67.764542693523964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0.45509623314290171</v>
      </c>
      <c r="DI86" s="22">
        <f t="shared" si="69"/>
        <v>68.21963892666686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5.8888888888888893</v>
      </c>
      <c r="DO86" s="12">
        <f>IF('Données projet'!$A$166&gt;35,DO85+DN86-DW85,IF(A86&lt;'Données projet'!$A$166,$DL$205^A86,IF(A86='Données projet'!$A$166,'Données projet'!$B$166,DO85+DN86-DW85)))</f>
        <v>218.11111111111117</v>
      </c>
      <c r="DP86" s="17">
        <f>DO86*VLOOKUP('Données projet'!$B$14,Paramètres!$A$1:$I$89,3,0)*VLOOKUP('Données projet'!$B$14,Paramètres!$A$1:$I$89,5,0)</f>
        <v>210.95706666666672</v>
      </c>
      <c r="DQ86" s="13">
        <f t="shared" si="97"/>
        <v>52.14467346426634</v>
      </c>
      <c r="DR86" s="20">
        <f t="shared" si="70"/>
        <v>458.23553072804179</v>
      </c>
      <c r="DS86" s="59">
        <f t="shared" si="71"/>
        <v>751.56886406137505</v>
      </c>
      <c r="DT86" s="59">
        <f ca="1">AVERAGE(OFFSET($DS$3,0,0,'Données projet'!$E$14+1,1))-AVERAGE(OFFSET($H$3,0,0,'Données projet'!$E$14+1,1))</f>
        <v>325.01961068962373</v>
      </c>
      <c r="DU86" s="59">
        <f t="shared" si="98"/>
        <v>155.12737608540039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17.398002907215837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17.398002907215837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-1.7053025658242404E-13</v>
      </c>
      <c r="EK86" s="17">
        <f>EJ86*VLOOKUP('Données projet'!$B$15,Paramètres!$A$1:$I$89,3,0)*VLOOKUP('Données projet'!$B$15,Paramètres!$A$1:$I$89,5,0)</f>
        <v>-1.1439169611549005E-13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178.09619481964575</v>
      </c>
      <c r="EP86" s="59">
        <f t="shared" si="100"/>
        <v>178.65167777495174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84.350610615393038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12.404622230960662</v>
      </c>
      <c r="EY86" s="22">
        <f t="shared" si="75"/>
        <v>96.755232846353692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-1.7053025658242404E-13</v>
      </c>
      <c r="FF86" s="17">
        <f>FE86*VLOOKUP('Données projet'!$B$16,Paramètres!$A$1:$I$89,3,0)*VLOOKUP('Données projet'!$B$16,Paramètres!$A$1:$I$89,5,0)</f>
        <v>-1.3567387213697657E-13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219.43439115440339</v>
      </c>
      <c r="FK86" s="59">
        <f t="shared" si="102"/>
        <v>217.8880462742099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100.04374747407081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14.71245892509288</v>
      </c>
      <c r="FT86" s="22">
        <f t="shared" si="78"/>
        <v>114.75620639916369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191.77102466144095</v>
      </c>
      <c r="GF86" s="59">
        <f t="shared" si="104"/>
        <v>205.57161411620217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73.700673465904671</v>
      </c>
      <c r="GM86" s="21">
        <f>EXP(-LN(2)/25)*GM85+(1-EXP(-LN(2)/25))/(LN(2)/25)*Calculateur!GH86*Calculateur!GJ86*VLOOKUP('Données projet'!$B$17,Paramètres!$A$1:$I$89,3,0)*0.475*44/12</f>
        <v>12.848748268743108</v>
      </c>
      <c r="GN86" s="21">
        <f>EXP(-LN(2)/2)*GN85+(1-EXP(-LN(2)/2))/(LN(2)/2)*GH86*GK86*VLOOKUP('Données projet'!$B$17,Paramètres!$A$1:$I$89,3,0)*0.475*44/12</f>
        <v>1.4833898371625208E-2</v>
      </c>
      <c r="GO86" s="21">
        <f t="shared" si="81"/>
        <v>86.5642556330194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84.31577618130467</v>
      </c>
      <c r="T87" s="59">
        <f t="shared" si="88"/>
        <v>527.2140904310653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41.96739787469361</v>
      </c>
      <c r="AA87" s="21">
        <f>EXP(-LN(2)/25)*AA86+(1-EXP(-LN(2)/25))/(LN(2)/25)*Calculateur!V87*Calculateur!X87*VLOOKUP('Données projet'!$B$9,Paramètres!$A$1:$I$89,3,0)*0.475*44/12</f>
        <v>7.8867107324321761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49.854108607125788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224</v>
      </c>
      <c r="AG87" s="12">
        <f>VLOOKUP(A87,'Données projet'!$A$61:$I$81,9,0)</f>
        <v>5.8888888888888893</v>
      </c>
      <c r="AH87" s="12">
        <f t="array" ref="AH87">INDEX(AG:AG,MIN(IF(ISNUMBER(AG87:AG283),ROW(AG87:AG283),"")))</f>
        <v>5.8888888888888893</v>
      </c>
      <c r="AI87" s="13">
        <f>IF('Données projet'!$A$62&gt;35,AI86+AH87-AQ86,IF(A87&lt;'Données projet'!$A$62,$AF$205^A87,IF(A87='Données projet'!$A$62,'Données projet'!$B$62,AI86+AH87-AQ86)))</f>
        <v>224.00000000000006</v>
      </c>
      <c r="AJ87" s="13">
        <f>AI87*VLOOKUP('Données projet'!$B$10,Paramètres!$A$1:$I$89,3,0)*VLOOKUP('Données projet'!$B$10,Paramètres!$A$1:$I$89,5,0)</f>
        <v>202.67520000000002</v>
      </c>
      <c r="AK87" s="13">
        <f t="shared" si="89"/>
        <v>50.331640285313689</v>
      </c>
      <c r="AL87" s="20">
        <f t="shared" si="58"/>
        <v>440.653580163588</v>
      </c>
      <c r="AM87" s="59">
        <f t="shared" si="59"/>
        <v>733.98691349692126</v>
      </c>
      <c r="AN87" s="59">
        <f ca="1">AVERAGE(OFFSET($AM$3,0,0,'Données projet'!$E$10+1,1))-AVERAGE(OFFSET($H$3,0,0,'Données projet'!$E$10+1,1))</f>
        <v>297.90790572649428</v>
      </c>
      <c r="AO87" s="59">
        <f t="shared" si="90"/>
        <v>142.96889776844506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36</v>
      </c>
      <c r="AR87" s="16">
        <f>IF(ISNA(VLOOKUP(A87,'Données projet'!$A$61:$I$81,5,0)),0%,VLOOKUP(A87,'Données projet'!$A$61:$I$81,5,0)*VLOOKUP('Données projet'!$B$10,Paramètres!$A$1:$I$89,7,0))</f>
        <v>4.3000000000000003E-2</v>
      </c>
      <c r="AS87" s="16">
        <f>IF(ISNA(VLOOKUP(A87,'Données projet'!$A$61:$I$81,6,0)),0%,VLOOKUP(A87,'Données projet'!$A$61:$I$81,6,0)*VLOOKUP('Données projet'!$B$10,Paramètres!$A$1:$I$89,7,0))</f>
        <v>0.215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1.5483554198733878</v>
      </c>
      <c r="AV87" s="21">
        <f>EXP(-LN(2)/25)*AV86+(1-EXP(-LN(2)/25))/(LN(2)/25)*Calculateur!AQ87*Calculateur!AS87*VLOOKUP('Données projet'!$B$10,Paramètres!$A$1:$I$89,3,0)*0.475*44/12</f>
        <v>23.541790078920563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25.090145498793952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224</v>
      </c>
      <c r="BB87" s="12">
        <f>VLOOKUP(A87,'Données projet'!$A$87:$I$107,9,0)</f>
        <v>5.8888888888888893</v>
      </c>
      <c r="BC87" s="12">
        <f t="array" ref="BC87">INDEX(BB:BB,MIN(IF(ISNUMBER(BB87:BB283),ROW(BB87:BB283),"")))</f>
        <v>5.8888888888888893</v>
      </c>
      <c r="BD87" s="12">
        <f>IF('Données projet'!$A$88&gt;35,BD86+BC87-BL86,IF(A87&lt;'Données projet'!$A$88,$BA$205^A87,IF(A87='Données projet'!$A$88,'Données projet'!$B$88,BD86+BC87-BL86)))</f>
        <v>224.00000000000006</v>
      </c>
      <c r="BE87" s="13">
        <f>BD87*VLOOKUP('Données projet'!$B$11,Paramètres!$A$1:$I$89,3,0)*VLOOKUP('Données projet'!$B$11,Paramètres!$A$1:$I$89,5,0)</f>
        <v>227.13600000000008</v>
      </c>
      <c r="BF87" s="13">
        <f t="shared" si="91"/>
        <v>55.662966886685133</v>
      </c>
      <c r="BG87" s="20">
        <f t="shared" si="61"/>
        <v>492.54153399430999</v>
      </c>
      <c r="BH87" s="59">
        <f t="shared" si="62"/>
        <v>785.8748673276433</v>
      </c>
      <c r="BI87" s="59">
        <f ca="1">AVERAGE(OFFSET($BH$3,0,0,'Données projet'!$E$11+1,1))-AVERAGE(OFFSET($H$3,0,0,'Données projet'!$E$11+1,1))</f>
        <v>345.3294887586967</v>
      </c>
      <c r="BJ87" s="59">
        <f t="shared" si="92"/>
        <v>164.23448598618114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36</v>
      </c>
      <c r="BM87" s="16">
        <f>IF(ISNA(VLOOKUP(A87,'Données projet'!$A$87:$I$107,5,0)),0%,VLOOKUP(A87,'Données projet'!$A$87:$I$107,5,0)*VLOOKUP('Données projet'!$B$11,Paramètres!$A$1:$I$89,7,0))</f>
        <v>4.3000000000000003E-2</v>
      </c>
      <c r="BN87" s="16">
        <f>IF(ISNA(VLOOKUP(A87,'Données projet'!$A$87:$I$107,6,0)),0%,VLOOKUP(A87,'Données projet'!$A$87:$I$107,6,0)*VLOOKUP('Données projet'!$B$11,Paramètres!$A$1:$I$89,7,0))</f>
        <v>0.215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1.7352259015822449</v>
      </c>
      <c r="BQ87" s="21">
        <f>EXP(-LN(2)/25)*BQ86+(1-EXP(-LN(2)/25))/(LN(2)/25)*Calculateur!BL87*Calculateur!BN87*VLOOKUP('Données projet'!$B$11,Paramètres!$A$1:$I$89,3,0)*0.475*44/12</f>
        <v>26.383040605686844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28.118266507269087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289.07218105343333</v>
      </c>
      <c r="CE87" s="59">
        <f t="shared" si="94"/>
        <v>217.57508587672368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153.39522987714238</v>
      </c>
      <c r="CL87" s="21">
        <f>EXP(-LN(2)/25)*CL86+(1-EXP(-LN(2)/25))/(LN(2)/25)*Calculateur!CG87*Calculateur!CI87*VLOOKUP('Données projet'!$B$12,Paramètres!$A$1:$I$89,3,0)*0.475*44/12</f>
        <v>66.689663961848638</v>
      </c>
      <c r="CM87" s="21">
        <f>EXP(-LN(2)/2)*CM86+(1-EXP(-LN(2)/2))/(LN(2)/2)*CG87*CJ87*VLOOKUP('Données projet'!$B$12,Paramètres!$A$1:$I$89,3,0)*0.475*44/12</f>
        <v>19.379500507363655</v>
      </c>
      <c r="CN87" s="22">
        <f t="shared" si="66"/>
        <v>239.46439434635468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1.7053025658242404E-13</v>
      </c>
      <c r="CU87" s="17">
        <f>CT87*VLOOKUP('Données projet'!$B$13,Paramètres!$A$1:$I$89,3,0)*VLOOKUP('Données projet'!$B$13,Paramètres!$A$1:$I$89,5,0)</f>
        <v>1.4897523215040567E-13</v>
      </c>
      <c r="CV87" s="13">
        <f t="shared" si="95"/>
        <v>2.136562777003313E-12</v>
      </c>
      <c r="CW87" s="20">
        <f t="shared" si="67"/>
        <v>3.9806453659427267E-12</v>
      </c>
      <c r="CX87" s="59">
        <f t="shared" si="68"/>
        <v>293.33333333333729</v>
      </c>
      <c r="CY87" s="59">
        <f ca="1">AVERAGE(OFFSET($CX$3,0,0,'Données projet'!$E$13+1,1))-AVERAGE(OFFSET($H$3,0,0,'Données projet'!$E$13+1,1))</f>
        <v>237.8483058552178</v>
      </c>
      <c r="CZ87" s="59">
        <f t="shared" si="96"/>
        <v>313.36201272119723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66.435721343593784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0.32180163254779981</v>
      </c>
      <c r="DI87" s="22">
        <f t="shared" si="69"/>
        <v>66.757522976141587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224</v>
      </c>
      <c r="DM87" s="12">
        <f>VLOOKUP(A87,'Données projet'!$A$165:$I$185,9,0)</f>
        <v>5.8888888888888893</v>
      </c>
      <c r="DN87" s="12">
        <f t="array" ref="DN87">INDEX(DM:DM,MIN(IF(ISNUMBER(DM87:DM283),ROW(DM87:DM283),"")))</f>
        <v>5.8888888888888893</v>
      </c>
      <c r="DO87" s="12">
        <f>IF('Données projet'!$A$166&gt;35,DO86+DN87-DW86,IF(A87&lt;'Données projet'!$A$166,$DL$205^A87,IF(A87='Données projet'!$A$166,'Données projet'!$B$166,DO86+DN87-DW86)))</f>
        <v>224.00000000000006</v>
      </c>
      <c r="DP87" s="17">
        <f>DO87*VLOOKUP('Données projet'!$B$14,Paramètres!$A$1:$I$89,3,0)*VLOOKUP('Données projet'!$B$14,Paramètres!$A$1:$I$89,5,0)</f>
        <v>216.65280000000004</v>
      </c>
      <c r="DQ87" s="13">
        <f t="shared" si="97"/>
        <v>53.38674047237982</v>
      </c>
      <c r="DR87" s="20">
        <f t="shared" si="70"/>
        <v>470.3188663227283</v>
      </c>
      <c r="DS87" s="59">
        <f t="shared" si="71"/>
        <v>763.65219965606161</v>
      </c>
      <c r="DT87" s="59">
        <f ca="1">AVERAGE(OFFSET($DS$3,0,0,'Données projet'!$E$14+1,1))-AVERAGE(OFFSET($H$3,0,0,'Données projet'!$E$14+1,1))</f>
        <v>325.01961068962373</v>
      </c>
      <c r="DU87" s="59">
        <f t="shared" si="98"/>
        <v>155.12737608540039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36</v>
      </c>
      <c r="DX87" s="16">
        <f>IF(ISNA(VLOOKUP(A87,'Données projet'!$A$165:$I$185,5,0)),0%,VLOOKUP(A87,'Données projet'!$A$165:$I$185,5,0)*VLOOKUP('Données projet'!$B$14,Paramètres!$A$1:$I$89,7,0))</f>
        <v>4.3000000000000003E-2</v>
      </c>
      <c r="DY87" s="16">
        <f>IF(ISNA(VLOOKUP(A87,'Données projet'!$A$165:$I$185,6,0)),0%,VLOOKUP(A87,'Données projet'!$A$165:$I$185,6,0)*VLOOKUP('Données projet'!$B$14,Paramètres!$A$1:$I$89,7,0))</f>
        <v>0.215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1.655138552278449</v>
      </c>
      <c r="EB87" s="21">
        <f>EXP(-LN(2)/25)*EB86+(1-EXP(-LN(2)/25))/(LN(2)/25)*Calculateur!DW87*Calculateur!DY87*VLOOKUP('Données projet'!$B$14,Paramètres!$A$1:$I$89,3,0)*0.475*44/12</f>
        <v>25.165361808501302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26.82050036077975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-1.7053025658242404E-13</v>
      </c>
      <c r="EK87" s="17">
        <f>EJ87*VLOOKUP('Données projet'!$B$15,Paramètres!$A$1:$I$89,3,0)*VLOOKUP('Données projet'!$B$15,Paramètres!$A$1:$I$89,5,0)</f>
        <v>-1.1439169611549005E-13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178.09619481964575</v>
      </c>
      <c r="EP87" s="59">
        <f t="shared" si="100"/>
        <v>178.65167777495174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82.696546590017505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8.7713924975696838</v>
      </c>
      <c r="EY87" s="22">
        <f t="shared" si="75"/>
        <v>91.467939087587183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-1.7053025658242404E-13</v>
      </c>
      <c r="FF87" s="17">
        <f>FE87*VLOOKUP('Données projet'!$B$16,Paramètres!$A$1:$I$89,3,0)*VLOOKUP('Données projet'!$B$16,Paramètres!$A$1:$I$89,5,0)</f>
        <v>-1.3567387213697657E-13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219.43439115440339</v>
      </c>
      <c r="FK87" s="59">
        <f t="shared" si="102"/>
        <v>217.8880462742099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98.081950606764948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10.403279473861721</v>
      </c>
      <c r="FT87" s="22">
        <f t="shared" si="78"/>
        <v>108.48523008062666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191.77102466144095</v>
      </c>
      <c r="GF87" s="59">
        <f t="shared" si="104"/>
        <v>205.57161411620217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72.255448212210354</v>
      </c>
      <c r="GM87" s="21">
        <f>EXP(-LN(2)/25)*GM86+(1-EXP(-LN(2)/25))/(LN(2)/25)*Calculateur!GH87*Calculateur!GJ87*VLOOKUP('Données projet'!$B$17,Paramètres!$A$1:$I$89,3,0)*0.475*44/12</f>
        <v>12.497398571648024</v>
      </c>
      <c r="GN87" s="21">
        <f>EXP(-LN(2)/2)*GN86+(1-EXP(-LN(2)/2))/(LN(2)/2)*GH87*GK87*VLOOKUP('Données projet'!$B$17,Paramètres!$A$1:$I$89,3,0)*0.475*44/12</f>
        <v>1.0489150130008271E-2</v>
      </c>
      <c r="GO87" s="21">
        <f t="shared" si="81"/>
        <v>84.763335933988387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84.31577618130467</v>
      </c>
      <c r="T88" s="59">
        <f t="shared" si="88"/>
        <v>527.2140904310653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41.144442799956018</v>
      </c>
      <c r="AA88" s="21">
        <f>EXP(-LN(2)/25)*AA87+(1-EXP(-LN(2)/25))/(LN(2)/25)*Calculateur!V88*Calculateur!X88*VLOOKUP('Données projet'!$B$9,Paramètres!$A$1:$I$89,3,0)*0.475*44/12</f>
        <v>7.6710482127097261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48.815491012665746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5.7777777777777777</v>
      </c>
      <c r="AI88" s="13">
        <f>IF('Données projet'!$A$62&gt;35,AI87+AH88-AQ87,IF(A88&lt;'Données projet'!$A$62,$AF$205^A88,IF(A88='Données projet'!$A$62,'Données projet'!$B$62,AI87+AH88-AQ87)))</f>
        <v>193.77777777777783</v>
      </c>
      <c r="AJ88" s="13">
        <f>AI88*VLOOKUP('Données projet'!$B$10,Paramètres!$A$1:$I$89,3,0)*VLOOKUP('Données projet'!$B$10,Paramètres!$A$1:$I$89,5,0)</f>
        <v>175.33013333333338</v>
      </c>
      <c r="AK88" s="13">
        <f t="shared" si="89"/>
        <v>44.281642764467087</v>
      </c>
      <c r="AL88" s="20">
        <f t="shared" si="58"/>
        <v>382.49051003700242</v>
      </c>
      <c r="AM88" s="59">
        <f t="shared" si="59"/>
        <v>675.82384337033568</v>
      </c>
      <c r="AN88" s="59">
        <f ca="1">AVERAGE(OFFSET($AM$3,0,0,'Données projet'!$E$10+1,1))-AVERAGE(OFFSET($H$3,0,0,'Données projet'!$E$10+1,1))</f>
        <v>297.90790572649428</v>
      </c>
      <c r="AO88" s="59">
        <f t="shared" si="90"/>
        <v>142.96889776844506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1.5179931144932246</v>
      </c>
      <c r="AV88" s="21">
        <f>EXP(-LN(2)/25)*AV87+(1-EXP(-LN(2)/25))/(LN(2)/25)*Calculateur!AQ88*Calculateur!AS88*VLOOKUP('Données projet'!$B$10,Paramètres!$A$1:$I$89,3,0)*0.475*44/12</f>
        <v>22.898038591203544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24.416031705696771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5.7777777777777777</v>
      </c>
      <c r="BD88" s="12">
        <f>IF('Données projet'!$A$88&gt;35,BD87+BC88-BL87,IF(A88&lt;'Données projet'!$A$88,$BA$205^A88,IF(A88='Données projet'!$A$88,'Données projet'!$B$88,BD87+BC88-BL87)))</f>
        <v>193.77777777777783</v>
      </c>
      <c r="BE88" s="13">
        <f>BD88*VLOOKUP('Données projet'!$B$11,Paramètres!$A$1:$I$89,3,0)*VLOOKUP('Données projet'!$B$11,Paramètres!$A$1:$I$89,5,0)</f>
        <v>196.49066666666673</v>
      </c>
      <c r="BF88" s="13">
        <f t="shared" si="91"/>
        <v>48.972129676563945</v>
      </c>
      <c r="BG88" s="20">
        <f t="shared" si="61"/>
        <v>427.51437029779345</v>
      </c>
      <c r="BH88" s="59">
        <f t="shared" si="62"/>
        <v>720.84770363112671</v>
      </c>
      <c r="BI88" s="59">
        <f ca="1">AVERAGE(OFFSET($BH$3,0,0,'Données projet'!$E$11+1,1))-AVERAGE(OFFSET($H$3,0,0,'Données projet'!$E$11+1,1))</f>
        <v>345.3294887586967</v>
      </c>
      <c r="BJ88" s="59">
        <f t="shared" si="92"/>
        <v>164.23448598618114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1.7011991800355104</v>
      </c>
      <c r="BQ88" s="21">
        <f>EXP(-LN(2)/25)*BQ87+(1-EXP(-LN(2)/25))/(LN(2)/25)*Calculateur!BL88*Calculateur!BN88*VLOOKUP('Données projet'!$B$11,Paramètres!$A$1:$I$89,3,0)*0.475*44/12</f>
        <v>25.661594972900531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27.36279415293604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289.07218105343333</v>
      </c>
      <c r="CE88" s="59">
        <f t="shared" si="94"/>
        <v>217.57508587672368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150.38724298110338</v>
      </c>
      <c r="CL88" s="21">
        <f>EXP(-LN(2)/25)*CL87+(1-EXP(-LN(2)/25))/(LN(2)/25)*Calculateur!CG88*Calculateur!CI88*VLOOKUP('Données projet'!$B$12,Paramètres!$A$1:$I$89,3,0)*0.475*44/12</f>
        <v>64.866031593754883</v>
      </c>
      <c r="CM88" s="21">
        <f>EXP(-LN(2)/2)*CM87+(1-EXP(-LN(2)/2))/(LN(2)/2)*CG88*CJ88*VLOOKUP('Données projet'!$B$12,Paramètres!$A$1:$I$89,3,0)*0.475*44/12</f>
        <v>13.70337622476498</v>
      </c>
      <c r="CN88" s="22">
        <f t="shared" si="66"/>
        <v>228.95665079962325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1.7053025658242404E-13</v>
      </c>
      <c r="CU88" s="17">
        <f>CT88*VLOOKUP('Données projet'!$B$13,Paramètres!$A$1:$I$89,3,0)*VLOOKUP('Données projet'!$B$13,Paramètres!$A$1:$I$89,5,0)</f>
        <v>1.4897523215040567E-13</v>
      </c>
      <c r="CV88" s="13">
        <f t="shared" si="95"/>
        <v>2.136562777003313E-12</v>
      </c>
      <c r="CW88" s="20">
        <f t="shared" si="67"/>
        <v>3.9806453659427267E-12</v>
      </c>
      <c r="CX88" s="59">
        <f t="shared" si="68"/>
        <v>293.33333333333729</v>
      </c>
      <c r="CY88" s="59">
        <f ca="1">AVERAGE(OFFSET($CX$3,0,0,'Données projet'!$E$13+1,1))-AVERAGE(OFFSET($H$3,0,0,'Données projet'!$E$13+1,1))</f>
        <v>237.8483058552178</v>
      </c>
      <c r="CZ88" s="59">
        <f t="shared" si="96"/>
        <v>313.36201272119723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65.132957369834742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0.22754811657145085</v>
      </c>
      <c r="DI88" s="22">
        <f t="shared" si="69"/>
        <v>65.360505486406197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5.7777777777777777</v>
      </c>
      <c r="DO88" s="12">
        <f>IF('Données projet'!$A$166&gt;35,DO87+DN88-DW87,IF(A88&lt;'Données projet'!$A$166,$DL$205^A88,IF(A88='Données projet'!$A$166,'Données projet'!$B$166,DO87+DN88-DW87)))</f>
        <v>193.77777777777783</v>
      </c>
      <c r="DP88" s="17">
        <f>DO88*VLOOKUP('Données projet'!$B$14,Paramètres!$A$1:$I$89,3,0)*VLOOKUP('Données projet'!$B$14,Paramètres!$A$1:$I$89,5,0)</f>
        <v>187.42186666666672</v>
      </c>
      <c r="DQ88" s="13">
        <f t="shared" si="97"/>
        <v>46.969511753564909</v>
      </c>
      <c r="DR88" s="20">
        <f t="shared" si="70"/>
        <v>408.23165074857008</v>
      </c>
      <c r="DS88" s="59">
        <f t="shared" si="71"/>
        <v>701.56498408190339</v>
      </c>
      <c r="DT88" s="59">
        <f ca="1">AVERAGE(OFFSET($DS$3,0,0,'Données projet'!$E$14+1,1))-AVERAGE(OFFSET($H$3,0,0,'Données projet'!$E$14+1,1))</f>
        <v>325.01961068962373</v>
      </c>
      <c r="DU88" s="59">
        <f t="shared" si="98"/>
        <v>155.12737608540039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1.6226822948031021</v>
      </c>
      <c r="EB88" s="21">
        <f>EXP(-LN(2)/25)*EB87+(1-EXP(-LN(2)/25))/(LN(2)/25)*Calculateur!DW88*Calculateur!DY88*VLOOKUP('Données projet'!$B$14,Paramètres!$A$1:$I$89,3,0)*0.475*44/12</f>
        <v>24.477213666458972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26.099895961262074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-1.7053025658242404E-13</v>
      </c>
      <c r="EK88" s="17">
        <f>EJ88*VLOOKUP('Données projet'!$B$15,Paramètres!$A$1:$I$89,3,0)*VLOOKUP('Données projet'!$B$15,Paramètres!$A$1:$I$89,5,0)</f>
        <v>-1.1439169611549005E-13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178.09619481964575</v>
      </c>
      <c r="EP88" s="59">
        <f t="shared" si="100"/>
        <v>178.65167777495174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81.074917751300148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6.202311115480331</v>
      </c>
      <c r="EY88" s="22">
        <f t="shared" si="75"/>
        <v>87.277228866780476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-1.7053025658242404E-13</v>
      </c>
      <c r="FF88" s="17">
        <f>FE88*VLOOKUP('Données projet'!$B$16,Paramètres!$A$1:$I$89,3,0)*VLOOKUP('Données projet'!$B$16,Paramètres!$A$1:$I$89,5,0)</f>
        <v>-1.3567387213697657E-13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219.43439115440339</v>
      </c>
      <c r="FK88" s="59">
        <f t="shared" si="102"/>
        <v>217.8880462742099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96.158623379449025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7.3562294625464419</v>
      </c>
      <c r="FT88" s="22">
        <f t="shared" si="78"/>
        <v>103.51485284199546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191.77102466144095</v>
      </c>
      <c r="GF88" s="59">
        <f t="shared" si="104"/>
        <v>205.57161411620217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70.838562944240621</v>
      </c>
      <c r="GM88" s="21">
        <f>EXP(-LN(2)/25)*GM87+(1-EXP(-LN(2)/25))/(LN(2)/25)*Calculateur!GH88*Calculateur!GJ88*VLOOKUP('Données projet'!$B$17,Paramètres!$A$1:$I$89,3,0)*0.475*44/12</f>
        <v>12.15565655049668</v>
      </c>
      <c r="GN88" s="21">
        <f>EXP(-LN(2)/2)*GN87+(1-EXP(-LN(2)/2))/(LN(2)/2)*GH88*GK88*VLOOKUP('Données projet'!$B$17,Paramètres!$A$1:$I$89,3,0)*0.475*44/12</f>
        <v>7.4169491858126057E-3</v>
      </c>
      <c r="GO88" s="21">
        <f t="shared" si="81"/>
        <v>83.001636443923118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84.31577618130467</v>
      </c>
      <c r="T89" s="59">
        <f t="shared" si="88"/>
        <v>527.2140904310653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40.337625372281003</v>
      </c>
      <c r="AA89" s="21">
        <f>EXP(-LN(2)/25)*AA88+(1-EXP(-LN(2)/25))/(LN(2)/25)*Calculateur!V89*Calculateur!X89*VLOOKUP('Données projet'!$B$9,Paramètres!$A$1:$I$89,3,0)*0.475*44/12</f>
        <v>7.4612829959302855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47.798908368211286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5.7777777777777777</v>
      </c>
      <c r="AI89" s="13">
        <f>IF('Données projet'!$A$62&gt;35,AI88+AH89-AQ88,IF(A89&lt;'Données projet'!$A$62,$AF$205^A89,IF(A89='Données projet'!$A$62,'Données projet'!$B$62,AI88+AH89-AQ88)))</f>
        <v>199.5555555555556</v>
      </c>
      <c r="AJ89" s="13">
        <f>AI89*VLOOKUP('Données projet'!$B$10,Paramètres!$A$1:$I$89,3,0)*VLOOKUP('Données projet'!$B$10,Paramètres!$A$1:$I$89,5,0)</f>
        <v>180.55786666666671</v>
      </c>
      <c r="AK89" s="13">
        <f t="shared" si="89"/>
        <v>45.446278860104456</v>
      </c>
      <c r="AL89" s="20">
        <f t="shared" si="58"/>
        <v>393.62388679245981</v>
      </c>
      <c r="AM89" s="59">
        <f t="shared" si="59"/>
        <v>686.95722012579313</v>
      </c>
      <c r="AN89" s="59">
        <f ca="1">AVERAGE(OFFSET($AM$3,0,0,'Données projet'!$E$10+1,1))-AVERAGE(OFFSET($H$3,0,0,'Données projet'!$E$10+1,1))</f>
        <v>297.90790572649428</v>
      </c>
      <c r="AO89" s="59">
        <f t="shared" si="90"/>
        <v>142.96889776844506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1.4882261954023888</v>
      </c>
      <c r="AV89" s="21">
        <f>EXP(-LN(2)/25)*AV88+(1-EXP(-LN(2)/25))/(LN(2)/25)*Calculateur!AQ89*Calculateur!AS89*VLOOKUP('Données projet'!$B$10,Paramètres!$A$1:$I$89,3,0)*0.475*44/12</f>
        <v>22.271890521771567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23.760116717173958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5.7777777777777777</v>
      </c>
      <c r="BD89" s="12">
        <f>IF('Données projet'!$A$88&gt;35,BD88+BC89-BL88,IF(A89&lt;'Données projet'!$A$88,$BA$205^A89,IF(A89='Données projet'!$A$88,'Données projet'!$B$88,BD88+BC89-BL88)))</f>
        <v>199.5555555555556</v>
      </c>
      <c r="BE89" s="13">
        <f>BD89*VLOOKUP('Données projet'!$B$11,Paramètres!$A$1:$I$89,3,0)*VLOOKUP('Données projet'!$B$11,Paramètres!$A$1:$I$89,5,0)</f>
        <v>202.34933333333339</v>
      </c>
      <c r="BF89" s="13">
        <f t="shared" si="91"/>
        <v>50.260128638231343</v>
      </c>
      <c r="BG89" s="20">
        <f t="shared" si="61"/>
        <v>439.96147960047523</v>
      </c>
      <c r="BH89" s="59">
        <f t="shared" si="62"/>
        <v>733.29481293380854</v>
      </c>
      <c r="BI89" s="59">
        <f ca="1">AVERAGE(OFFSET($BH$3,0,0,'Données projet'!$E$11+1,1))-AVERAGE(OFFSET($H$3,0,0,'Données projet'!$E$11+1,1))</f>
        <v>345.3294887586967</v>
      </c>
      <c r="BJ89" s="59">
        <f t="shared" si="92"/>
        <v>164.23448598618114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1.6678397017440565</v>
      </c>
      <c r="BQ89" s="21">
        <f>EXP(-LN(2)/25)*BQ88+(1-EXP(-LN(2)/25))/(LN(2)/25)*Calculateur!BL89*Calculateur!BN89*VLOOKUP('Données projet'!$B$11,Paramètres!$A$1:$I$89,3,0)*0.475*44/12</f>
        <v>24.959877308881936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26.627717010625993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289.07218105343333</v>
      </c>
      <c r="CE89" s="59">
        <f t="shared" si="94"/>
        <v>217.57508587672368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147.43824087340485</v>
      </c>
      <c r="CL89" s="21">
        <f>EXP(-LN(2)/25)*CL88+(1-EXP(-LN(2)/25))/(LN(2)/25)*Calculateur!CG89*Calculateur!CI89*VLOOKUP('Données projet'!$B$12,Paramètres!$A$1:$I$89,3,0)*0.475*44/12</f>
        <v>63.092266548667311</v>
      </c>
      <c r="CM89" s="21">
        <f>EXP(-LN(2)/2)*CM88+(1-EXP(-LN(2)/2))/(LN(2)/2)*CG89*CJ89*VLOOKUP('Données projet'!$B$12,Paramètres!$A$1:$I$89,3,0)*0.475*44/12</f>
        <v>9.6897502536818294</v>
      </c>
      <c r="CN89" s="22">
        <f t="shared" si="66"/>
        <v>220.220257675754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1.7053025658242404E-13</v>
      </c>
      <c r="CU89" s="17">
        <f>CT89*VLOOKUP('Données projet'!$B$13,Paramètres!$A$1:$I$89,3,0)*VLOOKUP('Données projet'!$B$13,Paramètres!$A$1:$I$89,5,0)</f>
        <v>1.4897523215040567E-13</v>
      </c>
      <c r="CV89" s="13">
        <f t="shared" si="95"/>
        <v>2.136562777003313E-12</v>
      </c>
      <c r="CW89" s="20">
        <f t="shared" si="67"/>
        <v>3.9806453659427267E-12</v>
      </c>
      <c r="CX89" s="59">
        <f t="shared" si="68"/>
        <v>293.33333333333729</v>
      </c>
      <c r="CY89" s="59">
        <f ca="1">AVERAGE(OFFSET($CX$3,0,0,'Données projet'!$E$13+1,1))-AVERAGE(OFFSET($H$3,0,0,'Données projet'!$E$13+1,1))</f>
        <v>237.8483058552178</v>
      </c>
      <c r="CZ89" s="59">
        <f t="shared" si="96"/>
        <v>313.36201272119723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63.855739802993547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0.1609008162738999</v>
      </c>
      <c r="DI89" s="22">
        <f t="shared" si="69"/>
        <v>64.016640619267449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5.7777777777777777</v>
      </c>
      <c r="DO89" s="12">
        <f>IF('Données projet'!$A$166&gt;35,DO88+DN89-DW88,IF(A89&lt;'Données projet'!$A$166,$DL$205^A89,IF(A89='Données projet'!$A$166,'Données projet'!$B$166,DO88+DN89-DW88)))</f>
        <v>199.5555555555556</v>
      </c>
      <c r="DP89" s="17">
        <f>DO89*VLOOKUP('Données projet'!$B$14,Paramètres!$A$1:$I$89,3,0)*VLOOKUP('Données projet'!$B$14,Paramètres!$A$1:$I$89,5,0)</f>
        <v>193.01013333333339</v>
      </c>
      <c r="DQ89" s="13">
        <f t="shared" si="97"/>
        <v>48.204840557277592</v>
      </c>
      <c r="DR89" s="20">
        <f t="shared" si="70"/>
        <v>420.11607952614742</v>
      </c>
      <c r="DS89" s="59">
        <f t="shared" si="71"/>
        <v>713.44941285948073</v>
      </c>
      <c r="DT89" s="59">
        <f ca="1">AVERAGE(OFFSET($DS$3,0,0,'Données projet'!$E$14+1,1))-AVERAGE(OFFSET($H$3,0,0,'Données projet'!$E$14+1,1))</f>
        <v>325.01961068962373</v>
      </c>
      <c r="DU89" s="59">
        <f t="shared" si="98"/>
        <v>155.12737608540039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1.5908624847404846</v>
      </c>
      <c r="EB89" s="21">
        <f>EXP(-LN(2)/25)*EB88+(1-EXP(-LN(2)/25))/(LN(2)/25)*Calculateur!DW89*Calculateur!DY89*VLOOKUP('Données projet'!$B$14,Paramètres!$A$1:$I$89,3,0)*0.475*44/12</f>
        <v>23.807882971548928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25.398745456289411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-1.7053025658242404E-13</v>
      </c>
      <c r="EK89" s="17">
        <f>EJ89*VLOOKUP('Données projet'!$B$15,Paramètres!$A$1:$I$89,3,0)*VLOOKUP('Données projet'!$B$15,Paramètres!$A$1:$I$89,5,0)</f>
        <v>-1.1439169611549005E-13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178.09619481964575</v>
      </c>
      <c r="EP89" s="59">
        <f t="shared" si="100"/>
        <v>178.65167777495174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79.485088065014125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4.3856962487848419</v>
      </c>
      <c r="EY89" s="22">
        <f t="shared" si="75"/>
        <v>83.870784313798964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-1.7053025658242404E-13</v>
      </c>
      <c r="FF89" s="17">
        <f>FE89*VLOOKUP('Données projet'!$B$16,Paramètres!$A$1:$I$89,3,0)*VLOOKUP('Données projet'!$B$16,Paramètres!$A$1:$I$89,5,0)</f>
        <v>-1.3567387213697657E-13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219.43439115440339</v>
      </c>
      <c r="FK89" s="59">
        <f t="shared" si="102"/>
        <v>217.8880462742099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94.27301142594699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5.2016397369308613</v>
      </c>
      <c r="FT89" s="22">
        <f t="shared" si="78"/>
        <v>99.474651162877848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191.77102466144095</v>
      </c>
      <c r="GF89" s="59">
        <f t="shared" si="104"/>
        <v>205.57161411620217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69.4494619321611</v>
      </c>
      <c r="GM89" s="21">
        <f>EXP(-LN(2)/25)*GM88+(1-EXP(-LN(2)/25))/(LN(2)/25)*Calculateur!GH89*Calculateur!GJ89*VLOOKUP('Données projet'!$B$17,Paramètres!$A$1:$I$89,3,0)*0.475*44/12</f>
        <v>11.823259482885152</v>
      </c>
      <c r="GN89" s="21">
        <f>EXP(-LN(2)/2)*GN88+(1-EXP(-LN(2)/2))/(LN(2)/2)*GH89*GK89*VLOOKUP('Données projet'!$B$17,Paramètres!$A$1:$I$89,3,0)*0.475*44/12</f>
        <v>5.2445750650041362E-3</v>
      </c>
      <c r="GO89" s="21">
        <f t="shared" si="81"/>
        <v>81.277965990111255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84.31577618130467</v>
      </c>
      <c r="T90" s="59">
        <f t="shared" si="88"/>
        <v>527.2140904310653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39.546629142252655</v>
      </c>
      <c r="AA90" s="21">
        <f>EXP(-LN(2)/25)*AA89+(1-EXP(-LN(2)/25))/(LN(2)/25)*Calculateur!V90*Calculateur!X90*VLOOKUP('Données projet'!$B$9,Paramètres!$A$1:$I$89,3,0)*0.475*44/12</f>
        <v>7.2572538200347525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46.80388296228741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5.7777777777777777</v>
      </c>
      <c r="AI90" s="13">
        <f>IF('Données projet'!$A$62&gt;35,AI89+AH90-AQ89,IF(A90&lt;'Données projet'!$A$62,$AF$205^A90,IF(A90='Données projet'!$A$62,'Données projet'!$B$62,AI89+AH90-AQ89)))</f>
        <v>205.33333333333337</v>
      </c>
      <c r="AJ90" s="13">
        <f>AI90*VLOOKUP('Données projet'!$B$10,Paramètres!$A$1:$I$89,3,0)*VLOOKUP('Données projet'!$B$10,Paramètres!$A$1:$I$89,5,0)</f>
        <v>185.78560000000002</v>
      </c>
      <c r="AK90" s="13">
        <f t="shared" si="89"/>
        <v>46.606995978498198</v>
      </c>
      <c r="AL90" s="20">
        <f t="shared" si="58"/>
        <v>404.75043799588434</v>
      </c>
      <c r="AM90" s="59">
        <f t="shared" si="59"/>
        <v>698.0837713292176</v>
      </c>
      <c r="AN90" s="59">
        <f ca="1">AVERAGE(OFFSET($AM$3,0,0,'Données projet'!$E$10+1,1))-AVERAGE(OFFSET($H$3,0,0,'Données projet'!$E$10+1,1))</f>
        <v>297.90790572649428</v>
      </c>
      <c r="AO90" s="59">
        <f t="shared" si="90"/>
        <v>142.96889776844506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1.4590429874388964</v>
      </c>
      <c r="AV90" s="21">
        <f>EXP(-LN(2)/25)*AV89+(1-EXP(-LN(2)/25))/(LN(2)/25)*Calculateur!AQ90*Calculateur!AS90*VLOOKUP('Données projet'!$B$10,Paramètres!$A$1:$I$89,3,0)*0.475*44/12</f>
        <v>21.662864504225904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23.1219074916648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5.7777777777777777</v>
      </c>
      <c r="BD90" s="12">
        <f>IF('Données projet'!$A$88&gt;35,BD89+BC90-BL89,IF(A90&lt;'Données projet'!$A$88,$BA$205^A90,IF(A90='Données projet'!$A$88,'Données projet'!$B$88,BD89+BC90-BL89)))</f>
        <v>205.33333333333337</v>
      </c>
      <c r="BE90" s="13">
        <f>BD90*VLOOKUP('Données projet'!$B$11,Paramètres!$A$1:$I$89,3,0)*VLOOKUP('Données projet'!$B$11,Paramètres!$A$1:$I$89,5,0)</f>
        <v>208.20800000000006</v>
      </c>
      <c r="BF90" s="13">
        <f t="shared" si="91"/>
        <v>51.543793509070291</v>
      </c>
      <c r="BG90" s="20">
        <f t="shared" si="61"/>
        <v>452.40104036163081</v>
      </c>
      <c r="BH90" s="59">
        <f t="shared" si="62"/>
        <v>745.73437369496412</v>
      </c>
      <c r="BI90" s="59">
        <f ca="1">AVERAGE(OFFSET($BH$3,0,0,'Données projet'!$E$11+1,1))-AVERAGE(OFFSET($H$3,0,0,'Données projet'!$E$11+1,1))</f>
        <v>345.3294887586967</v>
      </c>
      <c r="BJ90" s="59">
        <f t="shared" si="92"/>
        <v>164.23448598618114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1.6351343824746254</v>
      </c>
      <c r="BQ90" s="21">
        <f>EXP(-LN(2)/25)*BQ89+(1-EXP(-LN(2)/25))/(LN(2)/25)*Calculateur!BL90*Calculateur!BN90*VLOOKUP('Données projet'!$B$11,Paramètres!$A$1:$I$89,3,0)*0.475*44/12</f>
        <v>24.277348151287658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25.912482533762283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289.07218105343333</v>
      </c>
      <c r="CE90" s="59">
        <f t="shared" si="94"/>
        <v>217.57508587672368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144.54706689832463</v>
      </c>
      <c r="CL90" s="21">
        <f>EXP(-LN(2)/25)*CL89+(1-EXP(-LN(2)/25))/(LN(2)/25)*Calculateur!CG90*Calculateur!CI90*VLOOKUP('Données projet'!$B$12,Paramètres!$A$1:$I$89,3,0)*0.475*44/12</f>
        <v>61.367005202015903</v>
      </c>
      <c r="CM90" s="21">
        <f>EXP(-LN(2)/2)*CM89+(1-EXP(-LN(2)/2))/(LN(2)/2)*CG90*CJ90*VLOOKUP('Données projet'!$B$12,Paramètres!$A$1:$I$89,3,0)*0.475*44/12</f>
        <v>6.8516881123824911</v>
      </c>
      <c r="CN90" s="22">
        <f t="shared" si="66"/>
        <v>212.76576021272305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1.7053025658242404E-13</v>
      </c>
      <c r="CU90" s="17">
        <f>CT90*VLOOKUP('Données projet'!$B$13,Paramètres!$A$1:$I$89,3,0)*VLOOKUP('Données projet'!$B$13,Paramètres!$A$1:$I$89,5,0)</f>
        <v>1.4897523215040567E-13</v>
      </c>
      <c r="CV90" s="13">
        <f t="shared" si="95"/>
        <v>2.136562777003313E-12</v>
      </c>
      <c r="CW90" s="20">
        <f t="shared" si="67"/>
        <v>3.9806453659427267E-12</v>
      </c>
      <c r="CX90" s="59">
        <f t="shared" si="68"/>
        <v>293.33333333333729</v>
      </c>
      <c r="CY90" s="59">
        <f ca="1">AVERAGE(OFFSET($CX$3,0,0,'Données projet'!$E$13+1,1))-AVERAGE(OFFSET($H$3,0,0,'Données projet'!$E$13+1,1))</f>
        <v>237.8483058552178</v>
      </c>
      <c r="CZ90" s="59">
        <f t="shared" si="96"/>
        <v>313.36201272119723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62.603567693612312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0.11377405828572543</v>
      </c>
      <c r="DI90" s="22">
        <f t="shared" si="69"/>
        <v>62.71734175189804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5.7777777777777777</v>
      </c>
      <c r="DO90" s="12">
        <f>IF('Données projet'!$A$166&gt;35,DO89+DN90-DW89,IF(A90&lt;'Données projet'!$A$166,$DL$205^A90,IF(A90='Données projet'!$A$166,'Données projet'!$B$166,DO89+DN90-DW89)))</f>
        <v>205.33333333333337</v>
      </c>
      <c r="DP90" s="17">
        <f>DO90*VLOOKUP('Données projet'!$B$14,Paramètres!$A$1:$I$89,3,0)*VLOOKUP('Données projet'!$B$14,Paramètres!$A$1:$I$89,5,0)</f>
        <v>198.59840000000003</v>
      </c>
      <c r="DQ90" s="13">
        <f t="shared" si="97"/>
        <v>49.436012504193478</v>
      </c>
      <c r="DR90" s="20">
        <f t="shared" si="70"/>
        <v>431.99326844480362</v>
      </c>
      <c r="DS90" s="59">
        <f t="shared" si="71"/>
        <v>725.32660177813693</v>
      </c>
      <c r="DT90" s="59">
        <f ca="1">AVERAGE(OFFSET($DS$3,0,0,'Données projet'!$E$14+1,1))-AVERAGE(OFFSET($H$3,0,0,'Données projet'!$E$14+1,1))</f>
        <v>325.01961068962373</v>
      </c>
      <c r="DU90" s="59">
        <f t="shared" si="98"/>
        <v>155.12737608540039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1.5596666417450273</v>
      </c>
      <c r="EB90" s="21">
        <f>EXP(-LN(2)/25)*EB89+(1-EXP(-LN(2)/25))/(LN(2)/25)*Calculateur!DW90*Calculateur!DY90*VLOOKUP('Données projet'!$B$14,Paramètres!$A$1:$I$89,3,0)*0.475*44/12</f>
        <v>23.156855159689769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24.716521801434798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-1.7053025658242404E-13</v>
      </c>
      <c r="EK90" s="17">
        <f>EJ90*VLOOKUP('Données projet'!$B$15,Paramètres!$A$1:$I$89,3,0)*VLOOKUP('Données projet'!$B$15,Paramètres!$A$1:$I$89,5,0)</f>
        <v>-1.1439169611549005E-13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178.09619481964575</v>
      </c>
      <c r="EP90" s="59">
        <f t="shared" si="100"/>
        <v>178.65167777495174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77.926433969175804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3.1011555577401655</v>
      </c>
      <c r="EY90" s="22">
        <f t="shared" si="75"/>
        <v>81.027589526915975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-1.7053025658242404E-13</v>
      </c>
      <c r="FF90" s="17">
        <f>FE90*VLOOKUP('Données projet'!$B$16,Paramètres!$A$1:$I$89,3,0)*VLOOKUP('Données projet'!$B$16,Paramètres!$A$1:$I$89,5,0)</f>
        <v>-1.3567387213697657E-13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219.43439115440339</v>
      </c>
      <c r="FK90" s="59">
        <f t="shared" si="102"/>
        <v>217.8880462742099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92.424375172743396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3.6781147312732214</v>
      </c>
      <c r="FT90" s="22">
        <f t="shared" si="78"/>
        <v>96.102489904016622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191.77102466144095</v>
      </c>
      <c r="GF90" s="59">
        <f t="shared" si="104"/>
        <v>205.57161411620217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68.087600343660498</v>
      </c>
      <c r="GM90" s="21">
        <f>EXP(-LN(2)/25)*GM89+(1-EXP(-LN(2)/25))/(LN(2)/25)*Calculateur!GH90*Calculateur!GJ90*VLOOKUP('Données projet'!$B$17,Paramètres!$A$1:$I$89,3,0)*0.475*44/12</f>
        <v>11.499951830567465</v>
      </c>
      <c r="GN90" s="21">
        <f>EXP(-LN(2)/2)*GN89+(1-EXP(-LN(2)/2))/(LN(2)/2)*GH90*GK90*VLOOKUP('Données projet'!$B$17,Paramètres!$A$1:$I$89,3,0)*0.475*44/12</f>
        <v>3.7084745929063033E-3</v>
      </c>
      <c r="GO90" s="21">
        <f t="shared" si="81"/>
        <v>79.591260648820878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84.31577618130467</v>
      </c>
      <c r="T91" s="59">
        <f t="shared" si="88"/>
        <v>527.2140904310653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38.7711438658351</v>
      </c>
      <c r="AA91" s="21">
        <f>EXP(-LN(2)/25)*AA90+(1-EXP(-LN(2)/25))/(LN(2)/25)*Calculateur!V91*Calculateur!X91*VLOOKUP('Données projet'!$B$9,Paramètres!$A$1:$I$89,3,0)*0.475*44/12</f>
        <v>7.0588038326835107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45.829947698518609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5.7777777777777777</v>
      </c>
      <c r="AI91" s="13">
        <f>IF('Données projet'!$A$62&gt;35,AI90+AH91-AQ90,IF(A91&lt;'Données projet'!$A$62,$AF$205^A91,IF(A91='Données projet'!$A$62,'Données projet'!$B$62,AI90+AH91-AQ90)))</f>
        <v>211.11111111111114</v>
      </c>
      <c r="AJ91" s="13">
        <f>AI91*VLOOKUP('Données projet'!$B$10,Paramètres!$A$1:$I$89,3,0)*VLOOKUP('Données projet'!$B$10,Paramètres!$A$1:$I$89,5,0)</f>
        <v>191.01333333333335</v>
      </c>
      <c r="AK91" s="13">
        <f t="shared" si="89"/>
        <v>47.763917061299928</v>
      </c>
      <c r="AL91" s="20">
        <f t="shared" si="58"/>
        <v>415.87037777065296</v>
      </c>
      <c r="AM91" s="59">
        <f t="shared" si="59"/>
        <v>709.20371110398628</v>
      </c>
      <c r="AN91" s="59">
        <f ca="1">AVERAGE(OFFSET($AM$3,0,0,'Données projet'!$E$10+1,1))-AVERAGE(OFFSET($H$3,0,0,'Données projet'!$E$10+1,1))</f>
        <v>297.90790572649428</v>
      </c>
      <c r="AO91" s="59">
        <f t="shared" si="90"/>
        <v>142.96889776844506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1.4304320443835687</v>
      </c>
      <c r="AV91" s="21">
        <f>EXP(-LN(2)/25)*AV90+(1-EXP(-LN(2)/25))/(LN(2)/25)*Calculateur!AQ91*Calculateur!AS91*VLOOKUP('Données projet'!$B$10,Paramètres!$A$1:$I$89,3,0)*0.475*44/12</f>
        <v>21.070492335157315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22.500924379540884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5.7777777777777777</v>
      </c>
      <c r="BD91" s="12">
        <f>IF('Données projet'!$A$88&gt;35,BD90+BC91-BL90,IF(A91&lt;'Données projet'!$A$88,$BA$205^A91,IF(A91='Données projet'!$A$88,'Données projet'!$B$88,BD90+BC91-BL90)))</f>
        <v>211.11111111111114</v>
      </c>
      <c r="BE91" s="13">
        <f>BD91*VLOOKUP('Données projet'!$B$11,Paramètres!$A$1:$I$89,3,0)*VLOOKUP('Données projet'!$B$11,Paramètres!$A$1:$I$89,5,0)</f>
        <v>214.06666666666672</v>
      </c>
      <c r="BF91" s="13">
        <f t="shared" si="91"/>
        <v>52.82326025319891</v>
      </c>
      <c r="BG91" s="20">
        <f t="shared" si="61"/>
        <v>464.83328938543258</v>
      </c>
      <c r="BH91" s="59">
        <f t="shared" si="62"/>
        <v>758.16662271876589</v>
      </c>
      <c r="BI91" s="59">
        <f ca="1">AVERAGE(OFFSET($BH$3,0,0,'Données projet'!$E$11+1,1))-AVERAGE(OFFSET($H$3,0,0,'Données projet'!$E$11+1,1))</f>
        <v>345.3294887586967</v>
      </c>
      <c r="BJ91" s="59">
        <f t="shared" si="92"/>
        <v>164.23448598618114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1.6030703945677929</v>
      </c>
      <c r="BQ91" s="21">
        <f>EXP(-LN(2)/25)*BQ90+(1-EXP(-LN(2)/25))/(LN(2)/25)*Calculateur!BL91*Calculateur!BN91*VLOOKUP('Données projet'!$B$11,Paramètres!$A$1:$I$89,3,0)*0.475*44/12</f>
        <v>23.613482789400443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25.216553183968237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289.07218105343333</v>
      </c>
      <c r="CE91" s="59">
        <f t="shared" si="94"/>
        <v>217.57508587672368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141.71258708145373</v>
      </c>
      <c r="CL91" s="21">
        <f>EXP(-LN(2)/25)*CL90+(1-EXP(-LN(2)/25))/(LN(2)/25)*Calculateur!CG91*Calculateur!CI91*VLOOKUP('Données projet'!$B$12,Paramètres!$A$1:$I$89,3,0)*0.475*44/12</f>
        <v>59.688921217616233</v>
      </c>
      <c r="CM91" s="21">
        <f>EXP(-LN(2)/2)*CM90+(1-EXP(-LN(2)/2))/(LN(2)/2)*CG91*CJ91*VLOOKUP('Données projet'!$B$12,Paramètres!$A$1:$I$89,3,0)*0.475*44/12</f>
        <v>4.8448751268409156</v>
      </c>
      <c r="CN91" s="22">
        <f t="shared" si="66"/>
        <v>206.24638342591089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1.7053025658242404E-13</v>
      </c>
      <c r="CU91" s="17">
        <f>CT91*VLOOKUP('Données projet'!$B$13,Paramètres!$A$1:$I$89,3,0)*VLOOKUP('Données projet'!$B$13,Paramètres!$A$1:$I$89,5,0)</f>
        <v>1.4897523215040567E-13</v>
      </c>
      <c r="CV91" s="13">
        <f t="shared" si="95"/>
        <v>2.136562777003313E-12</v>
      </c>
      <c r="CW91" s="20">
        <f t="shared" si="67"/>
        <v>3.9806453659427267E-12</v>
      </c>
      <c r="CX91" s="59">
        <f t="shared" si="68"/>
        <v>293.33333333333729</v>
      </c>
      <c r="CY91" s="59">
        <f ca="1">AVERAGE(OFFSET($CX$3,0,0,'Données projet'!$E$13+1,1))-AVERAGE(OFFSET($H$3,0,0,'Données projet'!$E$13+1,1))</f>
        <v>237.8483058552178</v>
      </c>
      <c r="CZ91" s="59">
        <f t="shared" si="96"/>
        <v>313.36201272119723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61.375949915546471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8.0450408136949952E-2</v>
      </c>
      <c r="DI91" s="22">
        <f t="shared" si="69"/>
        <v>61.456400323683418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5.7777777777777777</v>
      </c>
      <c r="DO91" s="12">
        <f>IF('Données projet'!$A$166&gt;35,DO90+DN91-DW90,IF(A91&lt;'Données projet'!$A$166,$DL$205^A91,IF(A91='Données projet'!$A$166,'Données projet'!$B$166,DO90+DN91-DW90)))</f>
        <v>211.11111111111114</v>
      </c>
      <c r="DP91" s="17">
        <f>DO91*VLOOKUP('Données projet'!$B$14,Paramètres!$A$1:$I$89,3,0)*VLOOKUP('Données projet'!$B$14,Paramètres!$A$1:$I$89,5,0)</f>
        <v>204.18666666666672</v>
      </c>
      <c r="DQ91" s="13">
        <f t="shared" si="97"/>
        <v>50.663157998447971</v>
      </c>
      <c r="DR91" s="20">
        <f t="shared" si="70"/>
        <v>443.86344462507469</v>
      </c>
      <c r="DS91" s="59">
        <f t="shared" si="71"/>
        <v>737.19677795840801</v>
      </c>
      <c r="DT91" s="59">
        <f ca="1">AVERAGE(OFFSET($DS$3,0,0,'Données projet'!$E$14+1,1))-AVERAGE(OFFSET($H$3,0,0,'Données projet'!$E$14+1,1))</f>
        <v>325.01961068962373</v>
      </c>
      <c r="DU91" s="59">
        <f t="shared" si="98"/>
        <v>155.12737608540039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1.5290825302031255</v>
      </c>
      <c r="EB91" s="21">
        <f>EXP(-LN(2)/25)*EB90+(1-EXP(-LN(2)/25))/(LN(2)/25)*Calculateur!DW91*Calculateur!DY91*VLOOKUP('Données projet'!$B$14,Paramètres!$A$1:$I$89,3,0)*0.475*44/12</f>
        <v>22.523629737581967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24.052712267785093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-1.7053025658242404E-13</v>
      </c>
      <c r="EK91" s="17">
        <f>EJ91*VLOOKUP('Données projet'!$B$15,Paramètres!$A$1:$I$89,3,0)*VLOOKUP('Données projet'!$B$15,Paramètres!$A$1:$I$89,5,0)</f>
        <v>-1.1439169611549005E-13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178.09619481964575</v>
      </c>
      <c r="EP91" s="59">
        <f t="shared" si="100"/>
        <v>178.65167777495174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76.398344129471752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2.1928481243924209</v>
      </c>
      <c r="EY91" s="22">
        <f t="shared" si="75"/>
        <v>78.591192253864179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-1.7053025658242404E-13</v>
      </c>
      <c r="FF91" s="17">
        <f>FE91*VLOOKUP('Données projet'!$B$16,Paramètres!$A$1:$I$89,3,0)*VLOOKUP('Données projet'!$B$16,Paramètres!$A$1:$I$89,5,0)</f>
        <v>-1.3567387213697657E-13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219.43439115440339</v>
      </c>
      <c r="FK91" s="59">
        <f t="shared" si="102"/>
        <v>217.8880462742099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90.611989548908355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2.6008198684654311</v>
      </c>
      <c r="FT91" s="22">
        <f t="shared" si="78"/>
        <v>93.212809417373791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191.77102466144095</v>
      </c>
      <c r="GF91" s="59">
        <f t="shared" si="104"/>
        <v>205.57161411620217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66.752444030256839</v>
      </c>
      <c r="GM91" s="21">
        <f>EXP(-LN(2)/25)*GM90+(1-EXP(-LN(2)/25))/(LN(2)/25)*Calculateur!GH91*Calculateur!GJ91*VLOOKUP('Données projet'!$B$17,Paramètres!$A$1:$I$89,3,0)*0.475*44/12</f>
        <v>11.185485043004414</v>
      </c>
      <c r="GN91" s="21">
        <f>EXP(-LN(2)/2)*GN90+(1-EXP(-LN(2)/2))/(LN(2)/2)*GH91*GK91*VLOOKUP('Données projet'!$B$17,Paramètres!$A$1:$I$89,3,0)*0.475*44/12</f>
        <v>2.6222875325020685E-3</v>
      </c>
      <c r="GO91" s="21">
        <f t="shared" si="81"/>
        <v>77.940551360793762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84.31577618130467</v>
      </c>
      <c r="T92" s="59">
        <f t="shared" si="88"/>
        <v>527.2140904310653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38.010865382688777</v>
      </c>
      <c r="AA92" s="21">
        <f>EXP(-LN(2)/25)*AA91+(1-EXP(-LN(2)/25))/(LN(2)/25)*Calculateur!V92*Calculateur!X92*VLOOKUP('Données projet'!$B$9,Paramètres!$A$1:$I$89,3,0)*0.475*44/12</f>
        <v>6.8657804706724201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44.876645853361197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5.7777777777777777</v>
      </c>
      <c r="AI92" s="13">
        <f>IF('Données projet'!$A$62&gt;35,AI91+AH92-AQ91,IF(A92&lt;'Données projet'!$A$62,$AF$205^A92,IF(A92='Données projet'!$A$62,'Données projet'!$B$62,AI91+AH92-AQ91)))</f>
        <v>216.88888888888891</v>
      </c>
      <c r="AJ92" s="13">
        <f>AI92*VLOOKUP('Données projet'!$B$10,Paramètres!$A$1:$I$89,3,0)*VLOOKUP('Données projet'!$B$10,Paramètres!$A$1:$I$89,5,0)</f>
        <v>196.24106666666668</v>
      </c>
      <c r="AK92" s="13">
        <f t="shared" si="89"/>
        <v>48.917157937717533</v>
      </c>
      <c r="AL92" s="20">
        <f t="shared" si="58"/>
        <v>426.98390785263581</v>
      </c>
      <c r="AM92" s="59">
        <f t="shared" si="59"/>
        <v>720.31724118596912</v>
      </c>
      <c r="AN92" s="59">
        <f ca="1">AVERAGE(OFFSET($AM$3,0,0,'Données projet'!$E$10+1,1))-AVERAGE(OFFSET($H$3,0,0,'Données projet'!$E$10+1,1))</f>
        <v>297.90790572649428</v>
      </c>
      <c r="AO92" s="59">
        <f t="shared" si="90"/>
        <v>142.96889776844506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1.4023821444706039</v>
      </c>
      <c r="AV92" s="21">
        <f>EXP(-LN(2)/25)*AV91+(1-EXP(-LN(2)/25))/(LN(2)/25)*Calculateur!AQ92*Calculateur!AS92*VLOOKUP('Données projet'!$B$10,Paramètres!$A$1:$I$89,3,0)*0.475*44/12</f>
        <v>20.494318614203404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21.896700758674008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5.7777777777777777</v>
      </c>
      <c r="BD92" s="12">
        <f>IF('Données projet'!$A$88&gt;35,BD91+BC92-BL91,IF(A92&lt;'Données projet'!$A$88,$BA$205^A92,IF(A92='Données projet'!$A$88,'Données projet'!$B$88,BD91+BC92-BL91)))</f>
        <v>216.88888888888891</v>
      </c>
      <c r="BE92" s="13">
        <f>BD92*VLOOKUP('Données projet'!$B$11,Paramètres!$A$1:$I$89,3,0)*VLOOKUP('Données projet'!$B$11,Paramètres!$A$1:$I$89,5,0)</f>
        <v>219.92533333333336</v>
      </c>
      <c r="BF92" s="13">
        <f t="shared" si="91"/>
        <v>54.098656968913204</v>
      </c>
      <c r="BG92" s="20">
        <f t="shared" si="61"/>
        <v>477.25844977641265</v>
      </c>
      <c r="BH92" s="59">
        <f t="shared" si="62"/>
        <v>770.59178310974596</v>
      </c>
      <c r="BI92" s="59">
        <f ca="1">AVERAGE(OFFSET($BH$3,0,0,'Données projet'!$E$11+1,1))-AVERAGE(OFFSET($H$3,0,0,'Données projet'!$E$11+1,1))</f>
        <v>345.3294887586967</v>
      </c>
      <c r="BJ92" s="59">
        <f t="shared" si="92"/>
        <v>164.23448598618114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1.5716351619067117</v>
      </c>
      <c r="BQ92" s="21">
        <f>EXP(-LN(2)/25)*BQ91+(1-EXP(-LN(2)/25))/(LN(2)/25)*Calculateur!BL92*Calculateur!BN92*VLOOKUP('Données projet'!$B$11,Paramètres!$A$1:$I$89,3,0)*0.475*44/12</f>
        <v>22.967770860745198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24.53940602265191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289.07218105343333</v>
      </c>
      <c r="CE92" s="59">
        <f t="shared" si="94"/>
        <v>217.57508587672368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138.93368968492967</v>
      </c>
      <c r="CL92" s="21">
        <f>EXP(-LN(2)/25)*CL91+(1-EXP(-LN(2)/25))/(LN(2)/25)*Calculateur!CG92*Calculateur!CI92*VLOOKUP('Données projet'!$B$12,Paramètres!$A$1:$I$89,3,0)*0.475*44/12</f>
        <v>58.056724528016574</v>
      </c>
      <c r="CM92" s="21">
        <f>EXP(-LN(2)/2)*CM91+(1-EXP(-LN(2)/2))/(LN(2)/2)*CG92*CJ92*VLOOKUP('Données projet'!$B$12,Paramètres!$A$1:$I$89,3,0)*0.475*44/12</f>
        <v>3.4258440561912464</v>
      </c>
      <c r="CN92" s="22">
        <f t="shared" si="66"/>
        <v>200.41625826913747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1.7053025658242404E-13</v>
      </c>
      <c r="CU92" s="17">
        <f>CT92*VLOOKUP('Données projet'!$B$13,Paramètres!$A$1:$I$89,3,0)*VLOOKUP('Données projet'!$B$13,Paramètres!$A$1:$I$89,5,0)</f>
        <v>1.4897523215040567E-13</v>
      </c>
      <c r="CV92" s="13">
        <f t="shared" si="95"/>
        <v>2.136562777003313E-12</v>
      </c>
      <c r="CW92" s="20">
        <f t="shared" si="67"/>
        <v>3.9806453659427267E-12</v>
      </c>
      <c r="CX92" s="59">
        <f t="shared" si="68"/>
        <v>293.33333333333729</v>
      </c>
      <c r="CY92" s="59">
        <f ca="1">AVERAGE(OFFSET($CX$3,0,0,'Données projet'!$E$13+1,1))-AVERAGE(OFFSET($H$3,0,0,'Données projet'!$E$13+1,1))</f>
        <v>237.8483058552178</v>
      </c>
      <c r="CZ92" s="59">
        <f t="shared" si="96"/>
        <v>313.36201272119723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60.172404973335588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5.6887029142862713E-2</v>
      </c>
      <c r="DI92" s="22">
        <f t="shared" si="69"/>
        <v>60.229292002478452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5.7777777777777777</v>
      </c>
      <c r="DO92" s="12">
        <f>IF('Données projet'!$A$166&gt;35,DO91+DN92-DW91,IF(A92&lt;'Données projet'!$A$166,$DL$205^A92,IF(A92='Données projet'!$A$166,'Données projet'!$B$166,DO91+DN92-DW91)))</f>
        <v>216.88888888888891</v>
      </c>
      <c r="DP92" s="17">
        <f>DO92*VLOOKUP('Données projet'!$B$14,Paramètres!$A$1:$I$89,3,0)*VLOOKUP('Données projet'!$B$14,Paramètres!$A$1:$I$89,5,0)</f>
        <v>209.77493333333337</v>
      </c>
      <c r="DQ92" s="13">
        <f t="shared" si="97"/>
        <v>51.886399900012051</v>
      </c>
      <c r="DR92" s="20">
        <f t="shared" si="70"/>
        <v>455.7268220480766</v>
      </c>
      <c r="DS92" s="59">
        <f t="shared" si="71"/>
        <v>749.06015538140991</v>
      </c>
      <c r="DT92" s="59">
        <f ca="1">AVERAGE(OFFSET($DS$3,0,0,'Données projet'!$E$14+1,1))-AVERAGE(OFFSET($H$3,0,0,'Données projet'!$E$14+1,1))</f>
        <v>325.01961068962373</v>
      </c>
      <c r="DU92" s="59">
        <f t="shared" si="98"/>
        <v>155.12737608540039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1.4990981544340942</v>
      </c>
      <c r="EB92" s="21">
        <f>EXP(-LN(2)/25)*EB91+(1-EXP(-LN(2)/25))/(LN(2)/25)*Calculateur!DW92*Calculateur!DY92*VLOOKUP('Données projet'!$B$14,Paramètres!$A$1:$I$89,3,0)*0.475*44/12</f>
        <v>21.907719897941579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23.406818052375673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-1.7053025658242404E-13</v>
      </c>
      <c r="EK92" s="17">
        <f>EJ92*VLOOKUP('Données projet'!$B$15,Paramètres!$A$1:$I$89,3,0)*VLOOKUP('Données projet'!$B$15,Paramètres!$A$1:$I$89,5,0)</f>
        <v>-1.1439169611549005E-13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178.09619481964575</v>
      </c>
      <c r="EP92" s="59">
        <f t="shared" si="100"/>
        <v>178.65167777495174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74.900219199481526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1.5505777788700827</v>
      </c>
      <c r="EY92" s="22">
        <f t="shared" si="75"/>
        <v>76.450796978351605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-1.7053025658242404E-13</v>
      </c>
      <c r="FF92" s="17">
        <f>FE92*VLOOKUP('Données projet'!$B$16,Paramètres!$A$1:$I$89,3,0)*VLOOKUP('Données projet'!$B$16,Paramètres!$A$1:$I$89,5,0)</f>
        <v>-1.3567387213697657E-13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219.43439115440339</v>
      </c>
      <c r="FK92" s="59">
        <f t="shared" si="102"/>
        <v>217.8880462742099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88.835143701710635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1.8390573656366109</v>
      </c>
      <c r="FT92" s="22">
        <f t="shared" si="78"/>
        <v>90.674201067347241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191.77102466144095</v>
      </c>
      <c r="GF92" s="59">
        <f t="shared" si="104"/>
        <v>205.57161411620217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65.443469317794097</v>
      </c>
      <c r="GM92" s="21">
        <f>EXP(-LN(2)/25)*GM91+(1-EXP(-LN(2)/25))/(LN(2)/25)*Calculateur!GH92*Calculateur!GJ92*VLOOKUP('Données projet'!$B$17,Paramètres!$A$1:$I$89,3,0)*0.475*44/12</f>
        <v>10.879617366284364</v>
      </c>
      <c r="GN92" s="21">
        <f>EXP(-LN(2)/2)*GN91+(1-EXP(-LN(2)/2))/(LN(2)/2)*GH92*GK92*VLOOKUP('Données projet'!$B$17,Paramètres!$A$1:$I$89,3,0)*0.475*44/12</f>
        <v>1.8542372964531519E-3</v>
      </c>
      <c r="GO92" s="21">
        <f t="shared" si="81"/>
        <v>76.324940921374917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84.31577618130467</v>
      </c>
      <c r="T93" s="59">
        <f t="shared" si="88"/>
        <v>527.2140904310653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37.265495496872873</v>
      </c>
      <c r="AA93" s="21">
        <f>EXP(-LN(2)/25)*AA92+(1-EXP(-LN(2)/25))/(LN(2)/25)*Calculateur!V93*Calculateur!X93*VLOOKUP('Données projet'!$B$9,Paramètres!$A$1:$I$89,3,0)*0.475*44/12</f>
        <v>6.6780353426461794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43.943530839519056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5.7777777777777777</v>
      </c>
      <c r="AI93" s="13">
        <f>IF('Données projet'!$A$62&gt;35,AI92+AH93-AQ92,IF(A93&lt;'Données projet'!$A$62,$AF$205^A93,IF(A93='Données projet'!$A$62,'Données projet'!$B$62,AI92+AH93-AQ92)))</f>
        <v>222.66666666666669</v>
      </c>
      <c r="AJ93" s="13">
        <f>AI93*VLOOKUP('Données projet'!$B$10,Paramètres!$A$1:$I$89,3,0)*VLOOKUP('Données projet'!$B$10,Paramètres!$A$1:$I$89,5,0)</f>
        <v>201.46880000000002</v>
      </c>
      <c r="AK93" s="13">
        <f t="shared" si="89"/>
        <v>50.066827914349915</v>
      </c>
      <c r="AL93" s="20">
        <f t="shared" si="58"/>
        <v>438.09121861749276</v>
      </c>
      <c r="AM93" s="59">
        <f t="shared" si="59"/>
        <v>731.42455195082607</v>
      </c>
      <c r="AN93" s="59">
        <f ca="1">AVERAGE(OFFSET($AM$3,0,0,'Données projet'!$E$10+1,1))-AVERAGE(OFFSET($H$3,0,0,'Données projet'!$E$10+1,1))</f>
        <v>297.90790572649428</v>
      </c>
      <c r="AO93" s="59">
        <f t="shared" si="90"/>
        <v>142.96889776844506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1.3748822859861829</v>
      </c>
      <c r="AV93" s="21">
        <f>EXP(-LN(2)/25)*AV92+(1-EXP(-LN(2)/25))/(LN(2)/25)*Calculateur!AQ93*Calculateur!AS93*VLOOKUP('Données projet'!$B$10,Paramètres!$A$1:$I$89,3,0)*0.475*44/12</f>
        <v>19.933900393948637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21.308782679934819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5.7777777777777777</v>
      </c>
      <c r="BD93" s="12">
        <f>IF('Données projet'!$A$88&gt;35,BD92+BC93-BL92,IF(A93&lt;'Données projet'!$A$88,$BA$205^A93,IF(A93='Données projet'!$A$88,'Données projet'!$B$88,BD92+BC93-BL92)))</f>
        <v>222.66666666666669</v>
      </c>
      <c r="BE93" s="13">
        <f>BD93*VLOOKUP('Données projet'!$B$11,Paramètres!$A$1:$I$89,3,0)*VLOOKUP('Données projet'!$B$11,Paramètres!$A$1:$I$89,5,0)</f>
        <v>225.78400000000002</v>
      </c>
      <c r="BF93" s="13">
        <f t="shared" si="91"/>
        <v>55.370104540999925</v>
      </c>
      <c r="BG93" s="20">
        <f t="shared" si="61"/>
        <v>489.67673207557482</v>
      </c>
      <c r="BH93" s="59">
        <f t="shared" si="62"/>
        <v>783.01006540890808</v>
      </c>
      <c r="BI93" s="59">
        <f ca="1">AVERAGE(OFFSET($BH$3,0,0,'Données projet'!$E$11+1,1))-AVERAGE(OFFSET($H$3,0,0,'Données projet'!$E$11+1,1))</f>
        <v>345.3294887586967</v>
      </c>
      <c r="BJ93" s="59">
        <f t="shared" si="92"/>
        <v>164.23448598618114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1.5408163549845157</v>
      </c>
      <c r="BQ93" s="21">
        <f>EXP(-LN(2)/25)*BQ92+(1-EXP(-LN(2)/25))/(LN(2)/25)*Calculateur!BL93*Calculateur!BN93*VLOOKUP('Données projet'!$B$11,Paramètres!$A$1:$I$89,3,0)*0.475*44/12</f>
        <v>22.339715958735543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23.880532313720057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289.07218105343333</v>
      </c>
      <c r="CE93" s="59">
        <f t="shared" si="94"/>
        <v>217.57508587672368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136.20928477139142</v>
      </c>
      <c r="CL93" s="21">
        <f>EXP(-LN(2)/25)*CL92+(1-EXP(-LN(2)/25))/(LN(2)/25)*Calculateur!CG93*Calculateur!CI93*VLOOKUP('Données projet'!$B$12,Paramètres!$A$1:$I$89,3,0)*0.475*44/12</f>
        <v>56.469160342727506</v>
      </c>
      <c r="CM93" s="21">
        <f>EXP(-LN(2)/2)*CM92+(1-EXP(-LN(2)/2))/(LN(2)/2)*CG93*CJ93*VLOOKUP('Données projet'!$B$12,Paramètres!$A$1:$I$89,3,0)*0.475*44/12</f>
        <v>2.4224375634204582</v>
      </c>
      <c r="CN93" s="22">
        <f t="shared" si="66"/>
        <v>195.10088267753937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1.7053025658242404E-13</v>
      </c>
      <c r="CU93" s="17">
        <f>CT93*VLOOKUP('Données projet'!$B$13,Paramètres!$A$1:$I$89,3,0)*VLOOKUP('Données projet'!$B$13,Paramètres!$A$1:$I$89,5,0)</f>
        <v>1.4897523215040567E-13</v>
      </c>
      <c r="CV93" s="13">
        <f t="shared" si="95"/>
        <v>2.136562777003313E-12</v>
      </c>
      <c r="CW93" s="20">
        <f t="shared" si="67"/>
        <v>3.9806453659427267E-12</v>
      </c>
      <c r="CX93" s="59">
        <f t="shared" si="68"/>
        <v>293.33333333333729</v>
      </c>
      <c r="CY93" s="59">
        <f ca="1">AVERAGE(OFFSET($CX$3,0,0,'Données projet'!$E$13+1,1))-AVERAGE(OFFSET($H$3,0,0,'Données projet'!$E$13+1,1))</f>
        <v>237.8483058552178</v>
      </c>
      <c r="CZ93" s="59">
        <f t="shared" si="96"/>
        <v>313.36201272119723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58.992460813351535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4.0225204068474976E-2</v>
      </c>
      <c r="DI93" s="22">
        <f t="shared" si="69"/>
        <v>59.032686017420012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5.7777777777777777</v>
      </c>
      <c r="DO93" s="12">
        <f>IF('Données projet'!$A$166&gt;35,DO92+DN93-DW92,IF(A93&lt;'Données projet'!$A$166,$DL$205^A93,IF(A93='Données projet'!$A$166,'Données projet'!$B$166,DO92+DN93-DW92)))</f>
        <v>222.66666666666669</v>
      </c>
      <c r="DP93" s="17">
        <f>DO93*VLOOKUP('Données projet'!$B$14,Paramètres!$A$1:$I$89,3,0)*VLOOKUP('Données projet'!$B$14,Paramètres!$A$1:$I$89,5,0)</f>
        <v>215.36320000000001</v>
      </c>
      <c r="DQ93" s="13">
        <f t="shared" si="97"/>
        <v>53.105854150329165</v>
      </c>
      <c r="DR93" s="20">
        <f t="shared" si="70"/>
        <v>467.58360264515659</v>
      </c>
      <c r="DS93" s="59">
        <f t="shared" si="71"/>
        <v>760.91693597848985</v>
      </c>
      <c r="DT93" s="59">
        <f ca="1">AVERAGE(OFFSET($DS$3,0,0,'Données projet'!$E$14+1,1))-AVERAGE(OFFSET($H$3,0,0,'Données projet'!$E$14+1,1))</f>
        <v>325.01961068962373</v>
      </c>
      <c r="DU93" s="59">
        <f t="shared" si="98"/>
        <v>155.12737608540039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1.4697017539852304</v>
      </c>
      <c r="EB93" s="21">
        <f>EXP(-LN(2)/25)*EB92+(1-EXP(-LN(2)/25))/(LN(2)/25)*Calculateur!DW93*Calculateur!DY93*VLOOKUP('Données projet'!$B$14,Paramètres!$A$1:$I$89,3,0)*0.475*44/12</f>
        <v>21.308652145255447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22.778353899240678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-1.7053025658242404E-13</v>
      </c>
      <c r="EK93" s="17">
        <f>EJ93*VLOOKUP('Données projet'!$B$15,Paramètres!$A$1:$I$89,3,0)*VLOOKUP('Données projet'!$B$15,Paramètres!$A$1:$I$89,5,0)</f>
        <v>-1.1439169611549005E-13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178.09619481964575</v>
      </c>
      <c r="EP93" s="59">
        <f t="shared" si="100"/>
        <v>178.65167777495174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73.431471585602424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1.0964240621962105</v>
      </c>
      <c r="EY93" s="22">
        <f t="shared" si="75"/>
        <v>74.52789564779863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-1.7053025658242404E-13</v>
      </c>
      <c r="FF93" s="17">
        <f>FE93*VLOOKUP('Données projet'!$B$16,Paramètres!$A$1:$I$89,3,0)*VLOOKUP('Données projet'!$B$16,Paramètres!$A$1:$I$89,5,0)</f>
        <v>-1.3567387213697657E-13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219.43439115440339</v>
      </c>
      <c r="FK93" s="59">
        <f t="shared" si="102"/>
        <v>217.8880462742099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87.093140717807515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1.3004099342327156</v>
      </c>
      <c r="FT93" s="22">
        <f t="shared" si="78"/>
        <v>88.393550652040233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191.77102466144095</v>
      </c>
      <c r="GF93" s="59">
        <f t="shared" si="104"/>
        <v>205.57161411620217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64.160162801047008</v>
      </c>
      <c r="GM93" s="21">
        <f>EXP(-LN(2)/25)*GM92+(1-EXP(-LN(2)/25))/(LN(2)/25)*Calculateur!GH93*Calculateur!GJ93*VLOOKUP('Données projet'!$B$17,Paramètres!$A$1:$I$89,3,0)*0.475*44/12</f>
        <v>10.582113657269106</v>
      </c>
      <c r="GN93" s="21">
        <f>EXP(-LN(2)/2)*GN92+(1-EXP(-LN(2)/2))/(LN(2)/2)*GH93*GK93*VLOOKUP('Données projet'!$B$17,Paramètres!$A$1:$I$89,3,0)*0.475*44/12</f>
        <v>1.3111437662510345E-3</v>
      </c>
      <c r="GO93" s="21">
        <f t="shared" si="81"/>
        <v>74.743587602082357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84.31577618130467</v>
      </c>
      <c r="T94" s="59">
        <f t="shared" si="88"/>
        <v>527.2140904310653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36.534741859887077</v>
      </c>
      <c r="AA94" s="21">
        <f>EXP(-LN(2)/25)*AA93+(1-EXP(-LN(2)/25))/(LN(2)/25)*Calculateur!V94*Calculateur!X94*VLOOKUP('Données projet'!$B$9,Paramètres!$A$1:$I$89,3,0)*0.475*44/12</f>
        <v>6.4954241150189036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43.030165974905984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5.7777777777777777</v>
      </c>
      <c r="AI94" s="13">
        <f>IF('Données projet'!$A$62&gt;35,AI93+AH94-AQ93,IF(A94&lt;'Données projet'!$A$62,$AF$205^A94,IF(A94='Données projet'!$A$62,'Données projet'!$B$62,AI93+AH94-AQ93)))</f>
        <v>228.44444444444446</v>
      </c>
      <c r="AJ94" s="13">
        <f>AI94*VLOOKUP('Données projet'!$B$10,Paramètres!$A$1:$I$89,3,0)*VLOOKUP('Données projet'!$B$10,Paramètres!$A$1:$I$89,5,0)</f>
        <v>206.69653333333332</v>
      </c>
      <c r="AK94" s="13">
        <f t="shared" si="89"/>
        <v>51.213030302078494</v>
      </c>
      <c r="AL94" s="20">
        <f t="shared" si="58"/>
        <v>449.19248999834218</v>
      </c>
      <c r="AM94" s="59">
        <f t="shared" si="59"/>
        <v>742.5258233316755</v>
      </c>
      <c r="AN94" s="59">
        <f ca="1">AVERAGE(OFFSET($AM$3,0,0,'Données projet'!$E$10+1,1))-AVERAGE(OFFSET($H$3,0,0,'Données projet'!$E$10+1,1))</f>
        <v>297.90790572649428</v>
      </c>
      <c r="AO94" s="59">
        <f t="shared" si="90"/>
        <v>142.96889776844506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1.347921682953384</v>
      </c>
      <c r="AV94" s="21">
        <f>EXP(-LN(2)/25)*AV93+(1-EXP(-LN(2)/25))/(LN(2)/25)*Calculateur!AQ94*Calculateur!AS94*VLOOKUP('Données projet'!$B$10,Paramètres!$A$1:$I$89,3,0)*0.475*44/12</f>
        <v>19.388806839397848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20.736728522351232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5.7777777777777777</v>
      </c>
      <c r="BD94" s="12">
        <f>IF('Données projet'!$A$88&gt;35,BD93+BC94-BL93,IF(A94&lt;'Données projet'!$A$88,$BA$205^A94,IF(A94='Données projet'!$A$88,'Données projet'!$B$88,BD93+BC94-BL93)))</f>
        <v>228.44444444444446</v>
      </c>
      <c r="BE94" s="13">
        <f>BD94*VLOOKUP('Données projet'!$B$11,Paramètres!$A$1:$I$89,3,0)*VLOOKUP('Données projet'!$B$11,Paramètres!$A$1:$I$89,5,0)</f>
        <v>231.64266666666671</v>
      </c>
      <c r="BF94" s="13">
        <f t="shared" si="91"/>
        <v>56.637717223438059</v>
      </c>
      <c r="BG94" s="20">
        <f t="shared" si="61"/>
        <v>502.08833527526576</v>
      </c>
      <c r="BH94" s="59">
        <f t="shared" si="62"/>
        <v>795.42166860859902</v>
      </c>
      <c r="BI94" s="59">
        <f ca="1">AVERAGE(OFFSET($BH$3,0,0,'Données projet'!$E$11+1,1))-AVERAGE(OFFSET($H$3,0,0,'Données projet'!$E$11+1,1))</f>
        <v>345.3294887586967</v>
      </c>
      <c r="BJ94" s="59">
        <f t="shared" si="92"/>
        <v>164.23448598618114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1.5106018860684478</v>
      </c>
      <c r="BQ94" s="21">
        <f>EXP(-LN(2)/25)*BQ93+(1-EXP(-LN(2)/25))/(LN(2)/25)*Calculateur!BL94*Calculateur!BN94*VLOOKUP('Données projet'!$B$11,Paramètres!$A$1:$I$89,3,0)*0.475*44/12</f>
        <v>21.728835251049315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23.239437137117761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289.07218105343333</v>
      </c>
      <c r="CE94" s="59">
        <f t="shared" si="94"/>
        <v>217.57508587672368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133.53830377648472</v>
      </c>
      <c r="CL94" s="21">
        <f>EXP(-LN(2)/25)*CL93+(1-EXP(-LN(2)/25))/(LN(2)/25)*Calculateur!CG94*Calculateur!CI94*VLOOKUP('Données projet'!$B$12,Paramètres!$A$1:$I$89,3,0)*0.475*44/12</f>
        <v>54.925008183571542</v>
      </c>
      <c r="CM94" s="21">
        <f>EXP(-LN(2)/2)*CM93+(1-EXP(-LN(2)/2))/(LN(2)/2)*CG94*CJ94*VLOOKUP('Données projet'!$B$12,Paramètres!$A$1:$I$89,3,0)*0.475*44/12</f>
        <v>1.7129220280956234</v>
      </c>
      <c r="CN94" s="22">
        <f t="shared" si="66"/>
        <v>190.17623398815189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1.7053025658242404E-13</v>
      </c>
      <c r="CU94" s="17">
        <f>CT94*VLOOKUP('Données projet'!$B$13,Paramètres!$A$1:$I$89,3,0)*VLOOKUP('Données projet'!$B$13,Paramètres!$A$1:$I$89,5,0)</f>
        <v>1.4897523215040567E-13</v>
      </c>
      <c r="CV94" s="13">
        <f t="shared" si="95"/>
        <v>2.136562777003313E-12</v>
      </c>
      <c r="CW94" s="20">
        <f t="shared" si="67"/>
        <v>3.9806453659427267E-12</v>
      </c>
      <c r="CX94" s="59">
        <f t="shared" si="68"/>
        <v>293.33333333333729</v>
      </c>
      <c r="CY94" s="59">
        <f ca="1">AVERAGE(OFFSET($CX$3,0,0,'Données projet'!$E$13+1,1))-AVERAGE(OFFSET($H$3,0,0,'Données projet'!$E$13+1,1))</f>
        <v>237.8483058552178</v>
      </c>
      <c r="CZ94" s="59">
        <f t="shared" si="96"/>
        <v>313.36201272119723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57.835654638649892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2.8443514571431357E-2</v>
      </c>
      <c r="DI94" s="22">
        <f t="shared" si="69"/>
        <v>57.86409815322132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5.7777777777777777</v>
      </c>
      <c r="DO94" s="12">
        <f>IF('Données projet'!$A$166&gt;35,DO93+DN94-DW93,IF(A94&lt;'Données projet'!$A$166,$DL$205^A94,IF(A94='Données projet'!$A$166,'Données projet'!$B$166,DO93+DN94-DW93)))</f>
        <v>228.44444444444446</v>
      </c>
      <c r="DP94" s="17">
        <f>DO94*VLOOKUP('Données projet'!$B$14,Paramètres!$A$1:$I$89,3,0)*VLOOKUP('Données projet'!$B$14,Paramètres!$A$1:$I$89,5,0)</f>
        <v>220.95146666666668</v>
      </c>
      <c r="DQ94" s="13">
        <f t="shared" si="97"/>
        <v>54.321630331188956</v>
      </c>
      <c r="DR94" s="20">
        <f t="shared" si="70"/>
        <v>479.43397727126518</v>
      </c>
      <c r="DS94" s="59">
        <f t="shared" si="71"/>
        <v>772.76731060459849</v>
      </c>
      <c r="DT94" s="59">
        <f ca="1">AVERAGE(OFFSET($DS$3,0,0,'Données projet'!$E$14+1,1))-AVERAGE(OFFSET($H$3,0,0,'Données projet'!$E$14+1,1))</f>
        <v>325.01961068962373</v>
      </c>
      <c r="DU94" s="59">
        <f t="shared" si="98"/>
        <v>155.12737608540039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1.4408817990191349</v>
      </c>
      <c r="EB94" s="21">
        <f>EXP(-LN(2)/25)*EB93+(1-EXP(-LN(2)/25))/(LN(2)/25)*Calculateur!DW94*Calculateur!DY94*VLOOKUP('Données projet'!$B$14,Paramètres!$A$1:$I$89,3,0)*0.475*44/12</f>
        <v>20.725965931770123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22.166847730789257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-1.7053025658242404E-13</v>
      </c>
      <c r="EK94" s="17">
        <f>EJ94*VLOOKUP('Données projet'!$B$15,Paramètres!$A$1:$I$89,3,0)*VLOOKUP('Données projet'!$B$15,Paramètres!$A$1:$I$89,5,0)</f>
        <v>-1.1439169611549005E-13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178.09619481964575</v>
      </c>
      <c r="EP94" s="59">
        <f t="shared" si="100"/>
        <v>178.65167777495174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71.991525216583909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0.77528888943504137</v>
      </c>
      <c r="EY94" s="22">
        <f t="shared" si="75"/>
        <v>72.766814106018955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-1.7053025658242404E-13</v>
      </c>
      <c r="FF94" s="17">
        <f>FE94*VLOOKUP('Données projet'!$B$16,Paramètres!$A$1:$I$89,3,0)*VLOOKUP('Données projet'!$B$16,Paramètres!$A$1:$I$89,5,0)</f>
        <v>-1.3567387213697657E-13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219.43439115440339</v>
      </c>
      <c r="FK94" s="59">
        <f t="shared" si="102"/>
        <v>217.8880462742099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85.385297349901833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0.91952868281830547</v>
      </c>
      <c r="FT94" s="22">
        <f t="shared" si="78"/>
        <v>86.304826032720143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191.77102466144095</v>
      </c>
      <c r="GF94" s="59">
        <f t="shared" si="104"/>
        <v>205.57161411620217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62.90202114235364</v>
      </c>
      <c r="GM94" s="21">
        <f>EXP(-LN(2)/25)*GM93+(1-EXP(-LN(2)/25))/(LN(2)/25)*Calculateur!GH94*Calculateur!GJ94*VLOOKUP('Données projet'!$B$17,Paramètres!$A$1:$I$89,3,0)*0.475*44/12</f>
        <v>10.29274520282191</v>
      </c>
      <c r="GN94" s="21">
        <f>EXP(-LN(2)/2)*GN93+(1-EXP(-LN(2)/2))/(LN(2)/2)*GH94*GK94*VLOOKUP('Données projet'!$B$17,Paramètres!$A$1:$I$89,3,0)*0.475*44/12</f>
        <v>9.2711864822657615E-4</v>
      </c>
      <c r="GO94" s="21">
        <f t="shared" si="81"/>
        <v>73.195693463823773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84.31577618130467</v>
      </c>
      <c r="T95" s="59">
        <f t="shared" si="88"/>
        <v>527.2140904310653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35.818317856006864</v>
      </c>
      <c r="AA95" s="21">
        <f>EXP(-LN(2)/25)*AA94+(1-EXP(-LN(2)/25))/(LN(2)/25)*Calculateur!V95*Calculateur!X95*VLOOKUP('Données projet'!$B$9,Paramètres!$A$1:$I$89,3,0)*0.475*44/12</f>
        <v>6.3178064010142032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42.136124257021066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5.7777777777777777</v>
      </c>
      <c r="AI95" s="13">
        <f>IF('Données projet'!$A$62&gt;35,AI94+AH95-AQ94,IF(A95&lt;'Données projet'!$A$62,$AF$205^A95,IF(A95='Données projet'!$A$62,'Données projet'!$B$62,AI94+AH95-AQ94)))</f>
        <v>234.22222222222223</v>
      </c>
      <c r="AJ95" s="13">
        <f>AI95*VLOOKUP('Données projet'!$B$10,Paramètres!$A$1:$I$89,3,0)*VLOOKUP('Données projet'!$B$10,Paramètres!$A$1:$I$89,5,0)</f>
        <v>211.92426666666668</v>
      </c>
      <c r="AK95" s="13">
        <f t="shared" si="89"/>
        <v>52.355862888154775</v>
      </c>
      <c r="AL95" s="20">
        <f t="shared" si="58"/>
        <v>460.2878923079806</v>
      </c>
      <c r="AM95" s="59">
        <f t="shared" si="59"/>
        <v>753.62122564131391</v>
      </c>
      <c r="AN95" s="59">
        <f ca="1">AVERAGE(OFFSET($AM$3,0,0,'Données projet'!$E$10+1,1))-AVERAGE(OFFSET($H$3,0,0,'Données projet'!$E$10+1,1))</f>
        <v>297.90790572649428</v>
      </c>
      <c r="AO95" s="59">
        <f t="shared" si="90"/>
        <v>142.96889776844506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1.321489760901714</v>
      </c>
      <c r="AV95" s="21">
        <f>EXP(-LN(2)/25)*AV94+(1-EXP(-LN(2)/25))/(LN(2)/25)*Calculateur!AQ95*Calculateur!AS95*VLOOKUP('Données projet'!$B$10,Paramètres!$A$1:$I$89,3,0)*0.475*44/12</f>
        <v>18.858618896761477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20.18010865766319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5.7777777777777777</v>
      </c>
      <c r="BD95" s="12">
        <f>IF('Données projet'!$A$88&gt;35,BD94+BC95-BL94,IF(A95&lt;'Données projet'!$A$88,$BA$205^A95,IF(A95='Données projet'!$A$88,'Données projet'!$B$88,BD94+BC95-BL94)))</f>
        <v>234.22222222222223</v>
      </c>
      <c r="BE95" s="13">
        <f>BD95*VLOOKUP('Données projet'!$B$11,Paramètres!$A$1:$I$89,3,0)*VLOOKUP('Données projet'!$B$11,Paramètres!$A$1:$I$89,5,0)</f>
        <v>237.50133333333332</v>
      </c>
      <c r="BF95" s="13">
        <f t="shared" si="91"/>
        <v>57.901603161491785</v>
      </c>
      <c r="BG95" s="20">
        <f t="shared" si="61"/>
        <v>514.49344772848701</v>
      </c>
      <c r="BH95" s="59">
        <f t="shared" si="62"/>
        <v>807.82678106182038</v>
      </c>
      <c r="BI95" s="59">
        <f ca="1">AVERAGE(OFFSET($BH$3,0,0,'Données projet'!$E$11+1,1))-AVERAGE(OFFSET($H$3,0,0,'Données projet'!$E$11+1,1))</f>
        <v>345.3294887586967</v>
      </c>
      <c r="BJ95" s="59">
        <f t="shared" si="92"/>
        <v>164.23448598618114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1.4809799044588177</v>
      </c>
      <c r="BQ95" s="21">
        <f>EXP(-LN(2)/25)*BQ94+(1-EXP(-LN(2)/25))/(LN(2)/25)*Calculateur!BL95*Calculateur!BN95*VLOOKUP('Données projet'!$B$11,Paramètres!$A$1:$I$89,3,0)*0.475*44/12</f>
        <v>21.134659108439589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22.615639012898406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289.07218105343333</v>
      </c>
      <c r="CE95" s="59">
        <f t="shared" si="94"/>
        <v>217.57508587672368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130.91969908975062</v>
      </c>
      <c r="CL95" s="21">
        <f>EXP(-LN(2)/25)*CL94+(1-EXP(-LN(2)/25))/(LN(2)/25)*Calculateur!CG95*Calculateur!CI95*VLOOKUP('Données projet'!$B$12,Paramètres!$A$1:$I$89,3,0)*0.475*44/12</f>
        <v>53.423080946411133</v>
      </c>
      <c r="CM95" s="21">
        <f>EXP(-LN(2)/2)*CM94+(1-EXP(-LN(2)/2))/(LN(2)/2)*CG95*CJ95*VLOOKUP('Données projet'!$B$12,Paramètres!$A$1:$I$89,3,0)*0.475*44/12</f>
        <v>1.2112187817102293</v>
      </c>
      <c r="CN95" s="22">
        <f t="shared" si="66"/>
        <v>185.55399881787196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1.7053025658242404E-13</v>
      </c>
      <c r="CU95" s="17">
        <f>CT95*VLOOKUP('Données projet'!$B$13,Paramètres!$A$1:$I$89,3,0)*VLOOKUP('Données projet'!$B$13,Paramètres!$A$1:$I$89,5,0)</f>
        <v>1.4897523215040567E-13</v>
      </c>
      <c r="CV95" s="13">
        <f t="shared" si="95"/>
        <v>2.136562777003313E-12</v>
      </c>
      <c r="CW95" s="20">
        <f t="shared" si="67"/>
        <v>3.9806453659427267E-12</v>
      </c>
      <c r="CX95" s="59">
        <f t="shared" si="68"/>
        <v>293.33333333333729</v>
      </c>
      <c r="CY95" s="59">
        <f ca="1">AVERAGE(OFFSET($CX$3,0,0,'Données projet'!$E$13+1,1))-AVERAGE(OFFSET($H$3,0,0,'Données projet'!$E$13+1,1))</f>
        <v>237.8483058552178</v>
      </c>
      <c r="CZ95" s="59">
        <f t="shared" si="96"/>
        <v>313.36201272119723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56.701532727452054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2.0112602034237488E-2</v>
      </c>
      <c r="DI95" s="22">
        <f t="shared" si="69"/>
        <v>56.721645329486293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5.7777777777777777</v>
      </c>
      <c r="DO95" s="12">
        <f>IF('Données projet'!$A$166&gt;35,DO94+DN95-DW94,IF(A95&lt;'Données projet'!$A$166,$DL$205^A95,IF(A95='Données projet'!$A$166,'Données projet'!$B$166,DO94+DN95-DW94)))</f>
        <v>234.22222222222223</v>
      </c>
      <c r="DP95" s="17">
        <f>DO95*VLOOKUP('Données projet'!$B$14,Paramètres!$A$1:$I$89,3,0)*VLOOKUP('Données projet'!$B$14,Paramètres!$A$1:$I$89,5,0)</f>
        <v>226.53973333333332</v>
      </c>
      <c r="DQ95" s="13">
        <f t="shared" si="97"/>
        <v>55.533832165469995</v>
      </c>
      <c r="DR95" s="20">
        <f t="shared" si="70"/>
        <v>491.27812657708233</v>
      </c>
      <c r="DS95" s="59">
        <f t="shared" si="71"/>
        <v>784.61145991041565</v>
      </c>
      <c r="DT95" s="59">
        <f ca="1">AVERAGE(OFFSET($DS$3,0,0,'Données projet'!$E$14+1,1))-AVERAGE(OFFSET($H$3,0,0,'Données projet'!$E$14+1,1))</f>
        <v>325.01961068962373</v>
      </c>
      <c r="DU95" s="59">
        <f t="shared" si="98"/>
        <v>155.12737608540039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1.4126269857914877</v>
      </c>
      <c r="EB95" s="21">
        <f>EXP(-LN(2)/25)*EB94+(1-EXP(-LN(2)/25))/(LN(2)/25)*Calculateur!DW95*Calculateur!DY95*VLOOKUP('Données projet'!$B$14,Paramètres!$A$1:$I$89,3,0)*0.475*44/12</f>
        <v>20.15921330343469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21.571840289226177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-1.7053025658242404E-13</v>
      </c>
      <c r="EK95" s="17">
        <f>EJ95*VLOOKUP('Données projet'!$B$15,Paramètres!$A$1:$I$89,3,0)*VLOOKUP('Données projet'!$B$15,Paramètres!$A$1:$I$89,5,0)</f>
        <v>-1.1439169611549005E-13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178.09619481964575</v>
      </c>
      <c r="EP95" s="59">
        <f t="shared" si="100"/>
        <v>178.65167777495174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70.579815317581279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0.54821203109810523</v>
      </c>
      <c r="EY95" s="22">
        <f t="shared" si="75"/>
        <v>71.128027348679382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-1.7053025658242404E-13</v>
      </c>
      <c r="FF95" s="17">
        <f>FE95*VLOOKUP('Données projet'!$B$16,Paramètres!$A$1:$I$89,3,0)*VLOOKUP('Données projet'!$B$16,Paramètres!$A$1:$I$89,5,0)</f>
        <v>-1.3567387213697657E-13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219.43439115440339</v>
      </c>
      <c r="FK95" s="59">
        <f t="shared" si="102"/>
        <v>217.8880462742099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83.710943748759178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0.65020496711635778</v>
      </c>
      <c r="FT95" s="22">
        <f t="shared" si="78"/>
        <v>84.36114871587553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191.77102466144095</v>
      </c>
      <c r="GF95" s="59">
        <f t="shared" si="104"/>
        <v>205.57161411620217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61.668550874196612</v>
      </c>
      <c r="GM95" s="21">
        <f>EXP(-LN(2)/25)*GM94+(1-EXP(-LN(2)/25))/(LN(2)/25)*Calculateur!GH95*Calculateur!GJ95*VLOOKUP('Données projet'!$B$17,Paramètres!$A$1:$I$89,3,0)*0.475*44/12</f>
        <v>10.011289543978799</v>
      </c>
      <c r="GN95" s="21">
        <f>EXP(-LN(2)/2)*GN94+(1-EXP(-LN(2)/2))/(LN(2)/2)*GH95*GK95*VLOOKUP('Données projet'!$B$17,Paramètres!$A$1:$I$89,3,0)*0.475*44/12</f>
        <v>6.5557188312551735E-4</v>
      </c>
      <c r="GO95" s="21">
        <f t="shared" si="81"/>
        <v>71.680495990058546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84.31577618130467</v>
      </c>
      <c r="T96" s="59">
        <f t="shared" si="88"/>
        <v>527.2140904310653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35.115942489867251</v>
      </c>
      <c r="AA96" s="21">
        <f>EXP(-LN(2)/25)*AA95+(1-EXP(-LN(2)/25))/(LN(2)/25)*Calculateur!V96*Calculateur!X96*VLOOKUP('Données projet'!$B$9,Paramètres!$A$1:$I$89,3,0)*0.475*44/12</f>
        <v>6.145045652739471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41.26098814260672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240</v>
      </c>
      <c r="AG96" s="12">
        <f>VLOOKUP(A96,'Données projet'!$A$61:$I$81,9,0)</f>
        <v>5.7777777777777777</v>
      </c>
      <c r="AH96" s="12">
        <f t="array" ref="AH96">INDEX(AG:AG,MIN(IF(ISNUMBER(AG96:AG292),ROW(AG96:AG292),"")))</f>
        <v>5.7777777777777777</v>
      </c>
      <c r="AI96" s="13">
        <f>IF('Données projet'!$A$62&gt;35,AI95+AH96-AQ95,IF(A96&lt;'Données projet'!$A$62,$AF$205^A96,IF(A96='Données projet'!$A$62,'Données projet'!$B$62,AI95+AH96-AQ95)))</f>
        <v>240</v>
      </c>
      <c r="AJ96" s="13">
        <f>AI96*VLOOKUP('Données projet'!$B$10,Paramètres!$A$1:$I$89,3,0)*VLOOKUP('Données projet'!$B$10,Paramètres!$A$1:$I$89,5,0)</f>
        <v>217.15199999999999</v>
      </c>
      <c r="AK96" s="13">
        <f t="shared" si="89"/>
        <v>53.495418360394225</v>
      </c>
      <c r="AL96" s="20">
        <f t="shared" si="58"/>
        <v>471.37758697768658</v>
      </c>
      <c r="AM96" s="59">
        <f t="shared" si="59"/>
        <v>764.71092031101989</v>
      </c>
      <c r="AN96" s="59">
        <f ca="1">AVERAGE(OFFSET($AM$3,0,0,'Données projet'!$E$10+1,1))-AVERAGE(OFFSET($H$3,0,0,'Données projet'!$E$10+1,1))</f>
        <v>297.90790572649428</v>
      </c>
      <c r="AO96" s="59">
        <f t="shared" si="90"/>
        <v>142.96889776844506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35</v>
      </c>
      <c r="AR96" s="16">
        <f>IF(ISNA(VLOOKUP(A96,'Données projet'!$A$61:$I$81,5,0)),0%,VLOOKUP(A96,'Données projet'!$A$61:$I$81,5,0)*VLOOKUP('Données projet'!$B$10,Paramètres!$A$1:$I$89,7,0))</f>
        <v>0.129</v>
      </c>
      <c r="AS96" s="16">
        <f>IF(ISNA(VLOOKUP(A96,'Données projet'!$A$61:$I$81,6,0)),0%,VLOOKUP(A96,'Données projet'!$A$61:$I$81,6,0)*VLOOKUP('Données projet'!$B$10,Paramètres!$A$1:$I$89,7,0))</f>
        <v>0.15049999999999999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5.8116127940169777</v>
      </c>
      <c r="AV96" s="21">
        <f>EXP(-LN(2)/25)*AV95+(1-EXP(-LN(2)/25))/(LN(2)/25)*Calculateur!AQ96*Calculateur!AS96*VLOOKUP('Données projet'!$B$10,Paramètres!$A$1:$I$89,3,0)*0.475*44/12</f>
        <v>23.590893469642886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29.402506263659863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240</v>
      </c>
      <c r="BB96" s="12">
        <f>VLOOKUP(A96,'Données projet'!$A$87:$I$107,9,0)</f>
        <v>5.7777777777777777</v>
      </c>
      <c r="BC96" s="12">
        <f t="array" ref="BC96">INDEX(BB:BB,MIN(IF(ISNUMBER(BB96:BB292),ROW(BB96:BB292),"")))</f>
        <v>5.7777777777777777</v>
      </c>
      <c r="BD96" s="12">
        <f>IF('Données projet'!$A$88&gt;35,BD95+BC96-BL95,IF(A96&lt;'Données projet'!$A$88,$BA$205^A96,IF(A96='Données projet'!$A$88,'Données projet'!$B$88,BD95+BC96-BL95)))</f>
        <v>240</v>
      </c>
      <c r="BE96" s="13">
        <f>BD96*VLOOKUP('Données projet'!$B$11,Paramètres!$A$1:$I$89,3,0)*VLOOKUP('Données projet'!$B$11,Paramètres!$A$1:$I$89,5,0)</f>
        <v>243.36</v>
      </c>
      <c r="BF96" s="13">
        <f t="shared" si="91"/>
        <v>59.161864860837127</v>
      </c>
      <c r="BG96" s="20">
        <f t="shared" si="61"/>
        <v>526.89224796595806</v>
      </c>
      <c r="BH96" s="59">
        <f t="shared" si="62"/>
        <v>820.22558129929143</v>
      </c>
      <c r="BI96" s="59">
        <f ca="1">AVERAGE(OFFSET($BH$3,0,0,'Données projet'!$E$11+1,1))-AVERAGE(OFFSET($H$3,0,0,'Données projet'!$E$11+1,1))</f>
        <v>345.3294887586967</v>
      </c>
      <c r="BJ96" s="59">
        <f t="shared" si="92"/>
        <v>164.23448598618114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35</v>
      </c>
      <c r="BM96" s="16">
        <f>IF(ISNA(VLOOKUP(A96,'Données projet'!$A$87:$I$107,5,0)),0%,VLOOKUP(A96,'Données projet'!$A$87:$I$107,5,0)*VLOOKUP('Données projet'!$B$11,Paramètres!$A$1:$I$89,7,0))</f>
        <v>0.129</v>
      </c>
      <c r="BN96" s="16">
        <f>IF(ISNA(VLOOKUP(A96,'Données projet'!$A$87:$I$107,6,0)),0%,VLOOKUP(A96,'Données projet'!$A$87:$I$107,6,0)*VLOOKUP('Données projet'!$B$11,Paramètres!$A$1:$I$89,7,0))</f>
        <v>0.15049999999999999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6.5130143381224759</v>
      </c>
      <c r="BQ96" s="21">
        <f>EXP(-LN(2)/25)*BQ95+(1-EXP(-LN(2)/25))/(LN(2)/25)*Calculateur!BL96*Calculateur!BN96*VLOOKUP('Données projet'!$B$11,Paramètres!$A$1:$I$89,3,0)*0.475*44/12</f>
        <v>26.438070267703235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32.951084605825713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289.07218105343333</v>
      </c>
      <c r="CE96" s="59">
        <f t="shared" si="94"/>
        <v>217.57508587672368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128.35244364373222</v>
      </c>
      <c r="CL96" s="21">
        <f>EXP(-LN(2)/25)*CL95+(1-EXP(-LN(2)/25))/(LN(2)/25)*Calculateur!CG96*Calculateur!CI96*VLOOKUP('Données projet'!$B$12,Paramètres!$A$1:$I$89,3,0)*0.475*44/12</f>
        <v>51.962223988533793</v>
      </c>
      <c r="CM96" s="21">
        <f>EXP(-LN(2)/2)*CM95+(1-EXP(-LN(2)/2))/(LN(2)/2)*CG96*CJ96*VLOOKUP('Données projet'!$B$12,Paramètres!$A$1:$I$89,3,0)*0.475*44/12</f>
        <v>0.85646101404781183</v>
      </c>
      <c r="CN96" s="22">
        <f t="shared" si="66"/>
        <v>181.17112864631383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1.7053025658242404E-13</v>
      </c>
      <c r="CU96" s="17">
        <f>CT96*VLOOKUP('Données projet'!$B$13,Paramètres!$A$1:$I$89,3,0)*VLOOKUP('Données projet'!$B$13,Paramètres!$A$1:$I$89,5,0)</f>
        <v>1.4897523215040567E-13</v>
      </c>
      <c r="CV96" s="13">
        <f t="shared" si="95"/>
        <v>2.136562777003313E-12</v>
      </c>
      <c r="CW96" s="20">
        <f t="shared" si="67"/>
        <v>3.9806453659427267E-12</v>
      </c>
      <c r="CX96" s="59">
        <f t="shared" si="68"/>
        <v>293.33333333333729</v>
      </c>
      <c r="CY96" s="59">
        <f ca="1">AVERAGE(OFFSET($CX$3,0,0,'Données projet'!$E$13+1,1))-AVERAGE(OFFSET($H$3,0,0,'Données projet'!$E$13+1,1))</f>
        <v>237.8483058552178</v>
      </c>
      <c r="CZ96" s="59">
        <f t="shared" si="96"/>
        <v>313.36201272119723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55.589650255186747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1.4221757285715678E-2</v>
      </c>
      <c r="DI96" s="22">
        <f t="shared" si="69"/>
        <v>55.603872012472465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240</v>
      </c>
      <c r="DM96" s="12">
        <f>VLOOKUP(A96,'Données projet'!$A$165:$I$185,9,0)</f>
        <v>5.7777777777777777</v>
      </c>
      <c r="DN96" s="12">
        <f t="array" ref="DN96">INDEX(DM:DM,MIN(IF(ISNUMBER(DM96:DM292),ROW(DM96:DM292),"")))</f>
        <v>5.7777777777777777</v>
      </c>
      <c r="DO96" s="12">
        <f>IF('Données projet'!$A$166&gt;35,DO95+DN96-DW95,IF(A96&lt;'Données projet'!$A$166,$DL$205^A96,IF(A96='Données projet'!$A$166,'Données projet'!$B$166,DO95+DN96-DW95)))</f>
        <v>240</v>
      </c>
      <c r="DP96" s="17">
        <f>DO96*VLOOKUP('Données projet'!$B$14,Paramètres!$A$1:$I$89,3,0)*VLOOKUP('Données projet'!$B$14,Paramètres!$A$1:$I$89,5,0)</f>
        <v>232.12800000000001</v>
      </c>
      <c r="DQ96" s="13">
        <f t="shared" si="97"/>
        <v>56.742557967082398</v>
      </c>
      <c r="DR96" s="20">
        <f t="shared" si="70"/>
        <v>503.11622179266845</v>
      </c>
      <c r="DS96" s="59">
        <f t="shared" si="71"/>
        <v>796.44955512600177</v>
      </c>
      <c r="DT96" s="59">
        <f ca="1">AVERAGE(OFFSET($DS$3,0,0,'Données projet'!$E$14+1,1))-AVERAGE(OFFSET($H$3,0,0,'Données projet'!$E$14+1,1))</f>
        <v>325.01961068962373</v>
      </c>
      <c r="DU96" s="59">
        <f t="shared" si="98"/>
        <v>155.12737608540039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35</v>
      </c>
      <c r="DX96" s="16">
        <f>IF(ISNA(VLOOKUP(A96,'Données projet'!$A$165:$I$185,5,0)),0%,VLOOKUP(A96,'Données projet'!$A$165:$I$185,5,0)*VLOOKUP('Données projet'!$B$14,Paramètres!$A$1:$I$89,7,0))</f>
        <v>0.129</v>
      </c>
      <c r="DY96" s="16">
        <f>IF(ISNA(VLOOKUP(A96,'Données projet'!$A$165:$I$185,6,0)),0%,VLOOKUP(A96,'Données projet'!$A$165:$I$185,6,0)*VLOOKUP('Données projet'!$B$14,Paramètres!$A$1:$I$89,7,0))</f>
        <v>0.15049999999999999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6.2124136763629778</v>
      </c>
      <c r="EB96" s="21">
        <f>EXP(-LN(2)/25)*EB95+(1-EXP(-LN(2)/25))/(LN(2)/25)*Calculateur!DW96*Calculateur!DY96*VLOOKUP('Données projet'!$B$14,Paramètres!$A$1:$I$89,3,0)*0.475*44/12</f>
        <v>25.21785163996309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31.430265316326068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-1.7053025658242404E-13</v>
      </c>
      <c r="EK96" s="17">
        <f>EJ96*VLOOKUP('Données projet'!$B$15,Paramètres!$A$1:$I$89,3,0)*VLOOKUP('Données projet'!$B$15,Paramètres!$A$1:$I$89,5,0)</f>
        <v>-1.1439169611549005E-13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178.09619481964575</v>
      </c>
      <c r="EP96" s="59">
        <f t="shared" si="100"/>
        <v>178.65167777495174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69.19578818864008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0.38764444471752069</v>
      </c>
      <c r="EY96" s="22">
        <f t="shared" si="75"/>
        <v>69.583432633357603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-1.7053025658242404E-13</v>
      </c>
      <c r="FF96" s="17">
        <f>FE96*VLOOKUP('Données projet'!$B$16,Paramètres!$A$1:$I$89,3,0)*VLOOKUP('Données projet'!$B$16,Paramètres!$A$1:$I$89,5,0)</f>
        <v>-1.3567387213697657E-13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219.43439115440339</v>
      </c>
      <c r="FK96" s="59">
        <f t="shared" si="102"/>
        <v>217.8880462742099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82.069423200480074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0.45976434140915273</v>
      </c>
      <c r="FT96" s="22">
        <f t="shared" si="78"/>
        <v>82.529187541889229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191.77102466144095</v>
      </c>
      <c r="GF96" s="59">
        <f t="shared" si="104"/>
        <v>205.57161411620217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60.459268205655569</v>
      </c>
      <c r="GM96" s="21">
        <f>EXP(-LN(2)/25)*GM95+(1-EXP(-LN(2)/25))/(LN(2)/25)*Calculateur!GH96*Calculateur!GJ96*VLOOKUP('Données projet'!$B$17,Paramètres!$A$1:$I$89,3,0)*0.475*44/12</f>
        <v>9.7375303049278639</v>
      </c>
      <c r="GN96" s="21">
        <f>EXP(-LN(2)/2)*GN95+(1-EXP(-LN(2)/2))/(LN(2)/2)*GH96*GK96*VLOOKUP('Données projet'!$B$17,Paramètres!$A$1:$I$89,3,0)*0.475*44/12</f>
        <v>4.6355932411328813E-4</v>
      </c>
      <c r="GO96" s="21">
        <f t="shared" si="81"/>
        <v>70.197262069907552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84.31577618130467</v>
      </c>
      <c r="T97" s="59">
        <f t="shared" si="88"/>
        <v>527.2140904310653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34.427340276250959</v>
      </c>
      <c r="AA97" s="21">
        <f>EXP(-LN(2)/25)*AA96+(1-EXP(-LN(2)/25))/(LN(2)/25)*Calculateur!V97*Calculateur!X97*VLOOKUP('Données projet'!$B$9,Paramètres!$A$1:$I$89,3,0)*0.475*44/12</f>
        <v>5.9770090562114042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40.40434933246236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5.7</v>
      </c>
      <c r="AI97" s="13">
        <f>IF('Données projet'!$A$62&gt;35,AI96+AH97-AQ96,IF(A97&lt;'Données projet'!$A$62,$AF$205^A97,IF(A97='Données projet'!$A$62,'Données projet'!$B$62,AI96+AH97-AQ96)))</f>
        <v>210.7</v>
      </c>
      <c r="AJ97" s="13">
        <f>AI97*VLOOKUP('Données projet'!$B$10,Paramètres!$A$1:$I$89,3,0)*VLOOKUP('Données projet'!$B$10,Paramètres!$A$1:$I$89,5,0)</f>
        <v>190.64135999999999</v>
      </c>
      <c r="AK97" s="13">
        <f t="shared" si="89"/>
        <v>47.681720619015643</v>
      </c>
      <c r="AL97" s="20">
        <f t="shared" si="58"/>
        <v>415.07936541145222</v>
      </c>
      <c r="AM97" s="59">
        <f t="shared" si="59"/>
        <v>708.41269874478553</v>
      </c>
      <c r="AN97" s="59">
        <f ca="1">AVERAGE(OFFSET($AM$3,0,0,'Données projet'!$E$10+1,1))-AVERAGE(OFFSET($H$3,0,0,'Données projet'!$E$10+1,1))</f>
        <v>297.90790572649428</v>
      </c>
      <c r="AO97" s="59">
        <f t="shared" si="90"/>
        <v>142.96889776844506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5.6976506118600954</v>
      </c>
      <c r="AV97" s="21">
        <f>EXP(-LN(2)/25)*AV96+(1-EXP(-LN(2)/25))/(LN(2)/25)*Calculateur!AQ97*Calculateur!AS97*VLOOKUP('Données projet'!$B$10,Paramètres!$A$1:$I$89,3,0)*0.475*44/12</f>
        <v>22.945799247124331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28.643449858984425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5.7</v>
      </c>
      <c r="BD97" s="12">
        <f>IF('Données projet'!$A$88&gt;35,BD96+BC97-BL96,IF(A97&lt;'Données projet'!$A$88,$BA$205^A97,IF(A97='Données projet'!$A$88,'Données projet'!$B$88,BD96+BC97-BL96)))</f>
        <v>210.7</v>
      </c>
      <c r="BE97" s="13">
        <f>BD97*VLOOKUP('Données projet'!$B$11,Paramètres!$A$1:$I$89,3,0)*VLOOKUP('Données projet'!$B$11,Paramètres!$A$1:$I$89,5,0)</f>
        <v>213.64979999999997</v>
      </c>
      <c r="BF97" s="13">
        <f t="shared" si="91"/>
        <v>52.732357238333108</v>
      </c>
      <c r="BG97" s="20">
        <f t="shared" si="61"/>
        <v>463.94892385676343</v>
      </c>
      <c r="BH97" s="59">
        <f t="shared" si="62"/>
        <v>757.28225719009674</v>
      </c>
      <c r="BI97" s="59">
        <f ca="1">AVERAGE(OFFSET($BH$3,0,0,'Données projet'!$E$11+1,1))-AVERAGE(OFFSET($H$3,0,0,'Données projet'!$E$11+1,1))</f>
        <v>345.3294887586967</v>
      </c>
      <c r="BJ97" s="59">
        <f t="shared" si="92"/>
        <v>164.23448598618114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6.3852980994983843</v>
      </c>
      <c r="BQ97" s="21">
        <f>EXP(-LN(2)/25)*BQ96+(1-EXP(-LN(2)/25))/(LN(2)/25)*Calculateur!BL97*Calculateur!BN97*VLOOKUP('Données projet'!$B$11,Paramètres!$A$1:$I$89,3,0)*0.475*44/12</f>
        <v>25.715119845915201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32.100417945413582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289.07218105343333</v>
      </c>
      <c r="CE97" s="59">
        <f t="shared" si="94"/>
        <v>217.57508587672368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125.83553051113903</v>
      </c>
      <c r="CL97" s="21">
        <f>EXP(-LN(2)/25)*CL96+(1-EXP(-LN(2)/25))/(LN(2)/25)*Calculateur!CG97*Calculateur!CI97*VLOOKUP('Données projet'!$B$12,Paramètres!$A$1:$I$89,3,0)*0.475*44/12</f>
        <v>50.54131424099274</v>
      </c>
      <c r="CM97" s="21">
        <f>EXP(-LN(2)/2)*CM96+(1-EXP(-LN(2)/2))/(LN(2)/2)*CG97*CJ97*VLOOKUP('Données projet'!$B$12,Paramètres!$A$1:$I$89,3,0)*0.475*44/12</f>
        <v>0.60560939085511478</v>
      </c>
      <c r="CN97" s="22">
        <f t="shared" si="66"/>
        <v>176.98245414298688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1.7053025658242404E-13</v>
      </c>
      <c r="CU97" s="17">
        <f>CT97*VLOOKUP('Données projet'!$B$13,Paramètres!$A$1:$I$89,3,0)*VLOOKUP('Données projet'!$B$13,Paramètres!$A$1:$I$89,5,0)</f>
        <v>1.4897523215040567E-13</v>
      </c>
      <c r="CV97" s="13">
        <f t="shared" si="95"/>
        <v>2.136562777003313E-12</v>
      </c>
      <c r="CW97" s="20">
        <f t="shared" si="67"/>
        <v>3.9806453659427267E-12</v>
      </c>
      <c r="CX97" s="59">
        <f t="shared" si="68"/>
        <v>293.33333333333729</v>
      </c>
      <c r="CY97" s="59">
        <f ca="1">AVERAGE(OFFSET($CX$3,0,0,'Données projet'!$E$13+1,1))-AVERAGE(OFFSET($H$3,0,0,'Données projet'!$E$13+1,1))</f>
        <v>237.8483058552178</v>
      </c>
      <c r="CZ97" s="59">
        <f t="shared" si="96"/>
        <v>313.36201272119723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54.499571120021216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1.0056301017118744E-2</v>
      </c>
      <c r="DI97" s="22">
        <f t="shared" si="69"/>
        <v>54.509627421038331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5.7</v>
      </c>
      <c r="DO97" s="12">
        <f>IF('Données projet'!$A$166&gt;35,DO96+DN97-DW96,IF(A97&lt;'Données projet'!$A$166,$DL$205^A97,IF(A97='Données projet'!$A$166,'Données projet'!$B$166,DO96+DN97-DW96)))</f>
        <v>210.7</v>
      </c>
      <c r="DP97" s="17">
        <f>DO97*VLOOKUP('Données projet'!$B$14,Paramètres!$A$1:$I$89,3,0)*VLOOKUP('Données projet'!$B$14,Paramètres!$A$1:$I$89,5,0)</f>
        <v>203.78903999999997</v>
      </c>
      <c r="DQ97" s="13">
        <f t="shared" si="97"/>
        <v>50.575972281727609</v>
      </c>
      <c r="DR97" s="20">
        <f t="shared" si="70"/>
        <v>443.01906305734218</v>
      </c>
      <c r="DS97" s="59">
        <f t="shared" si="71"/>
        <v>736.35239639067549</v>
      </c>
      <c r="DT97" s="59">
        <f ca="1">AVERAGE(OFFSET($DS$3,0,0,'Données projet'!$E$14+1,1))-AVERAGE(OFFSET($H$3,0,0,'Données projet'!$E$14+1,1))</f>
        <v>325.01961068962373</v>
      </c>
      <c r="DU97" s="59">
        <f t="shared" si="98"/>
        <v>155.12737608540039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6.09059203336769</v>
      </c>
      <c r="EB97" s="21">
        <f>EXP(-LN(2)/25)*EB96+(1-EXP(-LN(2)/25))/(LN(2)/25)*Calculateur!DW97*Calculateur!DY97*VLOOKUP('Données projet'!$B$14,Paramètres!$A$1:$I$89,3,0)*0.475*44/12</f>
        <v>24.528268160719119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30.618860194086807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-1.7053025658242404E-13</v>
      </c>
      <c r="EK97" s="17">
        <f>EJ97*VLOOKUP('Données projet'!$B$15,Paramètres!$A$1:$I$89,3,0)*VLOOKUP('Données projet'!$B$15,Paramètres!$A$1:$I$89,5,0)</f>
        <v>-1.1439169611549005E-13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178.09619481964575</v>
      </c>
      <c r="EP97" s="59">
        <f t="shared" si="100"/>
        <v>178.65167777495174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67.838900987524212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0.27410601554905262</v>
      </c>
      <c r="EY97" s="22">
        <f t="shared" si="75"/>
        <v>68.113007003073264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-1.7053025658242404E-13</v>
      </c>
      <c r="FF97" s="17">
        <f>FE97*VLOOKUP('Données projet'!$B$16,Paramètres!$A$1:$I$89,3,0)*VLOOKUP('Données projet'!$B$16,Paramètres!$A$1:$I$89,5,0)</f>
        <v>-1.3567387213697657E-13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219.43439115440339</v>
      </c>
      <c r="FK97" s="59">
        <f t="shared" si="102"/>
        <v>217.8880462742099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80.460091868924053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0.32510248355817889</v>
      </c>
      <c r="FT97" s="22">
        <f t="shared" si="78"/>
        <v>80.785194352482236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191.77102466144095</v>
      </c>
      <c r="GF97" s="59">
        <f t="shared" si="104"/>
        <v>205.57161411620217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59.273698832655015</v>
      </c>
      <c r="GM97" s="21">
        <f>EXP(-LN(2)/25)*GM96+(1-EXP(-LN(2)/25))/(LN(2)/25)*Calculateur!GH97*Calculateur!GJ97*VLOOKUP('Données projet'!$B$17,Paramètres!$A$1:$I$89,3,0)*0.475*44/12</f>
        <v>9.4712570266651479</v>
      </c>
      <c r="GN97" s="21">
        <f>EXP(-LN(2)/2)*GN96+(1-EXP(-LN(2)/2))/(LN(2)/2)*GH97*GK97*VLOOKUP('Données projet'!$B$17,Paramètres!$A$1:$I$89,3,0)*0.475*44/12</f>
        <v>3.2778594156275873E-4</v>
      </c>
      <c r="GO97" s="21">
        <f t="shared" si="81"/>
        <v>68.745283645261722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84.31577618130467</v>
      </c>
      <c r="T98" s="59">
        <f t="shared" si="88"/>
        <v>527.2140904310653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33.75224113203781</v>
      </c>
      <c r="AA98" s="21">
        <f>EXP(-LN(2)/25)*AA97+(1-EXP(-LN(2)/25))/(LN(2)/25)*Calculateur!V98*Calculateur!X98*VLOOKUP('Données projet'!$B$9,Paramètres!$A$1:$I$89,3,0)*0.475*44/12</f>
        <v>5.8135674292520578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39.56580856128987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5.7</v>
      </c>
      <c r="AI98" s="13">
        <f>IF('Données projet'!$A$62&gt;35,AI97+AH98-AQ97,IF(A98&lt;'Données projet'!$A$62,$AF$205^A98,IF(A98='Données projet'!$A$62,'Données projet'!$B$62,AI97+AH98-AQ97)))</f>
        <v>216.39999999999998</v>
      </c>
      <c r="AJ98" s="13">
        <f>AI98*VLOOKUP('Données projet'!$B$10,Paramètres!$A$1:$I$89,3,0)*VLOOKUP('Données projet'!$B$10,Paramètres!$A$1:$I$89,5,0)</f>
        <v>195.79871999999997</v>
      </c>
      <c r="AK98" s="13">
        <f t="shared" si="89"/>
        <v>48.819715799409714</v>
      </c>
      <c r="AL98" s="20">
        <f t="shared" si="58"/>
        <v>426.04377568397189</v>
      </c>
      <c r="AM98" s="59">
        <f t="shared" si="59"/>
        <v>719.3771090173052</v>
      </c>
      <c r="AN98" s="59">
        <f ca="1">AVERAGE(OFFSET($AM$3,0,0,'Données projet'!$E$10+1,1))-AVERAGE(OFFSET($H$3,0,0,'Données projet'!$E$10+1,1))</f>
        <v>297.90790572649428</v>
      </c>
      <c r="AO98" s="59">
        <f t="shared" si="90"/>
        <v>142.96889776844506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5.585923158585242</v>
      </c>
      <c r="AV98" s="21">
        <f>EXP(-LN(2)/25)*AV97+(1-EXP(-LN(2)/25))/(LN(2)/25)*Calculateur!AQ98*Calculateur!AS98*VLOOKUP('Données projet'!$B$10,Paramètres!$A$1:$I$89,3,0)*0.475*44/12</f>
        <v>22.318345160044576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27.904268318629818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5.7</v>
      </c>
      <c r="BD98" s="12">
        <f>IF('Données projet'!$A$88&gt;35,BD97+BC98-BL97,IF(A98&lt;'Données projet'!$A$88,$BA$205^A98,IF(A98='Données projet'!$A$88,'Données projet'!$B$88,BD97+BC98-BL97)))</f>
        <v>216.39999999999998</v>
      </c>
      <c r="BE98" s="13">
        <f>BD98*VLOOKUP('Données projet'!$B$11,Paramètres!$A$1:$I$89,3,0)*VLOOKUP('Données projet'!$B$11,Paramètres!$A$1:$I$89,5,0)</f>
        <v>219.42959999999999</v>
      </c>
      <c r="BF98" s="13">
        <f t="shared" si="91"/>
        <v>53.990893373543585</v>
      </c>
      <c r="BG98" s="20">
        <f t="shared" si="61"/>
        <v>476.20735929225503</v>
      </c>
      <c r="BH98" s="59">
        <f t="shared" si="62"/>
        <v>769.54069262558835</v>
      </c>
      <c r="BI98" s="59">
        <f ca="1">AVERAGE(OFFSET($BH$3,0,0,'Données projet'!$E$11+1,1))-AVERAGE(OFFSET($H$3,0,0,'Données projet'!$E$11+1,1))</f>
        <v>345.3294887586967</v>
      </c>
      <c r="BJ98" s="59">
        <f t="shared" si="92"/>
        <v>164.23448598618114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6.2600862984144969</v>
      </c>
      <c r="BQ98" s="21">
        <f>EXP(-LN(2)/25)*BQ97+(1-EXP(-LN(2)/25))/(LN(2)/25)*Calculateur!BL98*Calculateur!BN98*VLOOKUP('Données projet'!$B$11,Paramètres!$A$1:$I$89,3,0)*0.475*44/12</f>
        <v>25.01193854142927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31.272024839843766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289.07218105343333</v>
      </c>
      <c r="CE98" s="59">
        <f t="shared" si="94"/>
        <v>217.57508587672368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123.36797250991056</v>
      </c>
      <c r="CL98" s="21">
        <f>EXP(-LN(2)/25)*CL97+(1-EXP(-LN(2)/25))/(LN(2)/25)*Calculateur!CG98*Calculateur!CI98*VLOOKUP('Données projet'!$B$12,Paramètres!$A$1:$I$89,3,0)*0.475*44/12</f>
        <v>49.15925934522059</v>
      </c>
      <c r="CM98" s="21">
        <f>EXP(-LN(2)/2)*CM97+(1-EXP(-LN(2)/2))/(LN(2)/2)*CG98*CJ98*VLOOKUP('Données projet'!$B$12,Paramètres!$A$1:$I$89,3,0)*0.475*44/12</f>
        <v>0.42823050702390603</v>
      </c>
      <c r="CN98" s="22">
        <f t="shared" si="66"/>
        <v>172.95546236215506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1.7053025658242404E-13</v>
      </c>
      <c r="CU98" s="17">
        <f>CT98*VLOOKUP('Données projet'!$B$13,Paramètres!$A$1:$I$89,3,0)*VLOOKUP('Données projet'!$B$13,Paramètres!$A$1:$I$89,5,0)</f>
        <v>1.4897523215040567E-13</v>
      </c>
      <c r="CV98" s="13">
        <f t="shared" si="95"/>
        <v>2.136562777003313E-12</v>
      </c>
      <c r="CW98" s="20">
        <f t="shared" si="67"/>
        <v>3.9806453659427267E-12</v>
      </c>
      <c r="CX98" s="59">
        <f t="shared" si="68"/>
        <v>293.33333333333729</v>
      </c>
      <c r="CY98" s="59">
        <f ca="1">AVERAGE(OFFSET($CX$3,0,0,'Données projet'!$E$13+1,1))-AVERAGE(OFFSET($H$3,0,0,'Données projet'!$E$13+1,1))</f>
        <v>237.8483058552178</v>
      </c>
      <c r="CZ98" s="59">
        <f t="shared" si="96"/>
        <v>313.36201272119723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53.430867771813659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7.1108786428578392E-3</v>
      </c>
      <c r="DI98" s="22">
        <f t="shared" si="69"/>
        <v>53.437978650456515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5.7</v>
      </c>
      <c r="DO98" s="12">
        <f>IF('Données projet'!$A$166&gt;35,DO97+DN98-DW97,IF(A98&lt;'Données projet'!$A$166,$DL$205^A98,IF(A98='Données projet'!$A$166,'Données projet'!$B$166,DO97+DN98-DW97)))</f>
        <v>216.39999999999998</v>
      </c>
      <c r="DP98" s="17">
        <f>DO98*VLOOKUP('Données projet'!$B$14,Paramètres!$A$1:$I$89,3,0)*VLOOKUP('Données projet'!$B$14,Paramètres!$A$1:$I$89,5,0)</f>
        <v>209.30207999999996</v>
      </c>
      <c r="DQ98" s="13">
        <f t="shared" si="97"/>
        <v>51.783043082721207</v>
      </c>
      <c r="DR98" s="20">
        <f t="shared" si="70"/>
        <v>454.72325603573933</v>
      </c>
      <c r="DS98" s="59">
        <f t="shared" si="71"/>
        <v>748.05658936907264</v>
      </c>
      <c r="DT98" s="59">
        <f ca="1">AVERAGE(OFFSET($DS$3,0,0,'Données projet'!$E$14+1,1))-AVERAGE(OFFSET($H$3,0,0,'Données projet'!$E$14+1,1))</f>
        <v>325.01961068962373</v>
      </c>
      <c r="DU98" s="59">
        <f t="shared" si="98"/>
        <v>155.12737608540039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5.9711592384876742</v>
      </c>
      <c r="EB98" s="21">
        <f>EXP(-LN(2)/25)*EB97+(1-EXP(-LN(2)/25))/(LN(2)/25)*Calculateur!DW98*Calculateur!DY98*VLOOKUP('Données projet'!$B$14,Paramètres!$A$1:$I$89,3,0)*0.475*44/12</f>
        <v>23.857541377978691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29.828700616466364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-1.7053025658242404E-13</v>
      </c>
      <c r="EK98" s="17">
        <f>EJ98*VLOOKUP('Données projet'!$B$15,Paramètres!$A$1:$I$89,3,0)*VLOOKUP('Données projet'!$B$15,Paramètres!$A$1:$I$89,5,0)</f>
        <v>-1.1439169611549005E-13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178.09619481964575</v>
      </c>
      <c r="EP98" s="59">
        <f t="shared" si="100"/>
        <v>178.65167777495174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66.508621516802762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0.19382222235876034</v>
      </c>
      <c r="EY98" s="22">
        <f t="shared" si="75"/>
        <v>66.702443739161524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-1.7053025658242404E-13</v>
      </c>
      <c r="FF98" s="17">
        <f>FE98*VLOOKUP('Données projet'!$B$16,Paramètres!$A$1:$I$89,3,0)*VLOOKUP('Données projet'!$B$16,Paramètres!$A$1:$I$89,5,0)</f>
        <v>-1.3567387213697657E-13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219.43439115440339</v>
      </c>
      <c r="FK98" s="59">
        <f t="shared" si="102"/>
        <v>217.8880462742099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78.882318543184653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0.22988217070457637</v>
      </c>
      <c r="FT98" s="22">
        <f t="shared" si="78"/>
        <v>79.112200713889223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191.77102466144095</v>
      </c>
      <c r="GF98" s="59">
        <f t="shared" si="104"/>
        <v>205.57161411620217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58.111377751933084</v>
      </c>
      <c r="GM98" s="21">
        <f>EXP(-LN(2)/25)*GM97+(1-EXP(-LN(2)/25))/(LN(2)/25)*Calculateur!GH98*Calculateur!GJ98*VLOOKUP('Données projet'!$B$17,Paramètres!$A$1:$I$89,3,0)*0.475*44/12</f>
        <v>9.2122650051992299</v>
      </c>
      <c r="GN98" s="21">
        <f>EXP(-LN(2)/2)*GN97+(1-EXP(-LN(2)/2))/(LN(2)/2)*GH98*GK98*VLOOKUP('Données projet'!$B$17,Paramètres!$A$1:$I$89,3,0)*0.475*44/12</f>
        <v>2.3177966205664412E-4</v>
      </c>
      <c r="GO98" s="21">
        <f t="shared" si="81"/>
        <v>67.323874536794378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84.31577618130467</v>
      </c>
      <c r="T99" s="59">
        <f t="shared" si="88"/>
        <v>527.2140904310653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33.09038027027286</v>
      </c>
      <c r="AA99" s="21">
        <f>EXP(-LN(2)/25)*AA98+(1-EXP(-LN(2)/25))/(LN(2)/25)*Calculateur!V99*Calculateur!X99*VLOOKUP('Données projet'!$B$9,Paramètres!$A$1:$I$89,3,0)*0.475*44/12</f>
        <v>5.6545951221769366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38.744975392449795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5.7</v>
      </c>
      <c r="AI99" s="13">
        <f>IF('Données projet'!$A$62&gt;35,AI98+AH99-AQ98,IF(A99&lt;'Données projet'!$A$62,$AF$205^A99,IF(A99='Données projet'!$A$62,'Données projet'!$B$62,AI98+AH99-AQ98)))</f>
        <v>222.09999999999997</v>
      </c>
      <c r="AJ99" s="13">
        <f>AI99*VLOOKUP('Données projet'!$B$10,Paramètres!$A$1:$I$89,3,0)*VLOOKUP('Données projet'!$B$10,Paramètres!$A$1:$I$89,5,0)</f>
        <v>200.95607999999999</v>
      </c>
      <c r="AK99" s="13">
        <f t="shared" si="89"/>
        <v>49.954226816728088</v>
      </c>
      <c r="AL99" s="20">
        <f t="shared" si="58"/>
        <v>437.00211770580137</v>
      </c>
      <c r="AM99" s="59">
        <f t="shared" si="59"/>
        <v>730.33545103913468</v>
      </c>
      <c r="AN99" s="59">
        <f ca="1">AVERAGE(OFFSET($AM$3,0,0,'Données projet'!$E$10+1,1))-AVERAGE(OFFSET($H$3,0,0,'Données projet'!$E$10+1,1))</f>
        <v>297.90790572649428</v>
      </c>
      <c r="AO99" s="59">
        <f t="shared" si="90"/>
        <v>142.96889776844506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5.4763866125220915</v>
      </c>
      <c r="AV99" s="21">
        <f>EXP(-LN(2)/25)*AV98+(1-EXP(-LN(2)/25))/(LN(2)/25)*Calculateur!AQ99*Calculateur!AS99*VLOOKUP('Données projet'!$B$10,Paramètres!$A$1:$I$89,3,0)*0.475*44/12</f>
        <v>21.708048837972395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27.184435450494487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5.7</v>
      </c>
      <c r="BD99" s="12">
        <f>IF('Données projet'!$A$88&gt;35,BD98+BC99-BL98,IF(A99&lt;'Données projet'!$A$88,$BA$205^A99,IF(A99='Données projet'!$A$88,'Données projet'!$B$88,BD98+BC99-BL98)))</f>
        <v>222.09999999999997</v>
      </c>
      <c r="BE99" s="13">
        <f>BD99*VLOOKUP('Données projet'!$B$11,Paramètres!$A$1:$I$89,3,0)*VLOOKUP('Données projet'!$B$11,Paramètres!$A$1:$I$89,5,0)</f>
        <v>225.20939999999999</v>
      </c>
      <c r="BF99" s="13">
        <f t="shared" si="91"/>
        <v>55.245576289331673</v>
      </c>
      <c r="BG99" s="20">
        <f t="shared" si="61"/>
        <v>488.45908370391936</v>
      </c>
      <c r="BH99" s="59">
        <f t="shared" si="62"/>
        <v>781.79241703725268</v>
      </c>
      <c r="BI99" s="59">
        <f ca="1">AVERAGE(OFFSET($BH$3,0,0,'Données projet'!$E$11+1,1))-AVERAGE(OFFSET($H$3,0,0,'Données projet'!$E$11+1,1))</f>
        <v>345.3294887586967</v>
      </c>
      <c r="BJ99" s="59">
        <f t="shared" si="92"/>
        <v>164.23448598618114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6.1373298243782068</v>
      </c>
      <c r="BQ99" s="21">
        <f>EXP(-LN(2)/25)*BQ98+(1-EXP(-LN(2)/25))/(LN(2)/25)*Calculateur!BL99*Calculateur!BN99*VLOOKUP('Données projet'!$B$11,Paramètres!$A$1:$I$89,3,0)*0.475*44/12</f>
        <v>24.327985766693203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30.465315591071409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289.07218105343333</v>
      </c>
      <c r="CE99" s="59">
        <f t="shared" si="94"/>
        <v>217.57508587672368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120.94880181602441</v>
      </c>
      <c r="CL99" s="21">
        <f>EXP(-LN(2)/25)*CL98+(1-EXP(-LN(2)/25))/(LN(2)/25)*Calculateur!CG99*Calculateur!CI99*VLOOKUP('Données projet'!$B$12,Paramètres!$A$1:$I$89,3,0)*0.475*44/12</f>
        <v>47.814996813252442</v>
      </c>
      <c r="CM99" s="21">
        <f>EXP(-LN(2)/2)*CM98+(1-EXP(-LN(2)/2))/(LN(2)/2)*CG99*CJ99*VLOOKUP('Données projet'!$B$12,Paramètres!$A$1:$I$89,3,0)*0.475*44/12</f>
        <v>0.30280469542755745</v>
      </c>
      <c r="CN99" s="22">
        <f t="shared" si="66"/>
        <v>169.06660332470443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1.7053025658242404E-13</v>
      </c>
      <c r="CU99" s="17">
        <f>CT99*VLOOKUP('Données projet'!$B$13,Paramètres!$A$1:$I$89,3,0)*VLOOKUP('Données projet'!$B$13,Paramètres!$A$1:$I$89,5,0)</f>
        <v>1.4897523215040567E-13</v>
      </c>
      <c r="CV99" s="13">
        <f t="shared" si="95"/>
        <v>2.136562777003313E-12</v>
      </c>
      <c r="CW99" s="20">
        <f t="shared" si="67"/>
        <v>3.9806453659427267E-12</v>
      </c>
      <c r="CX99" s="59">
        <f t="shared" si="68"/>
        <v>293.33333333333729</v>
      </c>
      <c r="CY99" s="59">
        <f ca="1">AVERAGE(OFFSET($CX$3,0,0,'Données projet'!$E$13+1,1))-AVERAGE(OFFSET($H$3,0,0,'Données projet'!$E$13+1,1))</f>
        <v>237.8483058552178</v>
      </c>
      <c r="CZ99" s="59">
        <f t="shared" si="96"/>
        <v>313.36201272119723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52.383121044419781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5.028150508559372E-3</v>
      </c>
      <c r="DI99" s="22">
        <f t="shared" si="69"/>
        <v>52.388149194928339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5.7</v>
      </c>
      <c r="DO99" s="12">
        <f>IF('Données projet'!$A$166&gt;35,DO98+DN99-DW98,IF(A99&lt;'Données projet'!$A$166,$DL$205^A99,IF(A99='Données projet'!$A$166,'Données projet'!$B$166,DO98+DN99-DW98)))</f>
        <v>222.09999999999997</v>
      </c>
      <c r="DP99" s="17">
        <f>DO99*VLOOKUP('Données projet'!$B$14,Paramètres!$A$1:$I$89,3,0)*VLOOKUP('Données projet'!$B$14,Paramètres!$A$1:$I$89,5,0)</f>
        <v>214.81511999999995</v>
      </c>
      <c r="DQ99" s="13">
        <f t="shared" si="97"/>
        <v>52.986418234043455</v>
      </c>
      <c r="DR99" s="20">
        <f t="shared" si="70"/>
        <v>466.42101242429226</v>
      </c>
      <c r="DS99" s="59">
        <f t="shared" si="71"/>
        <v>759.75434575762552</v>
      </c>
      <c r="DT99" s="59">
        <f ca="1">AVERAGE(OFFSET($DS$3,0,0,'Données projet'!$E$14+1,1))-AVERAGE(OFFSET($H$3,0,0,'Données projet'!$E$14+1,1))</f>
        <v>325.01961068962373</v>
      </c>
      <c r="DU99" s="59">
        <f t="shared" si="98"/>
        <v>155.12737608540039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5.8540684478684444</v>
      </c>
      <c r="EB99" s="21">
        <f>EXP(-LN(2)/25)*EB98+(1-EXP(-LN(2)/25))/(LN(2)/25)*Calculateur!DW99*Calculateur!DY99*VLOOKUP('Données projet'!$B$14,Paramètres!$A$1:$I$89,3,0)*0.475*44/12</f>
        <v>23.205155654384289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29.059224102252735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-1.7053025658242404E-13</v>
      </c>
      <c r="EK99" s="17">
        <f>EJ99*VLOOKUP('Données projet'!$B$15,Paramètres!$A$1:$I$89,3,0)*VLOOKUP('Données projet'!$B$15,Paramètres!$A$1:$I$89,5,0)</f>
        <v>-1.1439169611549005E-13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178.09619481964575</v>
      </c>
      <c r="EP99" s="59">
        <f t="shared" si="100"/>
        <v>178.65167777495174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65.204428015111802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0.13705300777452631</v>
      </c>
      <c r="EY99" s="22">
        <f t="shared" si="75"/>
        <v>65.341481022886327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-1.7053025658242404E-13</v>
      </c>
      <c r="FF99" s="17">
        <f>FE99*VLOOKUP('Données projet'!$B$16,Paramètres!$A$1:$I$89,3,0)*VLOOKUP('Données projet'!$B$16,Paramètres!$A$1:$I$89,5,0)</f>
        <v>-1.3567387213697657E-13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219.43439115440339</v>
      </c>
      <c r="FK99" s="59">
        <f t="shared" si="102"/>
        <v>217.8880462742099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77.335484390016305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0.16255124177908944</v>
      </c>
      <c r="FT99" s="22">
        <f t="shared" si="78"/>
        <v>77.498035631795389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191.77102466144095</v>
      </c>
      <c r="GF99" s="59">
        <f t="shared" si="104"/>
        <v>205.57161411620217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56.971849078658259</v>
      </c>
      <c r="GM99" s="21">
        <f>EXP(-LN(2)/25)*GM98+(1-EXP(-LN(2)/25))/(LN(2)/25)*Calculateur!GH99*Calculateur!GJ99*VLOOKUP('Données projet'!$B$17,Paramètres!$A$1:$I$89,3,0)*0.475*44/12</f>
        <v>8.9603551341800944</v>
      </c>
      <c r="GN99" s="21">
        <f>EXP(-LN(2)/2)*GN98+(1-EXP(-LN(2)/2))/(LN(2)/2)*GH99*GK99*VLOOKUP('Données projet'!$B$17,Paramètres!$A$1:$I$89,3,0)*0.475*44/12</f>
        <v>1.6389297078137939E-4</v>
      </c>
      <c r="GO99" s="21">
        <f t="shared" si="81"/>
        <v>65.932368105809132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84.31577618130467</v>
      </c>
      <c r="T100" s="59">
        <f t="shared" si="88"/>
        <v>527.2140904310653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32.441498096311854</v>
      </c>
      <c r="AA100" s="21">
        <f>EXP(-LN(2)/25)*AA99+(1-EXP(-LN(2)/25))/(LN(2)/25)*Calculateur!V100*Calculateur!X100*VLOOKUP('Données projet'!$B$9,Paramètres!$A$1:$I$89,3,0)*0.475*44/12</f>
        <v>5.4999699211987743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37.94146801751063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5.7</v>
      </c>
      <c r="AI100" s="13">
        <f>IF('Données projet'!$A$62&gt;35,AI99+AH100-AQ99,IF(A100&lt;'Données projet'!$A$62,$AF$205^A100,IF(A100='Données projet'!$A$62,'Données projet'!$B$62,AI99+AH100-AQ99)))</f>
        <v>227.79999999999995</v>
      </c>
      <c r="AJ100" s="13">
        <f>AI100*VLOOKUP('Données projet'!$B$10,Paramètres!$A$1:$I$89,3,0)*VLOOKUP('Données projet'!$B$10,Paramètres!$A$1:$I$89,5,0)</f>
        <v>206.11343999999997</v>
      </c>
      <c r="AK100" s="13">
        <f t="shared" si="89"/>
        <v>51.085353370375145</v>
      </c>
      <c r="AL100" s="20">
        <f t="shared" si="58"/>
        <v>447.95456512007007</v>
      </c>
      <c r="AM100" s="59">
        <f t="shared" si="59"/>
        <v>741.28789845340339</v>
      </c>
      <c r="AN100" s="59">
        <f ca="1">AVERAGE(OFFSET($AM$3,0,0,'Données projet'!$E$10+1,1))-AVERAGE(OFFSET($H$3,0,0,'Données projet'!$E$10+1,1))</f>
        <v>297.90790572649428</v>
      </c>
      <c r="AO100" s="59">
        <f t="shared" si="90"/>
        <v>142.96889776844506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5.3689980113165428</v>
      </c>
      <c r="AV100" s="21">
        <f>EXP(-LN(2)/25)*AV99+(1-EXP(-LN(2)/25))/(LN(2)/25)*Calculateur!AQ100*Calculateur!AS100*VLOOKUP('Données projet'!$B$10,Paramètres!$A$1:$I$89,3,0)*0.475*44/12</f>
        <v>21.114441100921365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26.483439112237907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5.7</v>
      </c>
      <c r="BD100" s="12">
        <f>IF('Données projet'!$A$88&gt;35,BD99+BC100-BL99,IF(A100&lt;'Données projet'!$A$88,$BA$205^A100,IF(A100='Données projet'!$A$88,'Données projet'!$B$88,BD99+BC100-BL99)))</f>
        <v>227.79999999999995</v>
      </c>
      <c r="BE100" s="13">
        <f>BD100*VLOOKUP('Données projet'!$B$11,Paramètres!$A$1:$I$89,3,0)*VLOOKUP('Données projet'!$B$11,Paramètres!$A$1:$I$89,5,0)</f>
        <v>230.98919999999995</v>
      </c>
      <c r="BF100" s="13">
        <f t="shared" si="91"/>
        <v>56.496516245657226</v>
      </c>
      <c r="BG100" s="20">
        <f t="shared" si="61"/>
        <v>500.70428912785286</v>
      </c>
      <c r="BH100" s="59">
        <f t="shared" si="62"/>
        <v>794.03762246118617</v>
      </c>
      <c r="BI100" s="59">
        <f ca="1">AVERAGE(OFFSET($BH$3,0,0,'Données projet'!$E$11+1,1))-AVERAGE(OFFSET($H$3,0,0,'Données projet'!$E$11+1,1))</f>
        <v>345.3294887586967</v>
      </c>
      <c r="BJ100" s="59">
        <f t="shared" si="92"/>
        <v>164.23448598618114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6.0169805299237131</v>
      </c>
      <c r="BQ100" s="21">
        <f>EXP(-LN(2)/25)*BQ99+(1-EXP(-LN(2)/25))/(LN(2)/25)*Calculateur!BL100*Calculateur!BN100*VLOOKUP('Données projet'!$B$11,Paramètres!$A$1:$I$89,3,0)*0.475*44/12</f>
        <v>23.662735716549808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29.679716246473522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289.07218105343333</v>
      </c>
      <c r="CE100" s="59">
        <f t="shared" si="94"/>
        <v>217.57508587672368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118.57706958389696</v>
      </c>
      <c r="CL100" s="21">
        <f>EXP(-LN(2)/25)*CL99+(1-EXP(-LN(2)/25))/(LN(2)/25)*Calculateur!CG100*Calculateur!CI100*VLOOKUP('Données projet'!$B$12,Paramètres!$A$1:$I$89,3,0)*0.475*44/12</f>
        <v>46.507493210912656</v>
      </c>
      <c r="CM100" s="21">
        <f>EXP(-LN(2)/2)*CM99+(1-EXP(-LN(2)/2))/(LN(2)/2)*CG100*CJ100*VLOOKUP('Données projet'!$B$12,Paramètres!$A$1:$I$89,3,0)*0.475*44/12</f>
        <v>0.21411525351195304</v>
      </c>
      <c r="CN100" s="22">
        <f t="shared" si="66"/>
        <v>165.29867804832156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1.7053025658242404E-13</v>
      </c>
      <c r="CU100" s="17">
        <f>CT100*VLOOKUP('Données projet'!$B$13,Paramètres!$A$1:$I$89,3,0)*VLOOKUP('Données projet'!$B$13,Paramètres!$A$1:$I$89,5,0)</f>
        <v>1.4897523215040567E-13</v>
      </c>
      <c r="CV100" s="13">
        <f t="shared" si="95"/>
        <v>2.136562777003313E-12</v>
      </c>
      <c r="CW100" s="20">
        <f t="shared" si="67"/>
        <v>3.9806453659427267E-12</v>
      </c>
      <c r="CX100" s="59">
        <f t="shared" si="68"/>
        <v>293.33333333333729</v>
      </c>
      <c r="CY100" s="59">
        <f ca="1">AVERAGE(OFFSET($CX$3,0,0,'Données projet'!$E$13+1,1))-AVERAGE(OFFSET($H$3,0,0,'Données projet'!$E$13+1,1))</f>
        <v>237.8483058552178</v>
      </c>
      <c r="CZ100" s="59">
        <f t="shared" si="96"/>
        <v>313.36201272119723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51.355919991287692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3.5554393214289196E-3</v>
      </c>
      <c r="DI100" s="22">
        <f t="shared" si="69"/>
        <v>51.359475430609123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5.7</v>
      </c>
      <c r="DO100" s="12">
        <f>IF('Données projet'!$A$166&gt;35,DO99+DN100-DW99,IF(A100&lt;'Données projet'!$A$166,$DL$205^A100,IF(A100='Données projet'!$A$166,'Données projet'!$B$166,DO99+DN100-DW99)))</f>
        <v>227.79999999999995</v>
      </c>
      <c r="DP100" s="17">
        <f>DO100*VLOOKUP('Données projet'!$B$14,Paramètres!$A$1:$I$89,3,0)*VLOOKUP('Données projet'!$B$14,Paramètres!$A$1:$I$89,5,0)</f>
        <v>220.32815999999994</v>
      </c>
      <c r="DQ100" s="13">
        <f t="shared" si="97"/>
        <v>54.186203486792131</v>
      </c>
      <c r="DR100" s="20">
        <f t="shared" si="70"/>
        <v>478.11251640616291</v>
      </c>
      <c r="DS100" s="59">
        <f t="shared" si="71"/>
        <v>771.44584973949623</v>
      </c>
      <c r="DT100" s="59">
        <f ca="1">AVERAGE(OFFSET($DS$3,0,0,'Données projet'!$E$14+1,1))-AVERAGE(OFFSET($H$3,0,0,'Données projet'!$E$14+1,1))</f>
        <v>325.01961068962373</v>
      </c>
      <c r="DU100" s="59">
        <f t="shared" si="98"/>
        <v>155.12737608540039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5.7392737362349271</v>
      </c>
      <c r="EB100" s="21">
        <f>EXP(-LN(2)/25)*EB99+(1-EXP(-LN(2)/25))/(LN(2)/25)*Calculateur!DW100*Calculateur!DY100*VLOOKUP('Données projet'!$B$14,Paramètres!$A$1:$I$89,3,0)*0.475*44/12</f>
        <v>22.57060945270905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28.309883188943978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-1.7053025658242404E-13</v>
      </c>
      <c r="EK100" s="17">
        <f>EJ100*VLOOKUP('Données projet'!$B$15,Paramètres!$A$1:$I$89,3,0)*VLOOKUP('Données projet'!$B$15,Paramètres!$A$1:$I$89,5,0)</f>
        <v>-1.1439169611549005E-13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178.09619481964575</v>
      </c>
      <c r="EP100" s="59">
        <f t="shared" si="100"/>
        <v>178.65167777495174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63.925808952509513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9.6911111179380172E-2</v>
      </c>
      <c r="EY100" s="22">
        <f t="shared" si="75"/>
        <v>64.022720063688894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-1.7053025658242404E-13</v>
      </c>
      <c r="FF100" s="17">
        <f>FE100*VLOOKUP('Données projet'!$B$16,Paramètres!$A$1:$I$89,3,0)*VLOOKUP('Données projet'!$B$16,Paramètres!$A$1:$I$89,5,0)</f>
        <v>-1.3567387213697657E-13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219.43439115440339</v>
      </c>
      <c r="FK100" s="59">
        <f t="shared" si="102"/>
        <v>217.8880462742099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75.818982711115908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0.11494108535228818</v>
      </c>
      <c r="FT100" s="22">
        <f t="shared" si="78"/>
        <v>75.933923796468193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191.77102466144095</v>
      </c>
      <c r="GF100" s="59">
        <f t="shared" si="104"/>
        <v>205.57161411620217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55.854665867622494</v>
      </c>
      <c r="GM100" s="21">
        <f>EXP(-LN(2)/25)*GM99+(1-EXP(-LN(2)/25))/(LN(2)/25)*Calculateur!GH100*Calculateur!GJ100*VLOOKUP('Données projet'!$B$17,Paramètres!$A$1:$I$89,3,0)*0.475*44/12</f>
        <v>8.7153337518313432</v>
      </c>
      <c r="GN100" s="21">
        <f>EXP(-LN(2)/2)*GN99+(1-EXP(-LN(2)/2))/(LN(2)/2)*GH100*GK100*VLOOKUP('Données projet'!$B$17,Paramètres!$A$1:$I$89,3,0)*0.475*44/12</f>
        <v>1.1588983102832207E-4</v>
      </c>
      <c r="GO100" s="21">
        <f t="shared" si="81"/>
        <v>64.570115509284861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84.31577618130467</v>
      </c>
      <c r="T101" s="59">
        <f t="shared" si="88"/>
        <v>527.2140904310653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31.805340106003179</v>
      </c>
      <c r="AA101" s="21">
        <f>EXP(-LN(2)/25)*AA100+(1-EXP(-LN(2)/25))/(LN(2)/25)*Calculateur!V101*Calculateur!X101*VLOOKUP('Données projet'!$B$9,Paramètres!$A$1:$I$89,3,0)*0.475*44/12</f>
        <v>5.3495729544727464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37.154913060475927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5.7</v>
      </c>
      <c r="AI101" s="13">
        <f>IF('Données projet'!$A$62&gt;35,AI100+AH101-AQ100,IF(A101&lt;'Données projet'!$A$62,$AF$205^A101,IF(A101='Données projet'!$A$62,'Données projet'!$B$62,AI100+AH101-AQ100)))</f>
        <v>233.49999999999994</v>
      </c>
      <c r="AJ101" s="13">
        <f>AI101*VLOOKUP('Données projet'!$B$10,Paramètres!$A$1:$I$89,3,0)*VLOOKUP('Données projet'!$B$10,Paramètres!$A$1:$I$89,5,0)</f>
        <v>211.27079999999992</v>
      </c>
      <c r="AK101" s="13">
        <f t="shared" si="89"/>
        <v>52.213189886050465</v>
      </c>
      <c r="AL101" s="20">
        <f t="shared" si="58"/>
        <v>458.90128238487108</v>
      </c>
      <c r="AM101" s="59">
        <f t="shared" si="59"/>
        <v>752.2346157182044</v>
      </c>
      <c r="AN101" s="59">
        <f ca="1">AVERAGE(OFFSET($AM$3,0,0,'Données projet'!$E$10+1,1))-AVERAGE(OFFSET($H$3,0,0,'Données projet'!$E$10+1,1))</f>
        <v>297.90790572649428</v>
      </c>
      <c r="AO101" s="59">
        <f t="shared" si="90"/>
        <v>142.96889776844506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5.2637152350800562</v>
      </c>
      <c r="AV101" s="21">
        <f>EXP(-LN(2)/25)*AV100+(1-EXP(-LN(2)/25))/(LN(2)/25)*Calculateur!AQ101*Calculateur!AS101*VLOOKUP('Données projet'!$B$10,Paramètres!$A$1:$I$89,3,0)*0.475*44/12</f>
        <v>20.537065598656472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25.800780833736528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5.7</v>
      </c>
      <c r="BD101" s="12">
        <f>IF('Données projet'!$A$88&gt;35,BD100+BC101-BL100,IF(A101&lt;'Données projet'!$A$88,$BA$205^A101,IF(A101='Données projet'!$A$88,'Données projet'!$B$88,BD100+BC101-BL100)))</f>
        <v>233.49999999999994</v>
      </c>
      <c r="BE101" s="13">
        <f>BD101*VLOOKUP('Données projet'!$B$11,Paramètres!$A$1:$I$89,3,0)*VLOOKUP('Données projet'!$B$11,Paramètres!$A$1:$I$89,5,0)</f>
        <v>236.76899999999998</v>
      </c>
      <c r="BF101" s="13">
        <f t="shared" si="91"/>
        <v>57.743817670163907</v>
      </c>
      <c r="BG101" s="20">
        <f t="shared" si="61"/>
        <v>512.94315744220205</v>
      </c>
      <c r="BH101" s="59">
        <f t="shared" si="62"/>
        <v>806.27649077553542</v>
      </c>
      <c r="BI101" s="59">
        <f ca="1">AVERAGE(OFFSET($BH$3,0,0,'Données projet'!$E$11+1,1))-AVERAGE(OFFSET($H$3,0,0,'Données projet'!$E$11+1,1))</f>
        <v>345.3294887586967</v>
      </c>
      <c r="BJ101" s="59">
        <f t="shared" si="92"/>
        <v>164.23448598618114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5.8989912117276502</v>
      </c>
      <c r="BQ101" s="21">
        <f>EXP(-LN(2)/25)*BQ100+(1-EXP(-LN(2)/25))/(LN(2)/25)*Calculateur!BL101*Calculateur!BN101*VLOOKUP('Données projet'!$B$11,Paramètres!$A$1:$I$89,3,0)*0.475*44/12</f>
        <v>23.015676964011565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28.914668175739216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289.07218105343333</v>
      </c>
      <c r="CE101" s="59">
        <f t="shared" si="94"/>
        <v>217.57508587672368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116.2518455742277</v>
      </c>
      <c r="CL101" s="21">
        <f>EXP(-LN(2)/25)*CL100+(1-EXP(-LN(2)/25))/(LN(2)/25)*Calculateur!CG101*Calculateur!CI101*VLOOKUP('Données projet'!$B$12,Paramètres!$A$1:$I$89,3,0)*0.475*44/12</f>
        <v>45.235743363337477</v>
      </c>
      <c r="CM101" s="21">
        <f>EXP(-LN(2)/2)*CM100+(1-EXP(-LN(2)/2))/(LN(2)/2)*CG101*CJ101*VLOOKUP('Données projet'!$B$12,Paramètres!$A$1:$I$89,3,0)*0.475*44/12</f>
        <v>0.15140234771377875</v>
      </c>
      <c r="CN101" s="22">
        <f t="shared" si="66"/>
        <v>161.63899128527896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1.7053025658242404E-13</v>
      </c>
      <c r="CU101" s="17">
        <f>CT101*VLOOKUP('Données projet'!$B$13,Paramètres!$A$1:$I$89,3,0)*VLOOKUP('Données projet'!$B$13,Paramètres!$A$1:$I$89,5,0)</f>
        <v>1.4897523215040567E-13</v>
      </c>
      <c r="CV101" s="13">
        <f t="shared" si="95"/>
        <v>2.136562777003313E-12</v>
      </c>
      <c r="CW101" s="20">
        <f t="shared" si="67"/>
        <v>3.9806453659427267E-12</v>
      </c>
      <c r="CX101" s="59">
        <f t="shared" si="68"/>
        <v>293.33333333333729</v>
      </c>
      <c r="CY101" s="59">
        <f ca="1">AVERAGE(OFFSET($CX$3,0,0,'Données projet'!$E$13+1,1))-AVERAGE(OFFSET($H$3,0,0,'Données projet'!$E$13+1,1))</f>
        <v>237.8483058552178</v>
      </c>
      <c r="CZ101" s="59">
        <f t="shared" si="96"/>
        <v>313.36201272119723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50.348861724276745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2.514075254279686E-3</v>
      </c>
      <c r="DI101" s="22">
        <f t="shared" si="69"/>
        <v>50.351375799531027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5.7</v>
      </c>
      <c r="DO101" s="12">
        <f>IF('Données projet'!$A$166&gt;35,DO100+DN101-DW100,IF(A101&lt;'Données projet'!$A$166,$DL$205^A101,IF(A101='Données projet'!$A$166,'Données projet'!$B$166,DO100+DN101-DW100)))</f>
        <v>233.49999999999994</v>
      </c>
      <c r="DP101" s="17">
        <f>DO101*VLOOKUP('Données projet'!$B$14,Paramètres!$A$1:$I$89,3,0)*VLOOKUP('Données projet'!$B$14,Paramètres!$A$1:$I$89,5,0)</f>
        <v>225.84119999999993</v>
      </c>
      <c r="DQ101" s="13">
        <f t="shared" si="97"/>
        <v>55.382498998249922</v>
      </c>
      <c r="DR101" s="20">
        <f t="shared" si="70"/>
        <v>489.7979424219518</v>
      </c>
      <c r="DS101" s="59">
        <f t="shared" si="71"/>
        <v>783.13127575528506</v>
      </c>
      <c r="DT101" s="59">
        <f ca="1">AVERAGE(OFFSET($DS$3,0,0,'Données projet'!$E$14+1,1))-AVERAGE(OFFSET($H$3,0,0,'Données projet'!$E$14+1,1))</f>
        <v>325.01961068962373</v>
      </c>
      <c r="DU101" s="59">
        <f t="shared" si="98"/>
        <v>155.12737608540039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5.6267300788786825</v>
      </c>
      <c r="EB101" s="21">
        <f>EXP(-LN(2)/25)*EB100+(1-EXP(-LN(2)/25))/(LN(2)/25)*Calculateur!DW101*Calculateur!DY101*VLOOKUP('Données projet'!$B$14,Paramètres!$A$1:$I$89,3,0)*0.475*44/12</f>
        <v>21.953414950287957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27.580145029166641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-1.7053025658242404E-13</v>
      </c>
      <c r="EK101" s="17">
        <f>EJ101*VLOOKUP('Données projet'!$B$15,Paramètres!$A$1:$I$89,3,0)*VLOOKUP('Données projet'!$B$15,Paramètres!$A$1:$I$89,5,0)</f>
        <v>-1.1439169611549005E-13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178.09619481964575</v>
      </c>
      <c r="EP101" s="59">
        <f t="shared" si="100"/>
        <v>178.65167777495174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62.672262829844229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6.8526503887263154E-2</v>
      </c>
      <c r="EY101" s="22">
        <f t="shared" si="75"/>
        <v>62.740789333731492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-1.7053025658242404E-13</v>
      </c>
      <c r="FF101" s="17">
        <f>FE101*VLOOKUP('Données projet'!$B$16,Paramètres!$A$1:$I$89,3,0)*VLOOKUP('Données projet'!$B$16,Paramètres!$A$1:$I$89,5,0)</f>
        <v>-1.3567387213697657E-13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219.43439115440339</v>
      </c>
      <c r="FK101" s="59">
        <f t="shared" si="102"/>
        <v>217.8880462742099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74.332218705164067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8.1275620889544722E-2</v>
      </c>
      <c r="FT101" s="22">
        <f t="shared" si="78"/>
        <v>74.413494326053609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191.77102466144095</v>
      </c>
      <c r="GF101" s="59">
        <f t="shared" si="104"/>
        <v>205.57161411620217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54.759389937940661</v>
      </c>
      <c r="GM101" s="21">
        <f>EXP(-LN(2)/25)*GM100+(1-EXP(-LN(2)/25))/(LN(2)/25)*Calculateur!GH101*Calculateur!GJ101*VLOOKUP('Données projet'!$B$17,Paramètres!$A$1:$I$89,3,0)*0.475*44/12</f>
        <v>8.4770124920680328</v>
      </c>
      <c r="GN101" s="21">
        <f>EXP(-LN(2)/2)*GN100+(1-EXP(-LN(2)/2))/(LN(2)/2)*GH101*GK101*VLOOKUP('Données projet'!$B$17,Paramètres!$A$1:$I$89,3,0)*0.475*44/12</f>
        <v>8.194648539068971E-5</v>
      </c>
      <c r="GO101" s="21">
        <f t="shared" si="81"/>
        <v>63.236484376494083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84.31577618130467</v>
      </c>
      <c r="T102" s="59">
        <f t="shared" si="88"/>
        <v>527.2140904310653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31.181656785866394</v>
      </c>
      <c r="AA102" s="21">
        <f>EXP(-LN(2)/25)*AA101+(1-EXP(-LN(2)/25))/(LN(2)/25)*Calculateur!V102*Calculateur!X102*VLOOKUP('Données projet'!$B$9,Paramètres!$A$1:$I$89,3,0)*0.475*44/12</f>
        <v>5.2032886007108745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36.384945386577272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5.7</v>
      </c>
      <c r="AI102" s="13">
        <f>IF('Données projet'!$A$62&gt;35,AI101+AH102-AQ101,IF(A102&lt;'Données projet'!$A$62,$AF$205^A102,IF(A102='Données projet'!$A$62,'Données projet'!$B$62,AI101+AH102-AQ101)))</f>
        <v>239.19999999999993</v>
      </c>
      <c r="AJ102" s="13">
        <f>AI102*VLOOKUP('Données projet'!$B$10,Paramètres!$A$1:$I$89,3,0)*VLOOKUP('Données projet'!$B$10,Paramètres!$A$1:$I$89,5,0)</f>
        <v>216.42815999999993</v>
      </c>
      <c r="AK102" s="13">
        <f t="shared" si="89"/>
        <v>53.337825916536346</v>
      </c>
      <c r="AL102" s="20">
        <f t="shared" si="58"/>
        <v>469.84242547130066</v>
      </c>
      <c r="AM102" s="59">
        <f t="shared" si="59"/>
        <v>763.17575880463392</v>
      </c>
      <c r="AN102" s="59">
        <f ca="1">AVERAGE(OFFSET($AM$3,0,0,'Données projet'!$E$10+1,1))-AVERAGE(OFFSET($H$3,0,0,'Données projet'!$E$10+1,1))</f>
        <v>297.90790572649428</v>
      </c>
      <c r="AO102" s="59">
        <f t="shared" si="90"/>
        <v>142.96889776844506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5.1604969898694142</v>
      </c>
      <c r="AV102" s="21">
        <f>EXP(-LN(2)/25)*AV101+(1-EXP(-LN(2)/25))/(LN(2)/25)*Calculateur!AQ102*Calculateur!AS102*VLOOKUP('Données projet'!$B$10,Paramètres!$A$1:$I$89,3,0)*0.475*44/12</f>
        <v>19.975478459863869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25.135975449733284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5.7</v>
      </c>
      <c r="BD102" s="12">
        <f>IF('Données projet'!$A$88&gt;35,BD101+BC102-BL101,IF(A102&lt;'Données projet'!$A$88,$BA$205^A102,IF(A102='Données projet'!$A$88,'Données projet'!$B$88,BD101+BC102-BL101)))</f>
        <v>239.19999999999993</v>
      </c>
      <c r="BE102" s="13">
        <f>BD102*VLOOKUP('Données projet'!$B$11,Paramètres!$A$1:$I$89,3,0)*VLOOKUP('Données projet'!$B$11,Paramètres!$A$1:$I$89,5,0)</f>
        <v>242.54879999999994</v>
      </c>
      <c r="BF102" s="13">
        <f t="shared" si="91"/>
        <v>58.987579601419206</v>
      </c>
      <c r="BG102" s="20">
        <f t="shared" si="61"/>
        <v>525.17586113913831</v>
      </c>
      <c r="BH102" s="59">
        <f t="shared" si="62"/>
        <v>818.50919447247156</v>
      </c>
      <c r="BI102" s="59">
        <f ca="1">AVERAGE(OFFSET($BH$3,0,0,'Données projet'!$E$11+1,1))-AVERAGE(OFFSET($H$3,0,0,'Données projet'!$E$11+1,1))</f>
        <v>345.3294887586967</v>
      </c>
      <c r="BJ102" s="59">
        <f t="shared" si="92"/>
        <v>164.23448598618114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5.7833155920950343</v>
      </c>
      <c r="BQ102" s="21">
        <f>EXP(-LN(2)/25)*BQ101+(1-EXP(-LN(2)/25))/(LN(2)/25)*Calculateur!BL102*Calculateur!BN102*VLOOKUP('Données projet'!$B$11,Paramètres!$A$1:$I$89,3,0)*0.475*44/12</f>
        <v>22.38631206708882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28.169627659183853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289.07218105343333</v>
      </c>
      <c r="CE102" s="59">
        <f t="shared" si="94"/>
        <v>217.57508587672368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113.97221778914145</v>
      </c>
      <c r="CL102" s="21">
        <f>EXP(-LN(2)/25)*CL101+(1-EXP(-LN(2)/25))/(LN(2)/25)*Calculateur!CG102*Calculateur!CI102*VLOOKUP('Données projet'!$B$12,Paramètres!$A$1:$I$89,3,0)*0.475*44/12</f>
        <v>43.998769582222657</v>
      </c>
      <c r="CM102" s="21">
        <f>EXP(-LN(2)/2)*CM101+(1-EXP(-LN(2)/2))/(LN(2)/2)*CG102*CJ102*VLOOKUP('Données projet'!$B$12,Paramètres!$A$1:$I$89,3,0)*0.475*44/12</f>
        <v>0.10705762675597655</v>
      </c>
      <c r="CN102" s="22">
        <f t="shared" si="66"/>
        <v>158.07804499812011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1.7053025658242404E-13</v>
      </c>
      <c r="CU102" s="17">
        <f>CT102*VLOOKUP('Données projet'!$B$13,Paramètres!$A$1:$I$89,3,0)*VLOOKUP('Données projet'!$B$13,Paramètres!$A$1:$I$89,5,0)</f>
        <v>1.4897523215040567E-13</v>
      </c>
      <c r="CV102" s="13">
        <f t="shared" si="95"/>
        <v>2.136562777003313E-12</v>
      </c>
      <c r="CW102" s="20">
        <f t="shared" si="67"/>
        <v>3.9806453659427267E-12</v>
      </c>
      <c r="CX102" s="59">
        <f t="shared" si="68"/>
        <v>293.33333333333729</v>
      </c>
      <c r="CY102" s="59">
        <f ca="1">AVERAGE(OFFSET($CX$3,0,0,'Données projet'!$E$13+1,1))-AVERAGE(OFFSET($H$3,0,0,'Données projet'!$E$13+1,1))</f>
        <v>237.8483058552178</v>
      </c>
      <c r="CZ102" s="59">
        <f t="shared" si="96"/>
        <v>313.36201272119723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49.361551255636989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1.7777196607144598E-3</v>
      </c>
      <c r="DI102" s="22">
        <f t="shared" si="69"/>
        <v>49.363328975297705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5.7</v>
      </c>
      <c r="DO102" s="12">
        <f>IF('Données projet'!$A$166&gt;35,DO101+DN102-DW101,IF(A102&lt;'Données projet'!$A$166,$DL$205^A102,IF(A102='Données projet'!$A$166,'Données projet'!$B$166,DO101+DN102-DW101)))</f>
        <v>239.19999999999993</v>
      </c>
      <c r="DP102" s="17">
        <f>DO102*VLOOKUP('Données projet'!$B$14,Paramètres!$A$1:$I$89,3,0)*VLOOKUP('Données projet'!$B$14,Paramètres!$A$1:$I$89,5,0)</f>
        <v>231.35423999999992</v>
      </c>
      <c r="DQ102" s="13">
        <f t="shared" si="97"/>
        <v>56.575399756999062</v>
      </c>
      <c r="DR102" s="20">
        <f t="shared" si="70"/>
        <v>501.47745591010658</v>
      </c>
      <c r="DS102" s="59">
        <f t="shared" si="71"/>
        <v>794.8107892434399</v>
      </c>
      <c r="DT102" s="59">
        <f ca="1">AVERAGE(OFFSET($DS$3,0,0,'Données projet'!$E$14+1,1))-AVERAGE(OFFSET($H$3,0,0,'Données projet'!$E$14+1,1))</f>
        <v>325.01961068962373</v>
      </c>
      <c r="DU102" s="59">
        <f t="shared" si="98"/>
        <v>155.12737608540039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5.5163933339983409</v>
      </c>
      <c r="EB102" s="21">
        <f>EXP(-LN(2)/25)*EB101+(1-EXP(-LN(2)/25))/(LN(2)/25)*Calculateur!DW102*Calculateur!DY102*VLOOKUP('Données projet'!$B$14,Paramètres!$A$1:$I$89,3,0)*0.475*44/12</f>
        <v>21.353097663992415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26.869490997990756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-1.7053025658242404E-13</v>
      </c>
      <c r="EK102" s="17">
        <f>EJ102*VLOOKUP('Données projet'!$B$15,Paramètres!$A$1:$I$89,3,0)*VLOOKUP('Données projet'!$B$15,Paramètres!$A$1:$I$89,5,0)</f>
        <v>-1.1439169611549005E-13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178.09619481964575</v>
      </c>
      <c r="EP102" s="59">
        <f t="shared" si="100"/>
        <v>178.65167777495174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61.443297982056777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4.8455555589690086E-2</v>
      </c>
      <c r="EY102" s="22">
        <f t="shared" si="75"/>
        <v>61.491753537646467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-1.7053025658242404E-13</v>
      </c>
      <c r="FF102" s="17">
        <f>FE102*VLOOKUP('Données projet'!$B$16,Paramètres!$A$1:$I$89,3,0)*VLOOKUP('Données projet'!$B$16,Paramètres!$A$1:$I$89,5,0)</f>
        <v>-1.3567387213697657E-13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219.43439115440339</v>
      </c>
      <c r="FK102" s="59">
        <f t="shared" si="102"/>
        <v>217.8880462742099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72.874609234532443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5.7470542676144092E-2</v>
      </c>
      <c r="FT102" s="22">
        <f t="shared" si="78"/>
        <v>72.932079777208585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191.77102466144095</v>
      </c>
      <c r="GF102" s="59">
        <f t="shared" si="104"/>
        <v>205.57161411620217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53.685591701187541</v>
      </c>
      <c r="GM102" s="21">
        <f>EXP(-LN(2)/25)*GM101+(1-EXP(-LN(2)/25))/(LN(2)/25)*Calculateur!GH102*Calculateur!GJ102*VLOOKUP('Données projet'!$B$17,Paramètres!$A$1:$I$89,3,0)*0.475*44/12</f>
        <v>8.2452081396857206</v>
      </c>
      <c r="GN102" s="21">
        <f>EXP(-LN(2)/2)*GN101+(1-EXP(-LN(2)/2))/(LN(2)/2)*GH102*GK102*VLOOKUP('Données projet'!$B$17,Paramètres!$A$1:$I$89,3,0)*0.475*44/12</f>
        <v>5.7944915514161043E-5</v>
      </c>
      <c r="GO102" s="21">
        <f t="shared" si="81"/>
        <v>61.930857785788774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84.31577618130467</v>
      </c>
      <c r="T103" s="59">
        <f t="shared" si="88"/>
        <v>527.2140904310653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30.570203515228229</v>
      </c>
      <c r="AA103" s="21">
        <f>EXP(-LN(2)/25)*AA102+(1-EXP(-LN(2)/25))/(LN(2)/25)*Calculateur!V103*Calculateur!X103*VLOOKUP('Données projet'!$B$9,Paramètres!$A$1:$I$89,3,0)*0.475*44/12</f>
        <v>5.0610044002953805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35.631207915523611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5.7</v>
      </c>
      <c r="AI103" s="13">
        <f>IF('Données projet'!$A$62&gt;35,AI102+AH103-AQ102,IF(A103&lt;'Données projet'!$A$62,$AF$205^A103,IF(A103='Données projet'!$A$62,'Données projet'!$B$62,AI102+AH103-AQ102)))</f>
        <v>244.89999999999992</v>
      </c>
      <c r="AJ103" s="13">
        <f>AI103*VLOOKUP('Données projet'!$B$10,Paramètres!$A$1:$I$89,3,0)*VLOOKUP('Données projet'!$B$10,Paramètres!$A$1:$I$89,5,0)</f>
        <v>221.58551999999992</v>
      </c>
      <c r="AK103" s="13">
        <f t="shared" si="89"/>
        <v>54.459346503207058</v>
      </c>
      <c r="AL103" s="20">
        <f t="shared" si="58"/>
        <v>480.77814249308557</v>
      </c>
      <c r="AM103" s="59">
        <f t="shared" si="59"/>
        <v>774.11147582641888</v>
      </c>
      <c r="AN103" s="59">
        <f ca="1">AVERAGE(OFFSET($AM$3,0,0,'Données projet'!$E$10+1,1))-AVERAGE(OFFSET($H$3,0,0,'Données projet'!$E$10+1,1))</f>
        <v>297.90790572649428</v>
      </c>
      <c r="AO103" s="59">
        <f t="shared" si="90"/>
        <v>142.96889776844506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5.05930279149044</v>
      </c>
      <c r="AV103" s="21">
        <f>EXP(-LN(2)/25)*AV102+(1-EXP(-LN(2)/25))/(LN(2)/25)*Calculateur!AQ103*Calculateur!AS103*VLOOKUP('Données projet'!$B$10,Paramètres!$A$1:$I$89,3,0)*0.475*44/12</f>
        <v>19.429247950914135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24.488550742404577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5.7</v>
      </c>
      <c r="BD103" s="12">
        <f>IF('Données projet'!$A$88&gt;35,BD102+BC103-BL102,IF(A103&lt;'Données projet'!$A$88,$BA$205^A103,IF(A103='Données projet'!$A$88,'Données projet'!$B$88,BD102+BC103-BL102)))</f>
        <v>244.89999999999992</v>
      </c>
      <c r="BE103" s="13">
        <f>BD103*VLOOKUP('Données projet'!$B$11,Paramètres!$A$1:$I$89,3,0)*VLOOKUP('Données projet'!$B$11,Paramètres!$A$1:$I$89,5,0)</f>
        <v>248.32859999999991</v>
      </c>
      <c r="BF103" s="13">
        <f t="shared" si="91"/>
        <v>60.227896088716427</v>
      </c>
      <c r="BG103" s="20">
        <f t="shared" si="61"/>
        <v>537.40256402118098</v>
      </c>
      <c r="BH103" s="59">
        <f t="shared" si="62"/>
        <v>830.73589735451424</v>
      </c>
      <c r="BI103" s="59">
        <f ca="1">AVERAGE(OFFSET($BH$3,0,0,'Données projet'!$E$11+1,1))-AVERAGE(OFFSET($H$3,0,0,'Données projet'!$E$11+1,1))</f>
        <v>345.3294887586967</v>
      </c>
      <c r="BJ103" s="59">
        <f t="shared" si="92"/>
        <v>164.23448598618114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5.6699083008082525</v>
      </c>
      <c r="BQ103" s="21">
        <f>EXP(-LN(2)/25)*BQ102+(1-EXP(-LN(2)/25))/(LN(2)/25)*Calculateur!BL103*Calculateur!BN103*VLOOKUP('Données projet'!$B$11,Paramètres!$A$1:$I$89,3,0)*0.475*44/12</f>
        <v>21.77415718636929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27.444065487177543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289.07218105343333</v>
      </c>
      <c r="CE103" s="59">
        <f t="shared" si="94"/>
        <v>217.57508587672368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111.73729211448509</v>
      </c>
      <c r="CL103" s="21">
        <f>EXP(-LN(2)/25)*CL102+(1-EXP(-LN(2)/25))/(LN(2)/25)*Calculateur!CG103*Calculateur!CI103*VLOOKUP('Données projet'!$B$12,Paramètres!$A$1:$I$89,3,0)*0.475*44/12</f>
        <v>42.795620914202047</v>
      </c>
      <c r="CM103" s="21">
        <f>EXP(-LN(2)/2)*CM102+(1-EXP(-LN(2)/2))/(LN(2)/2)*CG103*CJ103*VLOOKUP('Données projet'!$B$12,Paramètres!$A$1:$I$89,3,0)*0.475*44/12</f>
        <v>7.5701173856889389E-2</v>
      </c>
      <c r="CN103" s="22">
        <f t="shared" si="66"/>
        <v>154.608614202544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1.7053025658242404E-13</v>
      </c>
      <c r="CU103" s="17">
        <f>CT103*VLOOKUP('Données projet'!$B$13,Paramètres!$A$1:$I$89,3,0)*VLOOKUP('Données projet'!$B$13,Paramètres!$A$1:$I$89,5,0)</f>
        <v>1.4897523215040567E-13</v>
      </c>
      <c r="CV103" s="13">
        <f t="shared" si="95"/>
        <v>2.136562777003313E-12</v>
      </c>
      <c r="CW103" s="20">
        <f t="shared" si="67"/>
        <v>3.9806453659427267E-12</v>
      </c>
      <c r="CX103" s="59">
        <f t="shared" si="68"/>
        <v>293.33333333333729</v>
      </c>
      <c r="CY103" s="59">
        <f ca="1">AVERAGE(OFFSET($CX$3,0,0,'Données projet'!$E$13+1,1))-AVERAGE(OFFSET($H$3,0,0,'Données projet'!$E$13+1,1))</f>
        <v>237.8483058552178</v>
      </c>
      <c r="CZ103" s="59">
        <f t="shared" si="96"/>
        <v>313.36201272119723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48.39360134308734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1.257037627139843E-3</v>
      </c>
      <c r="DI103" s="22">
        <f t="shared" si="69"/>
        <v>48.394858380714481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5.7</v>
      </c>
      <c r="DO103" s="12">
        <f>IF('Données projet'!$A$166&gt;35,DO102+DN103-DW102,IF(A103&lt;'Données projet'!$A$166,$DL$205^A103,IF(A103='Données projet'!$A$166,'Données projet'!$B$166,DO102+DN103-DW102)))</f>
        <v>244.89999999999992</v>
      </c>
      <c r="DP103" s="17">
        <f>DO103*VLOOKUP('Données projet'!$B$14,Paramètres!$A$1:$I$89,3,0)*VLOOKUP('Données projet'!$B$14,Paramètres!$A$1:$I$89,5,0)</f>
        <v>236.86727999999991</v>
      </c>
      <c r="DQ103" s="13">
        <f t="shared" si="97"/>
        <v>57.764995966373824</v>
      </c>
      <c r="DR103" s="20">
        <f t="shared" si="70"/>
        <v>513.15121397476764</v>
      </c>
      <c r="DS103" s="59">
        <f t="shared" si="71"/>
        <v>806.4845473081009</v>
      </c>
      <c r="DT103" s="59">
        <f ca="1">AVERAGE(OFFSET($DS$3,0,0,'Données projet'!$E$14+1,1))-AVERAGE(OFFSET($H$3,0,0,'Données projet'!$E$14+1,1))</f>
        <v>325.01961068962373</v>
      </c>
      <c r="DU103" s="59">
        <f t="shared" si="98"/>
        <v>155.12737608540039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5.4082202253863336</v>
      </c>
      <c r="EB103" s="21">
        <f>EXP(-LN(2)/25)*EB102+(1-EXP(-LN(2)/25))/(LN(2)/25)*Calculateur!DW103*Calculateur!DY103*VLOOKUP('Données projet'!$B$14,Paramètres!$A$1:$I$89,3,0)*0.475*44/12</f>
        <v>20.769196085459939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26.177416310846272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-1.7053025658242404E-13</v>
      </c>
      <c r="EK103" s="17">
        <f>EJ103*VLOOKUP('Données projet'!$B$15,Paramètres!$A$1:$I$89,3,0)*VLOOKUP('Données projet'!$B$15,Paramètres!$A$1:$I$89,5,0)</f>
        <v>-1.1439169611549005E-13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178.09619481964575</v>
      </c>
      <c r="EP103" s="59">
        <f t="shared" si="100"/>
        <v>178.65167777495174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60.238432385339891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3.4263251943631577E-2</v>
      </c>
      <c r="EY103" s="22">
        <f t="shared" si="75"/>
        <v>60.272695637283526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-1.7053025658242404E-13</v>
      </c>
      <c r="FF103" s="17">
        <f>FE103*VLOOKUP('Données projet'!$B$16,Paramètres!$A$1:$I$89,3,0)*VLOOKUP('Données projet'!$B$16,Paramètres!$A$1:$I$89,5,0)</f>
        <v>-1.3567387213697657E-13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219.43439115440339</v>
      </c>
      <c r="FK103" s="59">
        <f t="shared" si="102"/>
        <v>217.8880462742099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71.445582596565913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4.0637810444772361E-2</v>
      </c>
      <c r="FT103" s="22">
        <f t="shared" si="78"/>
        <v>71.486220407010691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191.77102466144095</v>
      </c>
      <c r="GF103" s="59">
        <f t="shared" si="104"/>
        <v>205.57161411620217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52.632849992904895</v>
      </c>
      <c r="GM103" s="21">
        <f>EXP(-LN(2)/25)*GM102+(1-EXP(-LN(2)/25))/(LN(2)/25)*Calculateur!GH103*Calculateur!GJ103*VLOOKUP('Données projet'!$B$17,Paramètres!$A$1:$I$89,3,0)*0.475*44/12</f>
        <v>8.0197424895093636</v>
      </c>
      <c r="GN103" s="21">
        <f>EXP(-LN(2)/2)*GN102+(1-EXP(-LN(2)/2))/(LN(2)/2)*GH103*GK103*VLOOKUP('Données projet'!$B$17,Paramètres!$A$1:$I$89,3,0)*0.475*44/12</f>
        <v>4.0973242695344862E-5</v>
      </c>
      <c r="GO103" s="21">
        <f t="shared" si="81"/>
        <v>60.652633455656954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84.31577618130467</v>
      </c>
      <c r="T104" s="59">
        <f t="shared" si="88"/>
        <v>527.2140904310653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29.970740470277612</v>
      </c>
      <c r="AA104" s="21">
        <f>EXP(-LN(2)/25)*AA103+(1-EXP(-LN(2)/25))/(LN(2)/25)*Calculateur!V104*Calculateur!X104*VLOOKUP('Données projet'!$B$9,Paramètres!$A$1:$I$89,3,0)*0.475*44/12</f>
        <v>4.9226109688226494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34.893351439100257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5.7</v>
      </c>
      <c r="AI104" s="13">
        <f>IF('Données projet'!$A$62&gt;35,AI103+AH104-AQ103,IF(A104&lt;'Données projet'!$A$62,$AF$205^A104,IF(A104='Données projet'!$A$62,'Données projet'!$B$62,AI103+AH104-AQ103)))</f>
        <v>250.59999999999991</v>
      </c>
      <c r="AJ104" s="13">
        <f>AI104*VLOOKUP('Données projet'!$B$10,Paramètres!$A$1:$I$89,3,0)*VLOOKUP('Données projet'!$B$10,Paramètres!$A$1:$I$89,5,0)</f>
        <v>226.7428799999999</v>
      </c>
      <c r="AK104" s="13">
        <f t="shared" si="89"/>
        <v>55.577832502933106</v>
      </c>
      <c r="AL104" s="20">
        <f t="shared" si="58"/>
        <v>491.70857427594166</v>
      </c>
      <c r="AM104" s="59">
        <f t="shared" si="59"/>
        <v>785.04190760927497</v>
      </c>
      <c r="AN104" s="59">
        <f ca="1">AVERAGE(OFFSET($AM$3,0,0,'Données projet'!$E$10+1,1))-AVERAGE(OFFSET($H$3,0,0,'Données projet'!$E$10+1,1))</f>
        <v>297.90790572649428</v>
      </c>
      <c r="AO104" s="59">
        <f t="shared" si="90"/>
        <v>142.96889776844506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4.9600929496193107</v>
      </c>
      <c r="AV104" s="21">
        <f>EXP(-LN(2)/25)*AV103+(1-EXP(-LN(2)/25))/(LN(2)/25)*Calculateur!AQ104*Calculateur!AS104*VLOOKUP('Données projet'!$B$10,Paramètres!$A$1:$I$89,3,0)*0.475*44/12</f>
        <v>18.897954143956646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23.858047093575955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5.7</v>
      </c>
      <c r="BD104" s="12">
        <f>IF('Données projet'!$A$88&gt;35,BD103+BC104-BL103,IF(A104&lt;'Données projet'!$A$88,$BA$205^A104,IF(A104='Données projet'!$A$88,'Données projet'!$B$88,BD103+BC104-BL103)))</f>
        <v>250.59999999999991</v>
      </c>
      <c r="BE104" s="13">
        <f>BD104*VLOOKUP('Données projet'!$B$11,Paramètres!$A$1:$I$89,3,0)*VLOOKUP('Données projet'!$B$11,Paramètres!$A$1:$I$89,5,0)</f>
        <v>254.10839999999993</v>
      </c>
      <c r="BF104" s="13">
        <f t="shared" si="91"/>
        <v>61.464856553605912</v>
      </c>
      <c r="BG104" s="20">
        <f t="shared" si="61"/>
        <v>549.62342183086355</v>
      </c>
      <c r="BH104" s="59">
        <f t="shared" si="62"/>
        <v>842.95675516419692</v>
      </c>
      <c r="BI104" s="59">
        <f ca="1">AVERAGE(OFFSET($BH$3,0,0,'Données projet'!$E$11+1,1))-AVERAGE(OFFSET($H$3,0,0,'Données projet'!$E$11+1,1))</f>
        <v>345.3294887586967</v>
      </c>
      <c r="BJ104" s="59">
        <f t="shared" si="92"/>
        <v>164.23448598618114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5.5587248573319874</v>
      </c>
      <c r="BQ104" s="21">
        <f>EXP(-LN(2)/25)*BQ103+(1-EXP(-LN(2)/25))/(LN(2)/25)*Calculateur!BL104*Calculateur!BN104*VLOOKUP('Données projet'!$B$11,Paramètres!$A$1:$I$89,3,0)*0.475*44/12</f>
        <v>21.178741713054862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26.73746657038685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289.07218105343333</v>
      </c>
      <c r="CE104" s="59">
        <f t="shared" si="94"/>
        <v>217.57508587672368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109.54619196913868</v>
      </c>
      <c r="CL104" s="21">
        <f>EXP(-LN(2)/25)*CL103+(1-EXP(-LN(2)/25))/(LN(2)/25)*Calculateur!CG104*Calculateur!CI104*VLOOKUP('Données projet'!$B$12,Paramètres!$A$1:$I$89,3,0)*0.475*44/12</f>
        <v>41.625372409779295</v>
      </c>
      <c r="CM104" s="21">
        <f>EXP(-LN(2)/2)*CM103+(1-EXP(-LN(2)/2))/(LN(2)/2)*CG104*CJ104*VLOOKUP('Données projet'!$B$12,Paramètres!$A$1:$I$89,3,0)*0.475*44/12</f>
        <v>5.3528813377988281E-2</v>
      </c>
      <c r="CN104" s="22">
        <f t="shared" si="66"/>
        <v>151.22509319229596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1.7053025658242404E-13</v>
      </c>
      <c r="CU104" s="17">
        <f>CT104*VLOOKUP('Données projet'!$B$13,Paramètres!$A$1:$I$89,3,0)*VLOOKUP('Données projet'!$B$13,Paramètres!$A$1:$I$89,5,0)</f>
        <v>1.4897523215040567E-13</v>
      </c>
      <c r="CV104" s="13">
        <f t="shared" si="95"/>
        <v>2.136562777003313E-12</v>
      </c>
      <c r="CW104" s="20">
        <f t="shared" si="67"/>
        <v>3.9806453659427267E-12</v>
      </c>
      <c r="CX104" s="59">
        <f t="shared" si="68"/>
        <v>293.33333333333729</v>
      </c>
      <c r="CY104" s="59">
        <f ca="1">AVERAGE(OFFSET($CX$3,0,0,'Données projet'!$E$13+1,1))-AVERAGE(OFFSET($H$3,0,0,'Données projet'!$E$13+1,1))</f>
        <v>237.8483058552178</v>
      </c>
      <c r="CZ104" s="59">
        <f t="shared" si="96"/>
        <v>313.36201272119723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47.444632337931637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8.888598303572299E-4</v>
      </c>
      <c r="DI104" s="22">
        <f t="shared" si="69"/>
        <v>47.445521197761991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5.7</v>
      </c>
      <c r="DO104" s="12">
        <f>IF('Données projet'!$A$166&gt;35,DO103+DN104-DW103,IF(A104&lt;'Données projet'!$A$166,$DL$205^A104,IF(A104='Données projet'!$A$166,'Données projet'!$B$166,DO103+DN104-DW103)))</f>
        <v>250.59999999999991</v>
      </c>
      <c r="DP104" s="17">
        <f>DO104*VLOOKUP('Données projet'!$B$14,Paramètres!$A$1:$I$89,3,0)*VLOOKUP('Données projet'!$B$14,Paramètres!$A$1:$I$89,5,0)</f>
        <v>242.3803199999999</v>
      </c>
      <c r="DQ104" s="13">
        <f t="shared" si="97"/>
        <v>58.951373391207788</v>
      </c>
      <c r="DR104" s="20">
        <f t="shared" si="70"/>
        <v>524.81936598968673</v>
      </c>
      <c r="DS104" s="59">
        <f t="shared" si="71"/>
        <v>818.15269932301999</v>
      </c>
      <c r="DT104" s="59">
        <f ca="1">AVERAGE(OFFSET($DS$3,0,0,'Données projet'!$E$14+1,1))-AVERAGE(OFFSET($H$3,0,0,'Données projet'!$E$14+1,1))</f>
        <v>325.01961068962373</v>
      </c>
      <c r="DU104" s="59">
        <f t="shared" si="98"/>
        <v>155.12737608540039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5.3021683254551268</v>
      </c>
      <c r="EB104" s="21">
        <f>EXP(-LN(2)/25)*EB103+(1-EXP(-LN(2)/25))/(LN(2)/25)*Calculateur!DW104*Calculateur!DY104*VLOOKUP('Données projet'!$B$14,Paramètres!$A$1:$I$89,3,0)*0.475*44/12</f>
        <v>20.201261326298482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25.50342965175361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-1.7053025658242404E-13</v>
      </c>
      <c r="EK104" s="17">
        <f>EJ104*VLOOKUP('Données projet'!$B$15,Paramètres!$A$1:$I$89,3,0)*VLOOKUP('Données projet'!$B$15,Paramètres!$A$1:$I$89,5,0)</f>
        <v>-1.1439169611549005E-13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178.09619481964575</v>
      </c>
      <c r="EP104" s="59">
        <f t="shared" si="100"/>
        <v>178.65167777495174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59.057193468079177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2.4227777794845043E-2</v>
      </c>
      <c r="EY104" s="22">
        <f t="shared" si="75"/>
        <v>59.081421245874019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-1.7053025658242404E-13</v>
      </c>
      <c r="FF104" s="17">
        <f>FE104*VLOOKUP('Données projet'!$B$16,Paramètres!$A$1:$I$89,3,0)*VLOOKUP('Données projet'!$B$16,Paramètres!$A$1:$I$89,5,0)</f>
        <v>-1.3567387213697657E-13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219.43439115440339</v>
      </c>
      <c r="FK104" s="59">
        <f t="shared" si="102"/>
        <v>217.8880462742099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70.044578299349723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2.8735271338072046E-2</v>
      </c>
      <c r="FT104" s="22">
        <f t="shared" si="78"/>
        <v>70.073313570687802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191.77102466144095</v>
      </c>
      <c r="GF104" s="59">
        <f t="shared" si="104"/>
        <v>205.57161411620217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51.600751907412629</v>
      </c>
      <c r="GM104" s="21">
        <f>EXP(-LN(2)/25)*GM103+(1-EXP(-LN(2)/25))/(LN(2)/25)*Calculateur!GH104*Calculateur!GJ104*VLOOKUP('Données projet'!$B$17,Paramètres!$A$1:$I$89,3,0)*0.475*44/12</f>
        <v>7.8004422093938022</v>
      </c>
      <c r="GN104" s="21">
        <f>EXP(-LN(2)/2)*GN103+(1-EXP(-LN(2)/2))/(LN(2)/2)*GH104*GK104*VLOOKUP('Données projet'!$B$17,Paramètres!$A$1:$I$89,3,0)*0.475*44/12</f>
        <v>2.8972457757080528E-5</v>
      </c>
      <c r="GO104" s="21">
        <f t="shared" si="81"/>
        <v>59.401223089264185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84.31577618130467</v>
      </c>
      <c r="T105" s="59">
        <f t="shared" si="88"/>
        <v>527.2140904310653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29.383032530002119</v>
      </c>
      <c r="AA105" s="21">
        <f>EXP(-LN(2)/25)*AA104+(1-EXP(-LN(2)/25))/(LN(2)/25)*Calculateur!V105*Calculateur!X105*VLOOKUP('Données projet'!$B$9,Paramètres!$A$1:$I$89,3,0)*0.475*44/12</f>
        <v>4.7880019130113336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34.171034443013454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5.7</v>
      </c>
      <c r="AI105" s="13">
        <f>IF('Données projet'!$A$62&gt;35,AI104+AH105-AQ104,IF(A105&lt;'Données projet'!$A$62,$AF$205^A105,IF(A105='Données projet'!$A$62,'Données projet'!$B$62,AI104+AH105-AQ104)))</f>
        <v>256.2999999999999</v>
      </c>
      <c r="AJ105" s="13">
        <f>AI105*VLOOKUP('Données projet'!$B$10,Paramètres!$A$1:$I$89,3,0)*VLOOKUP('Données projet'!$B$10,Paramètres!$A$1:$I$89,5,0)</f>
        <v>231.90023999999991</v>
      </c>
      <c r="AK105" s="13">
        <f t="shared" si="89"/>
        <v>56.693360884405195</v>
      </c>
      <c r="AL105" s="20">
        <f t="shared" si="58"/>
        <v>502.63385487367213</v>
      </c>
      <c r="AM105" s="59">
        <f t="shared" si="59"/>
        <v>795.96718820700539</v>
      </c>
      <c r="AN105" s="59">
        <f ca="1">AVERAGE(OFFSET($AM$3,0,0,'Données projet'!$E$10+1,1))-AVERAGE(OFFSET($H$3,0,0,'Données projet'!$E$10+1,1))</f>
        <v>297.90790572649428</v>
      </c>
      <c r="AO105" s="59">
        <f t="shared" si="90"/>
        <v>142.96889776844506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4.8628285522352463</v>
      </c>
      <c r="AV105" s="21">
        <f>EXP(-LN(2)/25)*AV104+(1-EXP(-LN(2)/25))/(LN(2)/25)*Calculateur!AQ105*Calculateur!AS105*VLOOKUP('Données projet'!$B$10,Paramètres!$A$1:$I$89,3,0)*0.475*44/12</f>
        <v>18.381188594089934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23.244017146325181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5.7</v>
      </c>
      <c r="BD105" s="12">
        <f>IF('Données projet'!$A$88&gt;35,BD104+BC105-BL104,IF(A105&lt;'Données projet'!$A$88,$BA$205^A105,IF(A105='Données projet'!$A$88,'Données projet'!$B$88,BD104+BC105-BL104)))</f>
        <v>256.2999999999999</v>
      </c>
      <c r="BE105" s="13">
        <f>BD105*VLOOKUP('Données projet'!$B$11,Paramètres!$A$1:$I$89,3,0)*VLOOKUP('Données projet'!$B$11,Paramètres!$A$1:$I$89,5,0)</f>
        <v>259.88819999999993</v>
      </c>
      <c r="BF105" s="13">
        <f t="shared" si="91"/>
        <v>62.69854611760686</v>
      </c>
      <c r="BG105" s="20">
        <f t="shared" si="61"/>
        <v>561.83858282149833</v>
      </c>
      <c r="BH105" s="59">
        <f t="shared" si="62"/>
        <v>855.17191615483171</v>
      </c>
      <c r="BI105" s="59">
        <f ca="1">AVERAGE(OFFSET($BH$3,0,0,'Données projet'!$E$11+1,1))-AVERAGE(OFFSET($H$3,0,0,'Données projet'!$E$11+1,1))</f>
        <v>345.3294887586967</v>
      </c>
      <c r="BJ105" s="59">
        <f t="shared" si="92"/>
        <v>164.23448598618114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5.4497216533670869</v>
      </c>
      <c r="BQ105" s="21">
        <f>EXP(-LN(2)/25)*BQ104+(1-EXP(-LN(2)/25))/(LN(2)/25)*Calculateur!BL105*Calculateur!BN105*VLOOKUP('Données projet'!$B$11,Paramètres!$A$1:$I$89,3,0)*0.475*44/12</f>
        <v>20.599607907169755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26.04932956053684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289.07218105343333</v>
      </c>
      <c r="CE105" s="59">
        <f t="shared" si="94"/>
        <v>217.57508587672368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107.39805796120338</v>
      </c>
      <c r="CL105" s="21">
        <f>EXP(-LN(2)/25)*CL104+(1-EXP(-LN(2)/25))/(LN(2)/25)*Calculateur!CG105*Calculateur!CI105*VLOOKUP('Données projet'!$B$12,Paramètres!$A$1:$I$89,3,0)*0.475*44/12</f>
        <v>40.487124412250679</v>
      </c>
      <c r="CM105" s="21">
        <f>EXP(-LN(2)/2)*CM104+(1-EXP(-LN(2)/2))/(LN(2)/2)*CG105*CJ105*VLOOKUP('Données projet'!$B$12,Paramètres!$A$1:$I$89,3,0)*0.475*44/12</f>
        <v>3.7850586928444702E-2</v>
      </c>
      <c r="CN105" s="22">
        <f t="shared" si="66"/>
        <v>147.9230329603825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1.7053025658242404E-13</v>
      </c>
      <c r="CU105" s="17">
        <f>CT105*VLOOKUP('Données projet'!$B$13,Paramètres!$A$1:$I$89,3,0)*VLOOKUP('Données projet'!$B$13,Paramètres!$A$1:$I$89,5,0)</f>
        <v>1.4897523215040567E-13</v>
      </c>
      <c r="CV105" s="13">
        <f t="shared" si="95"/>
        <v>2.136562777003313E-12</v>
      </c>
      <c r="CW105" s="20">
        <f t="shared" si="67"/>
        <v>3.9806453659427267E-12</v>
      </c>
      <c r="CX105" s="59">
        <f t="shared" si="68"/>
        <v>293.33333333333729</v>
      </c>
      <c r="CY105" s="59">
        <f ca="1">AVERAGE(OFFSET($CX$3,0,0,'Données projet'!$E$13+1,1))-AVERAGE(OFFSET($H$3,0,0,'Données projet'!$E$13+1,1))</f>
        <v>237.8483058552178</v>
      </c>
      <c r="CZ105" s="59">
        <f t="shared" si="96"/>
        <v>313.36201272119723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46.514272036153095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6.285188135699215E-4</v>
      </c>
      <c r="DI105" s="22">
        <f t="shared" si="69"/>
        <v>46.514900554966665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5.7</v>
      </c>
      <c r="DO105" s="12">
        <f>IF('Données projet'!$A$166&gt;35,DO104+DN105-DW104,IF(A105&lt;'Données projet'!$A$166,$DL$205^A105,IF(A105='Données projet'!$A$166,'Données projet'!$B$166,DO104+DN105-DW104)))</f>
        <v>256.2999999999999</v>
      </c>
      <c r="DP105" s="17">
        <f>DO105*VLOOKUP('Données projet'!$B$14,Paramètres!$A$1:$I$89,3,0)*VLOOKUP('Données projet'!$B$14,Paramètres!$A$1:$I$89,5,0)</f>
        <v>247.89335999999992</v>
      </c>
      <c r="DQ105" s="13">
        <f t="shared" si="97"/>
        <v>60.134613672145086</v>
      </c>
      <c r="DR105" s="20">
        <f t="shared" si="70"/>
        <v>536.48205414565246</v>
      </c>
      <c r="DS105" s="59">
        <f t="shared" si="71"/>
        <v>829.81538747898571</v>
      </c>
      <c r="DT105" s="59">
        <f ca="1">AVERAGE(OFFSET($DS$3,0,0,'Données projet'!$E$14+1,1))-AVERAGE(OFFSET($H$3,0,0,'Données projet'!$E$14+1,1))</f>
        <v>325.01961068962373</v>
      </c>
      <c r="DU105" s="59">
        <f t="shared" si="98"/>
        <v>155.12737608540039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5.1981960385962989</v>
      </c>
      <c r="EB105" s="21">
        <f>EXP(-LN(2)/25)*EB104+(1-EXP(-LN(2)/25))/(LN(2)/25)*Calculateur!DW105*Calculateur!DY105*VLOOKUP('Données projet'!$B$14,Paramètres!$A$1:$I$89,3,0)*0.475*44/12</f>
        <v>19.648856772992687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24.847052811588988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-1.7053025658242404E-13</v>
      </c>
      <c r="EK105" s="17">
        <f>EJ105*VLOOKUP('Données projet'!$B$15,Paramètres!$A$1:$I$89,3,0)*VLOOKUP('Données projet'!$B$15,Paramètres!$A$1:$I$89,5,0)</f>
        <v>-1.1439169611549005E-13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178.09619481964575</v>
      </c>
      <c r="EP105" s="59">
        <f t="shared" si="100"/>
        <v>178.65167777495174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57.899117925501351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1.7131625971815789E-2</v>
      </c>
      <c r="EY105" s="22">
        <f t="shared" si="75"/>
        <v>57.916249551473165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-1.7053025658242404E-13</v>
      </c>
      <c r="FF105" s="17">
        <f>FE105*VLOOKUP('Données projet'!$B$16,Paramètres!$A$1:$I$89,3,0)*VLOOKUP('Données projet'!$B$16,Paramètres!$A$1:$I$89,5,0)</f>
        <v>-1.3567387213697657E-13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219.43439115440339</v>
      </c>
      <c r="FK105" s="59">
        <f t="shared" si="102"/>
        <v>217.8880462742099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68.671046841873689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2.0318905222386181E-2</v>
      </c>
      <c r="FT105" s="22">
        <f t="shared" si="78"/>
        <v>68.691365747096071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191.77102466144095</v>
      </c>
      <c r="GF105" s="59">
        <f t="shared" si="104"/>
        <v>205.57161411620217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50.588892635859196</v>
      </c>
      <c r="GM105" s="21">
        <f>EXP(-LN(2)/25)*GM104+(1-EXP(-LN(2)/25))/(LN(2)/25)*Calculateur!GH105*Calculateur!GJ105*VLOOKUP('Données projet'!$B$17,Paramètres!$A$1:$I$89,3,0)*0.475*44/12</f>
        <v>7.5871387069705012</v>
      </c>
      <c r="GN105" s="21">
        <f>EXP(-LN(2)/2)*GN104+(1-EXP(-LN(2)/2))/(LN(2)/2)*GH105*GK105*VLOOKUP('Données projet'!$B$17,Paramètres!$A$1:$I$89,3,0)*0.475*44/12</f>
        <v>2.0486621347672434E-5</v>
      </c>
      <c r="GO105" s="21">
        <f t="shared" si="81"/>
        <v>58.17605182945104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84.31577618130467</v>
      </c>
      <c r="T106" s="59">
        <f t="shared" si="88"/>
        <v>527.2140904310653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28.806849183968982</v>
      </c>
      <c r="AA106" s="21">
        <f>EXP(-LN(2)/25)*AA105+(1-EXP(-LN(2)/25))/(LN(2)/25)*Calculateur!V106*Calculateur!X106*VLOOKUP('Données projet'!$B$9,Paramètres!$A$1:$I$89,3,0)*0.475*44/12</f>
        <v>4.6570737489099612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33.463922932878944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262</v>
      </c>
      <c r="AG106" s="12">
        <f>VLOOKUP(A106,'Données projet'!$A$61:$I$81,9,0)</f>
        <v>5.7</v>
      </c>
      <c r="AH106" s="12">
        <f t="array" ref="AH106">INDEX(AG:AG,MIN(IF(ISNUMBER(AG106:AG302),ROW(AG106:AG302),"")))</f>
        <v>5.7</v>
      </c>
      <c r="AI106" s="13">
        <f>IF('Données projet'!$A$62&gt;35,AI105+AH106-AQ105,IF(A106&lt;'Données projet'!$A$62,$AF$205^A106,IF(A106='Données projet'!$A$62,'Données projet'!$B$62,AI105+AH106-AQ105)))</f>
        <v>261.99999999999989</v>
      </c>
      <c r="AJ106" s="13">
        <f>AI106*VLOOKUP('Données projet'!$B$10,Paramètres!$A$1:$I$89,3,0)*VLOOKUP('Données projet'!$B$10,Paramètres!$A$1:$I$89,5,0)</f>
        <v>237.05759999999989</v>
      </c>
      <c r="AK106" s="13">
        <f t="shared" si="89"/>
        <v>57.806004997354641</v>
      </c>
      <c r="AL106" s="20">
        <f t="shared" si="58"/>
        <v>513.5541120370591</v>
      </c>
      <c r="AM106" s="59">
        <f t="shared" si="59"/>
        <v>806.88744537039247</v>
      </c>
      <c r="AN106" s="59">
        <f ca="1">AVERAGE(OFFSET($AM$3,0,0,'Données projet'!$E$10+1,1))-AVERAGE(OFFSET($H$3,0,0,'Données projet'!$E$10+1,1))</f>
        <v>297.90790572649428</v>
      </c>
      <c r="AO106" s="59">
        <f t="shared" si="90"/>
        <v>142.96889776844506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38</v>
      </c>
      <c r="AR106" s="16">
        <f>IF(ISNA(VLOOKUP(A106,'Données projet'!$A$61:$I$81,5,0)),0%,VLOOKUP(A106,'Données projet'!$A$61:$I$81,5,0)*VLOOKUP('Données projet'!$B$10,Paramètres!$A$1:$I$89,7,0))</f>
        <v>0.17200000000000001</v>
      </c>
      <c r="AS106" s="16">
        <f>IF(ISNA(VLOOKUP(A106,'Données projet'!$A$61:$I$81,6,0)),0%,VLOOKUP(A106,'Données projet'!$A$61:$I$81,6,0)*VLOOKUP('Données projet'!$B$10,Paramètres!$A$1:$I$89,7,0))</f>
        <v>0.129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11.304972112046094</v>
      </c>
      <c r="AV106" s="21">
        <f>EXP(-LN(2)/25)*AV105+(1-EXP(-LN(2)/25))/(LN(2)/25)*Calculateur!AQ106*Calculateur!AS106*VLOOKUP('Données projet'!$B$10,Paramètres!$A$1:$I$89,3,0)*0.475*44/12</f>
        <v>22.762374048309496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34.067346160355591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262</v>
      </c>
      <c r="BB106" s="12">
        <f>VLOOKUP(A106,'Données projet'!$A$87:$I$107,9,0)</f>
        <v>5.7</v>
      </c>
      <c r="BC106" s="12">
        <f t="array" ref="BC106">INDEX(BB:BB,MIN(IF(ISNUMBER(BB106:BB302),ROW(BB106:BB302),"")))</f>
        <v>5.7</v>
      </c>
      <c r="BD106" s="12">
        <f>IF('Données projet'!$A$88&gt;35,BD105+BC106-BL105,IF(A106&lt;'Données projet'!$A$88,$BA$205^A106,IF(A106='Données projet'!$A$88,'Données projet'!$B$88,BD105+BC106-BL105)))</f>
        <v>261.99999999999989</v>
      </c>
      <c r="BE106" s="13">
        <f>BD106*VLOOKUP('Données projet'!$B$11,Paramètres!$A$1:$I$89,3,0)*VLOOKUP('Données projet'!$B$11,Paramètres!$A$1:$I$89,5,0)</f>
        <v>265.66799999999989</v>
      </c>
      <c r="BF106" s="13">
        <f t="shared" si="91"/>
        <v>63.929045899944349</v>
      </c>
      <c r="BG106" s="20">
        <f t="shared" si="61"/>
        <v>574.04818827573627</v>
      </c>
      <c r="BH106" s="59">
        <f t="shared" si="62"/>
        <v>867.38152160906952</v>
      </c>
      <c r="BI106" s="59">
        <f ca="1">AVERAGE(OFFSET($BH$3,0,0,'Données projet'!$E$11+1,1))-AVERAGE(OFFSET($H$3,0,0,'Données projet'!$E$11+1,1))</f>
        <v>345.3294887586967</v>
      </c>
      <c r="BJ106" s="59">
        <f t="shared" si="92"/>
        <v>164.23448598618114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38</v>
      </c>
      <c r="BM106" s="16">
        <f>IF(ISNA(VLOOKUP(A106,'Données projet'!$A$87:$I$107,5,0)),0%,VLOOKUP(A106,'Données projet'!$A$87:$I$107,5,0)*VLOOKUP('Données projet'!$B$11,Paramètres!$A$1:$I$89,7,0))</f>
        <v>0.17200000000000001</v>
      </c>
      <c r="BN106" s="16">
        <f>IF(ISNA(VLOOKUP(A106,'Données projet'!$A$87:$I$107,6,0)),0%,VLOOKUP(A106,'Données projet'!$A$87:$I$107,6,0)*VLOOKUP('Données projet'!$B$11,Paramètres!$A$1:$I$89,7,0))</f>
        <v>0.129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12.669365297982694</v>
      </c>
      <c r="BQ106" s="21">
        <f>EXP(-LN(2)/25)*BQ105+(1-EXP(-LN(2)/25))/(LN(2)/25)*Calculateur!BL106*Calculateur!BN106*VLOOKUP('Données projet'!$B$11,Paramètres!$A$1:$I$89,3,0)*0.475*44/12</f>
        <v>25.50955712310547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38.17892242108816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289.07218105343333</v>
      </c>
      <c r="CE106" s="59">
        <f t="shared" si="94"/>
        <v>217.57508587672368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105.29204755093131</v>
      </c>
      <c r="CL106" s="21">
        <f>EXP(-LN(2)/25)*CL105+(1-EXP(-LN(2)/25))/(LN(2)/25)*Calculateur!CG106*Calculateur!CI106*VLOOKUP('Données projet'!$B$12,Paramètres!$A$1:$I$89,3,0)*0.475*44/12</f>
        <v>39.380001866072348</v>
      </c>
      <c r="CM106" s="21">
        <f>EXP(-LN(2)/2)*CM105+(1-EXP(-LN(2)/2))/(LN(2)/2)*CG106*CJ106*VLOOKUP('Données projet'!$B$12,Paramètres!$A$1:$I$89,3,0)*0.475*44/12</f>
        <v>2.6764406688994144E-2</v>
      </c>
      <c r="CN106" s="22">
        <f t="shared" si="66"/>
        <v>144.69881382369266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1.7053025658242404E-13</v>
      </c>
      <c r="CU106" s="17">
        <f>CT106*VLOOKUP('Données projet'!$B$13,Paramètres!$A$1:$I$89,3,0)*VLOOKUP('Données projet'!$B$13,Paramètres!$A$1:$I$89,5,0)</f>
        <v>1.4897523215040567E-13</v>
      </c>
      <c r="CV106" s="13">
        <f t="shared" si="95"/>
        <v>2.136562777003313E-12</v>
      </c>
      <c r="CW106" s="20">
        <f t="shared" si="67"/>
        <v>3.9806453659427267E-12</v>
      </c>
      <c r="CX106" s="59">
        <f t="shared" si="68"/>
        <v>293.33333333333729</v>
      </c>
      <c r="CY106" s="59">
        <f ca="1">AVERAGE(OFFSET($CX$3,0,0,'Données projet'!$E$13+1,1))-AVERAGE(OFFSET($H$3,0,0,'Données projet'!$E$13+1,1))</f>
        <v>237.8483058552178</v>
      </c>
      <c r="CZ106" s="59">
        <f t="shared" si="96"/>
        <v>313.36201272119723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45.602155532428682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4.4442991517861495E-4</v>
      </c>
      <c r="DI106" s="22">
        <f t="shared" si="69"/>
        <v>45.602599962343859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262</v>
      </c>
      <c r="DM106" s="12">
        <f>VLOOKUP(A106,'Données projet'!$A$165:$I$185,9,0)</f>
        <v>5.7</v>
      </c>
      <c r="DN106" s="12">
        <f t="array" ref="DN106">INDEX(DM:DM,MIN(IF(ISNUMBER(DM106:DM302),ROW(DM106:DM302),"")))</f>
        <v>5.7</v>
      </c>
      <c r="DO106" s="12">
        <f>IF('Données projet'!$A$166&gt;35,DO105+DN106-DW105,IF(A106&lt;'Données projet'!$A$166,$DL$205^A106,IF(A106='Données projet'!$A$166,'Données projet'!$B$166,DO105+DN106-DW105)))</f>
        <v>261.99999999999989</v>
      </c>
      <c r="DP106" s="17">
        <f>DO106*VLOOKUP('Données projet'!$B$14,Paramètres!$A$1:$I$89,3,0)*VLOOKUP('Données projet'!$B$14,Paramètres!$A$1:$I$89,5,0)</f>
        <v>253.40639999999991</v>
      </c>
      <c r="DQ106" s="13">
        <f t="shared" si="97"/>
        <v>61.314794611201144</v>
      </c>
      <c r="DR106" s="20">
        <f t="shared" si="70"/>
        <v>548.13941394784183</v>
      </c>
      <c r="DS106" s="59">
        <f t="shared" si="71"/>
        <v>841.47274728117509</v>
      </c>
      <c r="DT106" s="59">
        <f ca="1">AVERAGE(OFFSET($DS$3,0,0,'Données projet'!$E$14+1,1))-AVERAGE(OFFSET($H$3,0,0,'Données projet'!$E$14+1,1))</f>
        <v>325.01961068962373</v>
      </c>
      <c r="DU106" s="59">
        <f t="shared" si="98"/>
        <v>155.12737608540039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38</v>
      </c>
      <c r="DX106" s="16">
        <f>IF(ISNA(VLOOKUP(A106,'Données projet'!$A$165:$I$185,5,0)),0%,VLOOKUP(A106,'Données projet'!$A$165:$I$185,5,0)*VLOOKUP('Données projet'!$B$14,Paramètres!$A$1:$I$89,7,0))</f>
        <v>0.17200000000000001</v>
      </c>
      <c r="DY106" s="16">
        <f>IF(ISNA(VLOOKUP(A106,'Données projet'!$A$165:$I$185,6,0)),0%,VLOOKUP(A106,'Données projet'!$A$165:$I$185,6,0)*VLOOKUP('Données projet'!$B$14,Paramètres!$A$1:$I$89,7,0))</f>
        <v>0.129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12.084625361152725</v>
      </c>
      <c r="EB106" s="21">
        <f>EXP(-LN(2)/25)*EB105+(1-EXP(-LN(2)/25))/(LN(2)/25)*Calculateur!DW106*Calculateur!DY106*VLOOKUP('Données projet'!$B$14,Paramètres!$A$1:$I$89,3,0)*0.475*44/12</f>
        <v>24.332192948192908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36.416818309345629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-1.7053025658242404E-13</v>
      </c>
      <c r="EK106" s="17">
        <f>EJ106*VLOOKUP('Données projet'!$B$15,Paramètres!$A$1:$I$89,3,0)*VLOOKUP('Données projet'!$B$15,Paramètres!$A$1:$I$89,5,0)</f>
        <v>-1.1439169611549005E-13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178.09619481964575</v>
      </c>
      <c r="EP106" s="59">
        <f t="shared" si="100"/>
        <v>178.65167777495174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56.763751537957141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1.2113888897422521E-2</v>
      </c>
      <c r="EY106" s="22">
        <f t="shared" si="75"/>
        <v>56.775865426854565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-1.7053025658242404E-13</v>
      </c>
      <c r="FF106" s="17">
        <f>FE106*VLOOKUP('Données projet'!$B$16,Paramètres!$A$1:$I$89,3,0)*VLOOKUP('Données projet'!$B$16,Paramètres!$A$1:$I$89,5,0)</f>
        <v>-1.3567387213697657E-13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219.43439115440339</v>
      </c>
      <c r="FK106" s="59">
        <f t="shared" si="102"/>
        <v>217.8880462742099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67.324449498507306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1.4367635669036023E-2</v>
      </c>
      <c r="FT106" s="22">
        <f t="shared" si="78"/>
        <v>67.338817134176338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191.77102466144095</v>
      </c>
      <c r="GF106" s="59">
        <f t="shared" si="104"/>
        <v>205.57161411620217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49.596875307447711</v>
      </c>
      <c r="GM106" s="21">
        <f>EXP(-LN(2)/25)*GM105+(1-EXP(-LN(2)/25))/(LN(2)/25)*Calculateur!GH106*Calculateur!GJ106*VLOOKUP('Données projet'!$B$17,Paramètres!$A$1:$I$89,3,0)*0.475*44/12</f>
        <v>7.3796680000381087</v>
      </c>
      <c r="GN106" s="21">
        <f>EXP(-LN(2)/2)*GN105+(1-EXP(-LN(2)/2))/(LN(2)/2)*GH106*GK106*VLOOKUP('Données projet'!$B$17,Paramètres!$A$1:$I$89,3,0)*0.475*44/12</f>
        <v>1.4486228878540266E-5</v>
      </c>
      <c r="GO106" s="21">
        <f t="shared" si="81"/>
        <v>56.976557793714697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84.31577618130467</v>
      </c>
      <c r="T107" s="59">
        <f t="shared" si="88"/>
        <v>527.2140904310653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28.241964441914416</v>
      </c>
      <c r="AA107" s="21">
        <f>EXP(-LN(2)/25)*AA106+(1-EXP(-LN(2)/25))/(LN(2)/25)*Calculateur!V107*Calculateur!X107*VLOOKUP('Données projet'!$B$9,Paramètres!$A$1:$I$89,3,0)*0.475*44/12</f>
        <v>4.5297258223411534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32.771690264255568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</v>
      </c>
      <c r="AI107" s="13">
        <f>IF('Données projet'!$A$62&gt;35,AI106+AH107-AQ106,IF(A107&lt;'Données projet'!$A$62,$AF$205^A107,IF(A107='Données projet'!$A$62,'Données projet'!$B$62,AI106+AH107-AQ106)))</f>
        <v>229.99999999999989</v>
      </c>
      <c r="AJ107" s="13">
        <f>AI107*VLOOKUP('Données projet'!$B$10,Paramètres!$A$1:$I$89,3,0)*VLOOKUP('Données projet'!$B$10,Paramètres!$A$1:$I$89,5,0)</f>
        <v>208.10399999999987</v>
      </c>
      <c r="AK107" s="13">
        <f t="shared" si="89"/>
        <v>51.5210435489304</v>
      </c>
      <c r="AL107" s="20">
        <f t="shared" si="58"/>
        <v>452.18028418105354</v>
      </c>
      <c r="AM107" s="59">
        <f t="shared" si="59"/>
        <v>745.51361751438685</v>
      </c>
      <c r="AN107" s="59">
        <f ca="1">AVERAGE(OFFSET($AM$3,0,0,'Données projet'!$E$10+1,1))-AVERAGE(OFFSET($H$3,0,0,'Données projet'!$E$10+1,1))</f>
        <v>297.90790572649428</v>
      </c>
      <c r="AO107" s="59">
        <f t="shared" si="90"/>
        <v>142.96889776844506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11.083288504280999</v>
      </c>
      <c r="AV107" s="21">
        <f>EXP(-LN(2)/25)*AV106+(1-EXP(-LN(2)/25))/(LN(2)/25)*Calculateur!AQ107*Calculateur!AS107*VLOOKUP('Données projet'!$B$10,Paramètres!$A$1:$I$89,3,0)*0.475*44/12</f>
        <v>22.139935732937246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33.223224237218247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</v>
      </c>
      <c r="BD107" s="12">
        <f>IF('Données projet'!$A$88&gt;35,BD106+BC107-BL106,IF(A107&lt;'Données projet'!$A$88,$BA$205^A107,IF(A107='Données projet'!$A$88,'Données projet'!$B$88,BD106+BC107-BL106)))</f>
        <v>229.99999999999989</v>
      </c>
      <c r="BE107" s="13">
        <f>BD107*VLOOKUP('Données projet'!$B$11,Paramètres!$A$1:$I$89,3,0)*VLOOKUP('Données projet'!$B$11,Paramètres!$A$1:$I$89,5,0)</f>
        <v>233.21999999999991</v>
      </c>
      <c r="BF107" s="13">
        <f t="shared" si="91"/>
        <v>56.978356452817273</v>
      </c>
      <c r="BG107" s="20">
        <f t="shared" si="61"/>
        <v>505.42880415532318</v>
      </c>
      <c r="BH107" s="59">
        <f t="shared" si="62"/>
        <v>798.76213748865644</v>
      </c>
      <c r="BI107" s="59">
        <f ca="1">AVERAGE(OFFSET($BH$3,0,0,'Données projet'!$E$11+1,1))-AVERAGE(OFFSET($H$3,0,0,'Données projet'!$E$11+1,1))</f>
        <v>345.3294887586967</v>
      </c>
      <c r="BJ107" s="59">
        <f t="shared" si="92"/>
        <v>164.23448598618114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12.420926772039053</v>
      </c>
      <c r="BQ107" s="21">
        <f>EXP(-LN(2)/25)*BQ106+(1-EXP(-LN(2)/25))/(LN(2)/25)*Calculateur!BL107*Calculateur!BN107*VLOOKUP('Données projet'!$B$11,Paramètres!$A$1:$I$89,3,0)*0.475*44/12</f>
        <v>24.811996942084846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37.232923714123899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289.07218105343333</v>
      </c>
      <c r="CE107" s="59">
        <f t="shared" si="94"/>
        <v>217.57508587672368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103.22733472026518</v>
      </c>
      <c r="CL107" s="21">
        <f>EXP(-LN(2)/25)*CL106+(1-EXP(-LN(2)/25))/(LN(2)/25)*Calculateur!CG107*Calculateur!CI107*VLOOKUP('Données projet'!$B$12,Paramètres!$A$1:$I$89,3,0)*0.475*44/12</f>
        <v>38.303153644140309</v>
      </c>
      <c r="CM107" s="21">
        <f>EXP(-LN(2)/2)*CM106+(1-EXP(-LN(2)/2))/(LN(2)/2)*CG107*CJ107*VLOOKUP('Données projet'!$B$12,Paramètres!$A$1:$I$89,3,0)*0.475*44/12</f>
        <v>1.8925293464222351E-2</v>
      </c>
      <c r="CN107" s="22">
        <f t="shared" si="66"/>
        <v>141.54941365786971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1.7053025658242404E-13</v>
      </c>
      <c r="CU107" s="17">
        <f>CT107*VLOOKUP('Données projet'!$B$13,Paramètres!$A$1:$I$89,3,0)*VLOOKUP('Données projet'!$B$13,Paramètres!$A$1:$I$89,5,0)</f>
        <v>1.4897523215040567E-13</v>
      </c>
      <c r="CV107" s="13">
        <f t="shared" si="95"/>
        <v>2.136562777003313E-12</v>
      </c>
      <c r="CW107" s="20">
        <f t="shared" si="67"/>
        <v>3.9806453659427267E-12</v>
      </c>
      <c r="CX107" s="59">
        <f t="shared" si="68"/>
        <v>293.33333333333729</v>
      </c>
      <c r="CY107" s="59">
        <f ca="1">AVERAGE(OFFSET($CX$3,0,0,'Données projet'!$E$13+1,1))-AVERAGE(OFFSET($H$3,0,0,'Données projet'!$E$13+1,1))</f>
        <v>237.8483058552178</v>
      </c>
      <c r="CZ107" s="59">
        <f t="shared" si="96"/>
        <v>313.36201272119723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44.707925077006173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3.1425940678496075E-4</v>
      </c>
      <c r="DI107" s="22">
        <f t="shared" si="69"/>
        <v>44.708239336412959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6</v>
      </c>
      <c r="DO107" s="12">
        <f>IF('Données projet'!$A$166&gt;35,DO106+DN107-DW106,IF(A107&lt;'Données projet'!$A$166,$DL$205^A107,IF(A107='Données projet'!$A$166,'Données projet'!$B$166,DO106+DN107-DW106)))</f>
        <v>229.99999999999989</v>
      </c>
      <c r="DP107" s="17">
        <f>DO107*VLOOKUP('Données projet'!$B$14,Paramètres!$A$1:$I$89,3,0)*VLOOKUP('Données projet'!$B$14,Paramètres!$A$1:$I$89,5,0)</f>
        <v>222.4559999999999</v>
      </c>
      <c r="DQ107" s="13">
        <f t="shared" si="97"/>
        <v>54.648339796219815</v>
      </c>
      <c r="DR107" s="20">
        <f t="shared" si="70"/>
        <v>482.62339181174929</v>
      </c>
      <c r="DS107" s="59">
        <f t="shared" si="71"/>
        <v>775.9567251450826</v>
      </c>
      <c r="DT107" s="59">
        <f ca="1">AVERAGE(OFFSET($DS$3,0,0,'Données projet'!$E$14+1,1))-AVERAGE(OFFSET($H$3,0,0,'Données projet'!$E$14+1,1))</f>
        <v>325.01961068962373</v>
      </c>
      <c r="DU107" s="59">
        <f t="shared" si="98"/>
        <v>155.12737608540039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11.847653228714174</v>
      </c>
      <c r="EB107" s="21">
        <f>EXP(-LN(2)/25)*EB106+(1-EXP(-LN(2)/25))/(LN(2)/25)*Calculateur!DW107*Calculateur!DY107*VLOOKUP('Données projet'!$B$14,Paramètres!$A$1:$I$89,3,0)*0.475*44/12</f>
        <v>23.666827852450158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35.514481081164334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-1.7053025658242404E-13</v>
      </c>
      <c r="EK107" s="17">
        <f>EJ107*VLOOKUP('Données projet'!$B$15,Paramètres!$A$1:$I$89,3,0)*VLOOKUP('Données projet'!$B$15,Paramètres!$A$1:$I$89,5,0)</f>
        <v>-1.1439169611549005E-13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178.09619481964575</v>
      </c>
      <c r="EP107" s="59">
        <f t="shared" si="100"/>
        <v>178.65167777495174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55.650648992767557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8.5658129859078943E-3</v>
      </c>
      <c r="EY107" s="22">
        <f t="shared" si="75"/>
        <v>55.659214805753464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-1.7053025658242404E-13</v>
      </c>
      <c r="FF107" s="17">
        <f>FE107*VLOOKUP('Données projet'!$B$16,Paramètres!$A$1:$I$89,3,0)*VLOOKUP('Données projet'!$B$16,Paramètres!$A$1:$I$89,5,0)</f>
        <v>-1.3567387213697657E-13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219.43439115440339</v>
      </c>
      <c r="FK107" s="59">
        <f t="shared" si="102"/>
        <v>217.8880462742099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66.004258107701048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1.015945261119309E-2</v>
      </c>
      <c r="FT107" s="22">
        <f t="shared" si="78"/>
        <v>66.014417560312239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191.77102466144095</v>
      </c>
      <c r="GF107" s="59">
        <f t="shared" si="104"/>
        <v>205.57161411620217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48.624310833775553</v>
      </c>
      <c r="GM107" s="21">
        <f>EXP(-LN(2)/25)*GM106+(1-EXP(-LN(2)/25))/(LN(2)/25)*Calculateur!GH107*Calculateur!GJ107*VLOOKUP('Données projet'!$B$17,Paramètres!$A$1:$I$89,3,0)*0.475*44/12</f>
        <v>7.1778705904971929</v>
      </c>
      <c r="GN107" s="21">
        <f>EXP(-LN(2)/2)*GN106+(1-EXP(-LN(2)/2))/(LN(2)/2)*GH107*GK107*VLOOKUP('Données projet'!$B$17,Paramètres!$A$1:$I$89,3,0)*0.475*44/12</f>
        <v>1.0243310673836219E-5</v>
      </c>
      <c r="GO107" s="21">
        <f t="shared" si="81"/>
        <v>55.802191667583422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84.31577618130467</v>
      </c>
      <c r="T108" s="59">
        <f t="shared" si="88"/>
        <v>527.2140904310653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27.688156745105868</v>
      </c>
      <c r="AA108" s="21">
        <f>EXP(-LN(2)/25)*AA107+(1-EXP(-LN(2)/25))/(LN(2)/25)*Calculateur!V108*Calculateur!X108*VLOOKUP('Données projet'!$B$9,Paramètres!$A$1:$I$89,3,0)*0.475*44/12</f>
        <v>4.4058602315213067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32.094016976627174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</v>
      </c>
      <c r="AI108" s="13">
        <f>IF('Données projet'!$A$62&gt;35,AI107+AH108-AQ107,IF(A108&lt;'Données projet'!$A$62,$AF$205^A108,IF(A108='Données projet'!$A$62,'Données projet'!$B$62,AI107+AH108-AQ107)))</f>
        <v>235.99999999999989</v>
      </c>
      <c r="AJ108" s="13">
        <f>AI108*VLOOKUP('Données projet'!$B$10,Paramètres!$A$1:$I$89,3,0)*VLOOKUP('Données projet'!$B$10,Paramètres!$A$1:$I$89,5,0)</f>
        <v>213.53279999999992</v>
      </c>
      <c r="AK108" s="13">
        <f t="shared" si="89"/>
        <v>52.706840209271185</v>
      </c>
      <c r="AL108" s="20">
        <f t="shared" si="58"/>
        <v>463.70070669781381</v>
      </c>
      <c r="AM108" s="59">
        <f t="shared" si="59"/>
        <v>757.03404003114713</v>
      </c>
      <c r="AN108" s="59">
        <f ca="1">AVERAGE(OFFSET($AM$3,0,0,'Données projet'!$E$10+1,1))-AVERAGE(OFFSET($H$3,0,0,'Données projet'!$E$10+1,1))</f>
        <v>297.90790572649428</v>
      </c>
      <c r="AO108" s="59">
        <f t="shared" si="90"/>
        <v>142.96889776844506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10.865951976850528</v>
      </c>
      <c r="AV108" s="21">
        <f>EXP(-LN(2)/25)*AV107+(1-EXP(-LN(2)/25))/(LN(2)/25)*Calculateur!AQ108*Calculateur!AS108*VLOOKUP('Données projet'!$B$10,Paramètres!$A$1:$I$89,3,0)*0.475*44/12</f>
        <v>21.53451802603146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32.400470002881988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</v>
      </c>
      <c r="BD108" s="12">
        <f>IF('Données projet'!$A$88&gt;35,BD107+BC108-BL107,IF(A108&lt;'Données projet'!$A$88,$BA$205^A108,IF(A108='Données projet'!$A$88,'Données projet'!$B$88,BD107+BC108-BL107)))</f>
        <v>235.99999999999989</v>
      </c>
      <c r="BE108" s="13">
        <f>BD108*VLOOKUP('Données projet'!$B$11,Paramètres!$A$1:$I$89,3,0)*VLOOKUP('Données projet'!$B$11,Paramètres!$A$1:$I$89,5,0)</f>
        <v>239.30399999999989</v>
      </c>
      <c r="BF108" s="13">
        <f t="shared" si="91"/>
        <v>58.289757389975783</v>
      </c>
      <c r="BG108" s="20">
        <f t="shared" si="61"/>
        <v>518.30912745420756</v>
      </c>
      <c r="BH108" s="59">
        <f t="shared" si="62"/>
        <v>811.64246078754081</v>
      </c>
      <c r="BI108" s="59">
        <f ca="1">AVERAGE(OFFSET($BH$3,0,0,'Données projet'!$E$11+1,1))-AVERAGE(OFFSET($H$3,0,0,'Données projet'!$E$11+1,1))</f>
        <v>345.3294887586967</v>
      </c>
      <c r="BJ108" s="59">
        <f t="shared" si="92"/>
        <v>164.23448598618114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12.177359974056628</v>
      </c>
      <c r="BQ108" s="21">
        <f>EXP(-LN(2)/25)*BQ107+(1-EXP(-LN(2)/25))/(LN(2)/25)*Calculateur!BL108*Calculateur!BN108*VLOOKUP('Données projet'!$B$11,Paramètres!$A$1:$I$89,3,0)*0.475*44/12</f>
        <v>24.133511580897327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36.310871554953955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289.07218105343333</v>
      </c>
      <c r="CE108" s="59">
        <f t="shared" si="94"/>
        <v>217.57508587672368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101.20310964885793</v>
      </c>
      <c r="CL108" s="21">
        <f>EXP(-LN(2)/25)*CL107+(1-EXP(-LN(2)/25))/(LN(2)/25)*Calculateur!CG108*Calculateur!CI108*VLOOKUP('Données projet'!$B$12,Paramètres!$A$1:$I$89,3,0)*0.475*44/12</f>
        <v>37.255751893465984</v>
      </c>
      <c r="CM108" s="21">
        <f>EXP(-LN(2)/2)*CM107+(1-EXP(-LN(2)/2))/(LN(2)/2)*CG108*CJ108*VLOOKUP('Données projet'!$B$12,Paramètres!$A$1:$I$89,3,0)*0.475*44/12</f>
        <v>1.3382203344497072E-2</v>
      </c>
      <c r="CN108" s="22">
        <f t="shared" si="66"/>
        <v>138.47224374566841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1.7053025658242404E-13</v>
      </c>
      <c r="CU108" s="17">
        <f>CT108*VLOOKUP('Données projet'!$B$13,Paramètres!$A$1:$I$89,3,0)*VLOOKUP('Données projet'!$B$13,Paramètres!$A$1:$I$89,5,0)</f>
        <v>1.4897523215040567E-13</v>
      </c>
      <c r="CV108" s="13">
        <f t="shared" si="95"/>
        <v>2.136562777003313E-12</v>
      </c>
      <c r="CW108" s="20">
        <f t="shared" si="67"/>
        <v>3.9806453659427267E-12</v>
      </c>
      <c r="CX108" s="59">
        <f t="shared" si="68"/>
        <v>293.33333333333729</v>
      </c>
      <c r="CY108" s="59">
        <f ca="1">AVERAGE(OFFSET($CX$3,0,0,'Données projet'!$E$13+1,1))-AVERAGE(OFFSET($H$3,0,0,'Données projet'!$E$13+1,1))</f>
        <v>237.8483058552178</v>
      </c>
      <c r="CZ108" s="59">
        <f t="shared" si="96"/>
        <v>313.36201272119723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43.831229935387775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2.2221495758930747E-4</v>
      </c>
      <c r="DI108" s="22">
        <f t="shared" si="69"/>
        <v>43.831452150345363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</v>
      </c>
      <c r="DO108" s="12">
        <f>IF('Données projet'!$A$166&gt;35,DO107+DN108-DW107,IF(A108&lt;'Données projet'!$A$166,$DL$205^A108,IF(A108='Données projet'!$A$166,'Données projet'!$B$166,DO107+DN108-DW107)))</f>
        <v>235.99999999999989</v>
      </c>
      <c r="DP108" s="17">
        <f>DO108*VLOOKUP('Données projet'!$B$14,Paramètres!$A$1:$I$89,3,0)*VLOOKUP('Données projet'!$B$14,Paramètres!$A$1:$I$89,5,0)</f>
        <v>228.25919999999991</v>
      </c>
      <c r="DQ108" s="13">
        <f t="shared" si="97"/>
        <v>55.906113598141786</v>
      </c>
      <c r="DR108" s="20">
        <f t="shared" si="70"/>
        <v>494.92125451676338</v>
      </c>
      <c r="DS108" s="59">
        <f t="shared" si="71"/>
        <v>788.25458785009664</v>
      </c>
      <c r="DT108" s="59">
        <f ca="1">AVERAGE(OFFSET($DS$3,0,0,'Données projet'!$E$14+1,1))-AVERAGE(OFFSET($H$3,0,0,'Données projet'!$E$14+1,1))</f>
        <v>325.01961068962373</v>
      </c>
      <c r="DU108" s="59">
        <f t="shared" si="98"/>
        <v>155.12737608540039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11.615327975254015</v>
      </c>
      <c r="EB108" s="21">
        <f>EXP(-LN(2)/25)*EB107+(1-EXP(-LN(2)/25))/(LN(2)/25)*Calculateur!DW108*Calculateur!DY108*VLOOKUP('Données projet'!$B$14,Paramètres!$A$1:$I$89,3,0)*0.475*44/12</f>
        <v>23.019657200240523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34.634985175494535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-1.7053025658242404E-13</v>
      </c>
      <c r="EK108" s="17">
        <f>EJ108*VLOOKUP('Données projet'!$B$15,Paramètres!$A$1:$I$89,3,0)*VLOOKUP('Données projet'!$B$15,Paramètres!$A$1:$I$89,5,0)</f>
        <v>-1.1439169611549005E-13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178.09619481964575</v>
      </c>
      <c r="EP108" s="59">
        <f t="shared" si="100"/>
        <v>178.65167777495174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54.559373709563623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6.0569444487112607E-3</v>
      </c>
      <c r="EY108" s="22">
        <f t="shared" si="75"/>
        <v>54.565430654012332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-1.7053025658242404E-13</v>
      </c>
      <c r="FF108" s="17">
        <f>FE108*VLOOKUP('Données projet'!$B$16,Paramètres!$A$1:$I$89,3,0)*VLOOKUP('Données projet'!$B$16,Paramètres!$A$1:$I$89,5,0)</f>
        <v>-1.3567387213697657E-13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219.43439115440339</v>
      </c>
      <c r="FK108" s="59">
        <f t="shared" si="102"/>
        <v>217.8880462742099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64.709954864831261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7.1838178345180114E-3</v>
      </c>
      <c r="FT108" s="22">
        <f t="shared" si="78"/>
        <v>64.717138682665777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191.77102466144095</v>
      </c>
      <c r="GF108" s="59">
        <f t="shared" si="104"/>
        <v>205.57161411620217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47.670817756226349</v>
      </c>
      <c r="GM108" s="21">
        <f>EXP(-LN(2)/25)*GM107+(1-EXP(-LN(2)/25))/(LN(2)/25)*Calculateur!GH108*Calculateur!GJ108*VLOOKUP('Données projet'!$B$17,Paramètres!$A$1:$I$89,3,0)*0.475*44/12</f>
        <v>6.9815913417322379</v>
      </c>
      <c r="GN108" s="21">
        <f>EXP(-LN(2)/2)*GN107+(1-EXP(-LN(2)/2))/(LN(2)/2)*GH108*GK108*VLOOKUP('Données projet'!$B$17,Paramètres!$A$1:$I$89,3,0)*0.475*44/12</f>
        <v>7.2431144392701346E-6</v>
      </c>
      <c r="GO108" s="21">
        <f t="shared" si="81"/>
        <v>54.652416341073028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84.31577618130467</v>
      </c>
      <c r="T109" s="59">
        <f t="shared" si="88"/>
        <v>527.2140904310653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27.145208879442393</v>
      </c>
      <c r="AA109" s="21">
        <f>EXP(-LN(2)/25)*AA108+(1-EXP(-LN(2)/25))/(LN(2)/25)*Calculateur!V109*Calculateur!X109*VLOOKUP('Données projet'!$B$9,Paramètres!$A$1:$I$89,3,0)*0.475*44/12</f>
        <v>4.2853817517962369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31.43059063123863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</v>
      </c>
      <c r="AI109" s="13">
        <f>IF('Données projet'!$A$62&gt;35,AI108+AH109-AQ108,IF(A109&lt;'Données projet'!$A$62,$AF$205^A109,IF(A109='Données projet'!$A$62,'Données projet'!$B$62,AI108+AH109-AQ108)))</f>
        <v>241.99999999999989</v>
      </c>
      <c r="AJ109" s="13">
        <f>AI109*VLOOKUP('Données projet'!$B$10,Paramètres!$A$1:$I$89,3,0)*VLOOKUP('Données projet'!$B$10,Paramètres!$A$1:$I$89,5,0)</f>
        <v>218.96159999999989</v>
      </c>
      <c r="AK109" s="13">
        <f t="shared" si="89"/>
        <v>53.88913250370743</v>
      </c>
      <c r="AL109" s="20">
        <f t="shared" si="58"/>
        <v>475.21502577729029</v>
      </c>
      <c r="AM109" s="59">
        <f t="shared" si="59"/>
        <v>768.54835911062355</v>
      </c>
      <c r="AN109" s="59">
        <f ca="1">AVERAGE(OFFSET($AM$3,0,0,'Données projet'!$E$10+1,1))-AVERAGE(OFFSET($H$3,0,0,'Données projet'!$E$10+1,1))</f>
        <v>297.90790572649428</v>
      </c>
      <c r="AO109" s="59">
        <f t="shared" si="90"/>
        <v>142.96889776844506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10.652877286160777</v>
      </c>
      <c r="AV109" s="21">
        <f>EXP(-LN(2)/25)*AV108+(1-EXP(-LN(2)/25))/(LN(2)/25)*Calculateur!AQ109*Calculateur!AS109*VLOOKUP('Données projet'!$B$10,Paramètres!$A$1:$I$89,3,0)*0.475*44/12</f>
        <v>20.945655498158544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31.598532784319321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</v>
      </c>
      <c r="BD109" s="12">
        <f>IF('Données projet'!$A$88&gt;35,BD108+BC109-BL108,IF(A109&lt;'Données projet'!$A$88,$BA$205^A109,IF(A109='Données projet'!$A$88,'Données projet'!$B$88,BD108+BC109-BL108)))</f>
        <v>241.99999999999989</v>
      </c>
      <c r="BE109" s="13">
        <f>BD109*VLOOKUP('Données projet'!$B$11,Paramètres!$A$1:$I$89,3,0)*VLOOKUP('Données projet'!$B$11,Paramètres!$A$1:$I$89,5,0)</f>
        <v>245.38799999999989</v>
      </c>
      <c r="BF109" s="13">
        <f t="shared" si="91"/>
        <v>59.59728276491952</v>
      </c>
      <c r="BG109" s="20">
        <f t="shared" si="61"/>
        <v>531.18270081556796</v>
      </c>
      <c r="BH109" s="59">
        <f t="shared" si="62"/>
        <v>824.51603414890133</v>
      </c>
      <c r="BI109" s="59">
        <f ca="1">AVERAGE(OFFSET($BH$3,0,0,'Données projet'!$E$11+1,1))-AVERAGE(OFFSET($H$3,0,0,'Données projet'!$E$11+1,1))</f>
        <v>345.3294887586967</v>
      </c>
      <c r="BJ109" s="59">
        <f t="shared" si="92"/>
        <v>164.23448598618114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11.938569372421561</v>
      </c>
      <c r="BQ109" s="21">
        <f>EXP(-LN(2)/25)*BQ108+(1-EXP(-LN(2)/25))/(LN(2)/25)*Calculateur!BL109*Calculateur!BN109*VLOOKUP('Données projet'!$B$11,Paramètres!$A$1:$I$89,3,0)*0.475*44/12</f>
        <v>23.473579437591475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35.412148810013036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289.07218105343333</v>
      </c>
      <c r="CE109" s="59">
        <f t="shared" si="94"/>
        <v>217.57508587672368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99.218578396445594</v>
      </c>
      <c r="CL109" s="21">
        <f>EXP(-LN(2)/25)*CL108+(1-EXP(-LN(2)/25))/(LN(2)/25)*Calculateur!CG109*Calculateur!CI109*VLOOKUP('Données projet'!$B$12,Paramètres!$A$1:$I$89,3,0)*0.475*44/12</f>
        <v>36.236991398744316</v>
      </c>
      <c r="CM109" s="21">
        <f>EXP(-LN(2)/2)*CM108+(1-EXP(-LN(2)/2))/(LN(2)/2)*CG109*CJ109*VLOOKUP('Données projet'!$B$12,Paramètres!$A$1:$I$89,3,0)*0.475*44/12</f>
        <v>9.4626467321111754E-3</v>
      </c>
      <c r="CN109" s="22">
        <f t="shared" si="66"/>
        <v>135.46503244192203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1.7053025658242404E-13</v>
      </c>
      <c r="CU109" s="17">
        <f>CT109*VLOOKUP('Données projet'!$B$13,Paramètres!$A$1:$I$89,3,0)*VLOOKUP('Données projet'!$B$13,Paramètres!$A$1:$I$89,5,0)</f>
        <v>1.4897523215040567E-13</v>
      </c>
      <c r="CV109" s="13">
        <f t="shared" si="95"/>
        <v>2.136562777003313E-12</v>
      </c>
      <c r="CW109" s="20">
        <f t="shared" si="67"/>
        <v>3.9806453659427267E-12</v>
      </c>
      <c r="CX109" s="59">
        <f t="shared" si="68"/>
        <v>293.33333333333729</v>
      </c>
      <c r="CY109" s="59">
        <f ca="1">AVERAGE(OFFSET($CX$3,0,0,'Données projet'!$E$13+1,1))-AVERAGE(OFFSET($H$3,0,0,'Données projet'!$E$13+1,1))</f>
        <v>237.8483058552178</v>
      </c>
      <c r="CZ109" s="59">
        <f t="shared" si="96"/>
        <v>313.36201272119723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42.971726250765279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1.5712970339248038E-4</v>
      </c>
      <c r="DI109" s="22">
        <f t="shared" si="69"/>
        <v>42.971883380468668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</v>
      </c>
      <c r="DO109" s="12">
        <f>IF('Données projet'!$A$166&gt;35,DO108+DN109-DW108,IF(A109&lt;'Données projet'!$A$166,$DL$205^A109,IF(A109='Données projet'!$A$166,'Données projet'!$B$166,DO108+DN109-DW108)))</f>
        <v>241.99999999999989</v>
      </c>
      <c r="DP109" s="17">
        <f>DO109*VLOOKUP('Données projet'!$B$14,Paramètres!$A$1:$I$89,3,0)*VLOOKUP('Données projet'!$B$14,Paramètres!$A$1:$I$89,5,0)</f>
        <v>234.06239999999991</v>
      </c>
      <c r="DQ109" s="13">
        <f t="shared" si="97"/>
        <v>57.16017032126387</v>
      </c>
      <c r="DR109" s="20">
        <f t="shared" si="70"/>
        <v>507.21264330953437</v>
      </c>
      <c r="DS109" s="59">
        <f t="shared" si="71"/>
        <v>800.54597664286769</v>
      </c>
      <c r="DT109" s="59">
        <f ca="1">AVERAGE(OFFSET($DS$3,0,0,'Données projet'!$E$14+1,1))-AVERAGE(OFFSET($H$3,0,0,'Données projet'!$E$14+1,1))</f>
        <v>325.01961068962373</v>
      </c>
      <c r="DU109" s="59">
        <f t="shared" si="98"/>
        <v>155.12737608540039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11.387558478309797</v>
      </c>
      <c r="EB109" s="21">
        <f>EXP(-LN(2)/25)*EB108+(1-EXP(-LN(2)/25))/(LN(2)/25)*Calculateur!DW109*Calculateur!DY109*VLOOKUP('Données projet'!$B$14,Paramètres!$A$1:$I$89,3,0)*0.475*44/12</f>
        <v>22.390183463548787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33.777741941858586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-1.7053025658242404E-13</v>
      </c>
      <c r="EK109" s="17">
        <f>EJ109*VLOOKUP('Données projet'!$B$15,Paramètres!$A$1:$I$89,3,0)*VLOOKUP('Données projet'!$B$15,Paramètres!$A$1:$I$89,5,0)</f>
        <v>-1.1439169611549005E-13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178.09619481964575</v>
      </c>
      <c r="EP109" s="59">
        <f t="shared" si="100"/>
        <v>178.65167777495174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53.489497669051119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4.2829064929539471E-3</v>
      </c>
      <c r="EY109" s="22">
        <f t="shared" si="75"/>
        <v>53.493780575544072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-1.7053025658242404E-13</v>
      </c>
      <c r="FF109" s="17">
        <f>FE109*VLOOKUP('Données projet'!$B$16,Paramètres!$A$1:$I$89,3,0)*VLOOKUP('Données projet'!$B$16,Paramètres!$A$1:$I$89,5,0)</f>
        <v>-1.3567387213697657E-13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219.43439115440339</v>
      </c>
      <c r="FK109" s="59">
        <f t="shared" si="102"/>
        <v>217.8880462742099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63.441032119107128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5.0797263055965452E-3</v>
      </c>
      <c r="FT109" s="22">
        <f t="shared" si="78"/>
        <v>63.446111845412723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191.77102466144095</v>
      </c>
      <c r="GF109" s="59">
        <f t="shared" si="104"/>
        <v>205.57161411620217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46.736022096354532</v>
      </c>
      <c r="GM109" s="21">
        <f>EXP(-LN(2)/25)*GM108+(1-EXP(-LN(2)/25))/(LN(2)/25)*Calculateur!GH109*Calculateur!GJ109*VLOOKUP('Données projet'!$B$17,Paramètres!$A$1:$I$89,3,0)*0.475*44/12</f>
        <v>6.7906793593466377</v>
      </c>
      <c r="GN109" s="21">
        <f>EXP(-LN(2)/2)*GN108+(1-EXP(-LN(2)/2))/(LN(2)/2)*GH109*GK109*VLOOKUP('Données projet'!$B$17,Paramètres!$A$1:$I$89,3,0)*0.475*44/12</f>
        <v>5.1216553369181102E-6</v>
      </c>
      <c r="GO109" s="21">
        <f t="shared" si="81"/>
        <v>53.526706577356507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84.31577618130467</v>
      </c>
      <c r="T110" s="59">
        <f t="shared" si="88"/>
        <v>527.2140904310653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26.612907890259081</v>
      </c>
      <c r="AA110" s="21">
        <f>EXP(-LN(2)/25)*AA109+(1-EXP(-LN(2)/25))/(LN(2)/25)*Calculateur!V110*Calculateur!X110*VLOOKUP('Données projet'!$B$9,Paramètres!$A$1:$I$89,3,0)*0.475*44/12</f>
        <v>4.1681977624349367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30.781105652694016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</v>
      </c>
      <c r="AI110" s="13">
        <f>IF('Données projet'!$A$62&gt;35,AI109+AH110-AQ109,IF(A110&lt;'Données projet'!$A$62,$AF$205^A110,IF(A110='Données projet'!$A$62,'Données projet'!$B$62,AI109+AH110-AQ109)))</f>
        <v>247.99999999999989</v>
      </c>
      <c r="AJ110" s="13">
        <f>AI110*VLOOKUP('Données projet'!$B$10,Paramètres!$A$1:$I$89,3,0)*VLOOKUP('Données projet'!$B$10,Paramètres!$A$1:$I$89,5,0)</f>
        <v>224.39039999999989</v>
      </c>
      <c r="AK110" s="13">
        <f t="shared" si="89"/>
        <v>55.068017311015808</v>
      </c>
      <c r="AL110" s="20">
        <f t="shared" si="58"/>
        <v>486.72341015001894</v>
      </c>
      <c r="AM110" s="59">
        <f t="shared" si="59"/>
        <v>780.05674348335219</v>
      </c>
      <c r="AN110" s="59">
        <f ca="1">AVERAGE(OFFSET($AM$3,0,0,'Données projet'!$E$10+1,1))-AVERAGE(OFFSET($H$3,0,0,'Données projet'!$E$10+1,1))</f>
        <v>297.90790572649428</v>
      </c>
      <c r="AO110" s="59">
        <f t="shared" si="90"/>
        <v>142.96889776844506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10.443980860192722</v>
      </c>
      <c r="AV110" s="21">
        <f>EXP(-LN(2)/25)*AV109+(1-EXP(-LN(2)/25))/(LN(2)/25)*Calculateur!AQ110*Calculateur!AS110*VLOOKUP('Données projet'!$B$10,Paramètres!$A$1:$I$89,3,0)*0.475*44/12</f>
        <v>20.372895447077248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30.816876307269972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</v>
      </c>
      <c r="BD110" s="12">
        <f>IF('Données projet'!$A$88&gt;35,BD109+BC110-BL109,IF(A110&lt;'Données projet'!$A$88,$BA$205^A110,IF(A110='Données projet'!$A$88,'Données projet'!$B$88,BD109+BC110-BL109)))</f>
        <v>247.99999999999989</v>
      </c>
      <c r="BE110" s="13">
        <f>BD110*VLOOKUP('Données projet'!$B$11,Paramètres!$A$1:$I$89,3,0)*VLOOKUP('Données projet'!$B$11,Paramètres!$A$1:$I$89,5,0)</f>
        <v>251.47199999999989</v>
      </c>
      <c r="BF110" s="13">
        <f t="shared" si="91"/>
        <v>60.901039718208594</v>
      </c>
      <c r="BG110" s="20">
        <f t="shared" si="61"/>
        <v>544.04971084254646</v>
      </c>
      <c r="BH110" s="59">
        <f t="shared" si="62"/>
        <v>837.38304417587983</v>
      </c>
      <c r="BI110" s="59">
        <f ca="1">AVERAGE(OFFSET($BH$3,0,0,'Données projet'!$E$11+1,1))-AVERAGE(OFFSET($H$3,0,0,'Données projet'!$E$11+1,1))</f>
        <v>345.3294887586967</v>
      </c>
      <c r="BJ110" s="59">
        <f t="shared" si="92"/>
        <v>164.23448598618114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11.704461308836672</v>
      </c>
      <c r="BQ110" s="21">
        <f>EXP(-LN(2)/25)*BQ109+(1-EXP(-LN(2)/25))/(LN(2)/25)*Calculateur!BL110*Calculateur!BN110*VLOOKUP('Données projet'!$B$11,Paramètres!$A$1:$I$89,3,0)*0.475*44/12</f>
        <v>22.831693173448642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34.536154482285312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289.07218105343333</v>
      </c>
      <c r="CE110" s="59">
        <f t="shared" si="94"/>
        <v>217.57508587672368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97.272962591448518</v>
      </c>
      <c r="CL110" s="21">
        <f>EXP(-LN(2)/25)*CL109+(1-EXP(-LN(2)/25))/(LN(2)/25)*Calculateur!CG110*Calculateur!CI110*VLOOKUP('Données projet'!$B$12,Paramètres!$A$1:$I$89,3,0)*0.475*44/12</f>
        <v>35.246088963325093</v>
      </c>
      <c r="CM110" s="21">
        <f>EXP(-LN(2)/2)*CM109+(1-EXP(-LN(2)/2))/(LN(2)/2)*CG110*CJ110*VLOOKUP('Données projet'!$B$12,Paramètres!$A$1:$I$89,3,0)*0.475*44/12</f>
        <v>6.691101672248536E-3</v>
      </c>
      <c r="CN110" s="22">
        <f t="shared" si="66"/>
        <v>132.52574265644589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1.7053025658242404E-13</v>
      </c>
      <c r="CU110" s="17">
        <f>CT110*VLOOKUP('Données projet'!$B$13,Paramètres!$A$1:$I$89,3,0)*VLOOKUP('Données projet'!$B$13,Paramètres!$A$1:$I$89,5,0)</f>
        <v>1.4897523215040567E-13</v>
      </c>
      <c r="CV110" s="13">
        <f t="shared" si="95"/>
        <v>2.136562777003313E-12</v>
      </c>
      <c r="CW110" s="20">
        <f t="shared" si="67"/>
        <v>3.9806453659427267E-12</v>
      </c>
      <c r="CX110" s="59">
        <f t="shared" si="68"/>
        <v>293.33333333333729</v>
      </c>
      <c r="CY110" s="59">
        <f ca="1">AVERAGE(OFFSET($CX$3,0,0,'Données projet'!$E$13+1,1))-AVERAGE(OFFSET($H$3,0,0,'Données projet'!$E$13+1,1))</f>
        <v>237.8483058552178</v>
      </c>
      <c r="CZ110" s="59">
        <f t="shared" si="96"/>
        <v>313.36201272119723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42.129076909152744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1.1110747879465374E-4</v>
      </c>
      <c r="DI110" s="22">
        <f t="shared" si="69"/>
        <v>42.129188016631538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</v>
      </c>
      <c r="DO110" s="12">
        <f>IF('Données projet'!$A$166&gt;35,DO109+DN110-DW109,IF(A110&lt;'Données projet'!$A$166,$DL$205^A110,IF(A110='Données projet'!$A$166,'Données projet'!$B$166,DO109+DN110-DW109)))</f>
        <v>247.99999999999989</v>
      </c>
      <c r="DP110" s="17">
        <f>DO110*VLOOKUP('Données projet'!$B$14,Paramètres!$A$1:$I$89,3,0)*VLOOKUP('Données projet'!$B$14,Paramètres!$A$1:$I$89,5,0)</f>
        <v>239.86559999999992</v>
      </c>
      <c r="DQ110" s="13">
        <f t="shared" si="97"/>
        <v>58.410612724846153</v>
      </c>
      <c r="DR110" s="20">
        <f t="shared" si="70"/>
        <v>519.49773716244022</v>
      </c>
      <c r="DS110" s="59">
        <f t="shared" si="71"/>
        <v>812.83107049577347</v>
      </c>
      <c r="DT110" s="59">
        <f ca="1">AVERAGE(OFFSET($DS$3,0,0,'Données projet'!$E$14+1,1))-AVERAGE(OFFSET($H$3,0,0,'Données projet'!$E$14+1,1))</f>
        <v>325.01961068962373</v>
      </c>
      <c r="DU110" s="59">
        <f t="shared" si="98"/>
        <v>155.12737608540039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11.16425540227498</v>
      </c>
      <c r="EB110" s="21">
        <f>EXP(-LN(2)/25)*EB109+(1-EXP(-LN(2)/25))/(LN(2)/25)*Calculateur!DW110*Calculateur!DY110*VLOOKUP('Données projet'!$B$14,Paramètres!$A$1:$I$89,3,0)*0.475*44/12</f>
        <v>21.777922719289471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32.942178121564453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-1.7053025658242404E-13</v>
      </c>
      <c r="EK110" s="17">
        <f>EJ110*VLOOKUP('Données projet'!$B$15,Paramètres!$A$1:$I$89,3,0)*VLOOKUP('Données projet'!$B$15,Paramètres!$A$1:$I$89,5,0)</f>
        <v>-1.1439169611549005E-13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178.09619481964575</v>
      </c>
      <c r="EP110" s="59">
        <f t="shared" si="100"/>
        <v>178.65167777495174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52.440601245133116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3.0284722243556304E-3</v>
      </c>
      <c r="EY110" s="22">
        <f t="shared" si="75"/>
        <v>52.443629717357474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-1.7053025658242404E-13</v>
      </c>
      <c r="FF110" s="17">
        <f>FE110*VLOOKUP('Données projet'!$B$16,Paramètres!$A$1:$I$89,3,0)*VLOOKUP('Données projet'!$B$16,Paramètres!$A$1:$I$89,5,0)</f>
        <v>-1.3567387213697657E-13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219.43439115440339</v>
      </c>
      <c r="FK110" s="59">
        <f t="shared" si="102"/>
        <v>217.8880462742099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62.196992174460192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3.5919089172590057E-3</v>
      </c>
      <c r="FT110" s="22">
        <f t="shared" si="78"/>
        <v>62.20058408337745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191.77102466144095</v>
      </c>
      <c r="GF110" s="59">
        <f t="shared" si="104"/>
        <v>205.57161411620217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45.819557209203751</v>
      </c>
      <c r="GM110" s="21">
        <f>EXP(-LN(2)/25)*GM109+(1-EXP(-LN(2)/25))/(LN(2)/25)*Calculateur!GH110*Calculateur!GJ110*VLOOKUP('Données projet'!$B$17,Paramètres!$A$1:$I$89,3,0)*0.475*44/12</f>
        <v>6.6049878751589963</v>
      </c>
      <c r="GN110" s="21">
        <f>EXP(-LN(2)/2)*GN109+(1-EXP(-LN(2)/2))/(LN(2)/2)*GH110*GK110*VLOOKUP('Données projet'!$B$17,Paramètres!$A$1:$I$89,3,0)*0.475*44/12</f>
        <v>3.6215572196350677E-6</v>
      </c>
      <c r="GO110" s="21">
        <f t="shared" si="81"/>
        <v>52.424548705919968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84.31577618130467</v>
      </c>
      <c r="T111" s="59">
        <f t="shared" si="88"/>
        <v>527.2140904310653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26.091044998802108</v>
      </c>
      <c r="AA111" s="21">
        <f>EXP(-LN(2)/25)*AA110+(1-EXP(-LN(2)/25))/(LN(2)/25)*Calculateur!V111*Calculateur!X111*VLOOKUP('Données projet'!$B$9,Paramètres!$A$1:$I$89,3,0)*0.475*44/12</f>
        <v>4.0542181754251594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30.145263174227267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</v>
      </c>
      <c r="AI111" s="13">
        <f>IF('Données projet'!$A$62&gt;35,AI110+AH111-AQ110,IF(A111&lt;'Données projet'!$A$62,$AF$205^A111,IF(A111='Données projet'!$A$62,'Données projet'!$B$62,AI110+AH111-AQ110)))</f>
        <v>253.99999999999989</v>
      </c>
      <c r="AJ111" s="13">
        <f>AI111*VLOOKUP('Données projet'!$B$10,Paramètres!$A$1:$I$89,3,0)*VLOOKUP('Données projet'!$B$10,Paramètres!$A$1:$I$89,5,0)</f>
        <v>229.81919999999991</v>
      </c>
      <c r="AK111" s="13">
        <f t="shared" si="89"/>
        <v>56.243586554989342</v>
      </c>
      <c r="AL111" s="20">
        <f t="shared" si="58"/>
        <v>498.22601991660628</v>
      </c>
      <c r="AM111" s="59">
        <f t="shared" si="59"/>
        <v>791.55935324993959</v>
      </c>
      <c r="AN111" s="59">
        <f ca="1">AVERAGE(OFFSET($AM$3,0,0,'Données projet'!$E$10+1,1))-AVERAGE(OFFSET($H$3,0,0,'Données projet'!$E$10+1,1))</f>
        <v>297.90790572649428</v>
      </c>
      <c r="AO111" s="59">
        <f t="shared" si="90"/>
        <v>142.96889776844506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10.239180765723663</v>
      </c>
      <c r="AV111" s="21">
        <f>EXP(-LN(2)/25)*AV110+(1-EXP(-LN(2)/25))/(LN(2)/25)*Calculateur!AQ111*Calculateur!AS111*VLOOKUP('Données projet'!$B$10,Paramètres!$A$1:$I$89,3,0)*0.475*44/12</f>
        <v>19.815797549712912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30.054978315436575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</v>
      </c>
      <c r="BD111" s="12">
        <f>IF('Données projet'!$A$88&gt;35,BD110+BC111-BL110,IF(A111&lt;'Données projet'!$A$88,$BA$205^A111,IF(A111='Données projet'!$A$88,'Données projet'!$B$88,BD110+BC111-BL110)))</f>
        <v>253.99999999999989</v>
      </c>
      <c r="BE111" s="13">
        <f>BD111*VLOOKUP('Données projet'!$B$11,Paramètres!$A$1:$I$89,3,0)*VLOOKUP('Données projet'!$B$11,Paramètres!$A$1:$I$89,5,0)</f>
        <v>257.55599999999993</v>
      </c>
      <c r="BF111" s="13">
        <f t="shared" si="91"/>
        <v>62.201129910568184</v>
      </c>
      <c r="BG111" s="20">
        <f t="shared" si="61"/>
        <v>556.91033459423932</v>
      </c>
      <c r="BH111" s="59">
        <f t="shared" si="62"/>
        <v>850.24366792757269</v>
      </c>
      <c r="BI111" s="59">
        <f ca="1">AVERAGE(OFFSET($BH$3,0,0,'Données projet'!$E$11+1,1))-AVERAGE(OFFSET($H$3,0,0,'Données projet'!$E$11+1,1))</f>
        <v>345.3294887586967</v>
      </c>
      <c r="BJ111" s="59">
        <f t="shared" si="92"/>
        <v>164.23448598618114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11.474943961586863</v>
      </c>
      <c r="BQ111" s="21">
        <f>EXP(-LN(2)/25)*BQ110+(1-EXP(-LN(2)/25))/(LN(2)/25)*Calculateur!BL111*Calculateur!BN111*VLOOKUP('Données projet'!$B$11,Paramètres!$A$1:$I$89,3,0)*0.475*44/12</f>
        <v>22.207359322954126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33.682303284540993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289.07218105343333</v>
      </c>
      <c r="CE111" s="59">
        <f t="shared" si="94"/>
        <v>217.57508587672368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95.36549912567898</v>
      </c>
      <c r="CL111" s="21">
        <f>EXP(-LN(2)/25)*CL110+(1-EXP(-LN(2)/25))/(LN(2)/25)*Calculateur!CG111*Calculateur!CI111*VLOOKUP('Données projet'!$B$12,Paramètres!$A$1:$I$89,3,0)*0.475*44/12</f>
        <v>34.282282807111706</v>
      </c>
      <c r="CM111" s="21">
        <f>EXP(-LN(2)/2)*CM110+(1-EXP(-LN(2)/2))/(LN(2)/2)*CG111*CJ111*VLOOKUP('Données projet'!$B$12,Paramètres!$A$1:$I$89,3,0)*0.475*44/12</f>
        <v>4.7313233660555877E-3</v>
      </c>
      <c r="CN111" s="22">
        <f t="shared" si="66"/>
        <v>129.65251325615674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1.7053025658242404E-13</v>
      </c>
      <c r="CU111" s="17">
        <f>CT111*VLOOKUP('Données projet'!$B$13,Paramètres!$A$1:$I$89,3,0)*VLOOKUP('Données projet'!$B$13,Paramètres!$A$1:$I$89,5,0)</f>
        <v>1.4897523215040567E-13</v>
      </c>
      <c r="CV111" s="13">
        <f t="shared" si="95"/>
        <v>2.136562777003313E-12</v>
      </c>
      <c r="CW111" s="20">
        <f t="shared" si="67"/>
        <v>3.9806453659427267E-12</v>
      </c>
      <c r="CX111" s="59">
        <f t="shared" si="68"/>
        <v>293.33333333333729</v>
      </c>
      <c r="CY111" s="59">
        <f ca="1">AVERAGE(OFFSET($CX$3,0,0,'Données projet'!$E$13+1,1))-AVERAGE(OFFSET($H$3,0,0,'Données projet'!$E$13+1,1))</f>
        <v>237.8483058552178</v>
      </c>
      <c r="CZ111" s="59">
        <f t="shared" si="96"/>
        <v>313.36201272119723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41.302951407163881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7.8564851696240188E-5</v>
      </c>
      <c r="DI111" s="22">
        <f t="shared" si="69"/>
        <v>41.30302997201558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</v>
      </c>
      <c r="DO111" s="12">
        <f>IF('Données projet'!$A$166&gt;35,DO110+DN111-DW110,IF(A111&lt;'Données projet'!$A$166,$DL$205^A111,IF(A111='Données projet'!$A$166,'Données projet'!$B$166,DO110+DN111-DW110)))</f>
        <v>253.99999999999989</v>
      </c>
      <c r="DP111" s="17">
        <f>DO111*VLOOKUP('Données projet'!$B$14,Paramètres!$A$1:$I$89,3,0)*VLOOKUP('Données projet'!$B$14,Paramètres!$A$1:$I$89,5,0)</f>
        <v>245.66879999999989</v>
      </c>
      <c r="DQ111" s="13">
        <f t="shared" si="97"/>
        <v>59.657538312400213</v>
      </c>
      <c r="DR111" s="20">
        <f t="shared" si="70"/>
        <v>531.77670589409684</v>
      </c>
      <c r="DS111" s="59">
        <f t="shared" si="71"/>
        <v>825.11003922743021</v>
      </c>
      <c r="DT111" s="59">
        <f ca="1">AVERAGE(OFFSET($DS$3,0,0,'Données projet'!$E$14+1,1))-AVERAGE(OFFSET($H$3,0,0,'Données projet'!$E$14+1,1))</f>
        <v>325.01961068962373</v>
      </c>
      <c r="DU111" s="59">
        <f t="shared" si="98"/>
        <v>155.12737608540039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10.945331163359779</v>
      </c>
      <c r="EB111" s="21">
        <f>EXP(-LN(2)/25)*EB110+(1-EXP(-LN(2)/25))/(LN(2)/25)*Calculateur!DW111*Calculateur!DY111*VLOOKUP('Données projet'!$B$14,Paramètres!$A$1:$I$89,3,0)*0.475*44/12</f>
        <v>21.182404277279318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32.1277354406391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-1.7053025658242404E-13</v>
      </c>
      <c r="EK111" s="17">
        <f>EJ111*VLOOKUP('Données projet'!$B$15,Paramètres!$A$1:$I$89,3,0)*VLOOKUP('Données projet'!$B$15,Paramètres!$A$1:$I$89,5,0)</f>
        <v>-1.1439169611549005E-13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178.09619481964575</v>
      </c>
      <c r="EP111" s="59">
        <f t="shared" si="100"/>
        <v>178.65167777495174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51.4122730403245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2.1414532464769736E-3</v>
      </c>
      <c r="EY111" s="22">
        <f t="shared" si="75"/>
        <v>51.41441449357098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-1.7053025658242404E-13</v>
      </c>
      <c r="FF111" s="17">
        <f>FE111*VLOOKUP('Données projet'!$B$16,Paramètres!$A$1:$I$89,3,0)*VLOOKUP('Données projet'!$B$16,Paramètres!$A$1:$I$89,5,0)</f>
        <v>-1.3567387213697657E-13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219.43439115440339</v>
      </c>
      <c r="FK111" s="59">
        <f t="shared" si="102"/>
        <v>217.8880462742099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60.977347094338342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2.5398631527982726E-3</v>
      </c>
      <c r="FT111" s="22">
        <f t="shared" si="78"/>
        <v>60.979886957491139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191.77102466144095</v>
      </c>
      <c r="GF111" s="59">
        <f t="shared" si="104"/>
        <v>205.57161411620217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44.921063639501611</v>
      </c>
      <c r="GM111" s="21">
        <f>EXP(-LN(2)/25)*GM110+(1-EXP(-LN(2)/25))/(LN(2)/25)*Calculateur!GH111*Calculateur!GJ111*VLOOKUP('Données projet'!$B$17,Paramètres!$A$1:$I$89,3,0)*0.475*44/12</f>
        <v>6.4243741343715568</v>
      </c>
      <c r="GN111" s="21">
        <f>EXP(-LN(2)/2)*GN110+(1-EXP(-LN(2)/2))/(LN(2)/2)*GH111*GK111*VLOOKUP('Données projet'!$B$17,Paramètres!$A$1:$I$89,3,0)*0.475*44/12</f>
        <v>2.5608276684590555E-6</v>
      </c>
      <c r="GO111" s="21">
        <f t="shared" si="81"/>
        <v>51.345440334700832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84.31577618130467</v>
      </c>
      <c r="T112" s="59">
        <f t="shared" si="88"/>
        <v>527.2140904310653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25.579415520341673</v>
      </c>
      <c r="AA112" s="21">
        <f>EXP(-LN(2)/25)*AA111+(1-EXP(-LN(2)/25))/(LN(2)/25)*Calculateur!V112*Calculateur!X112*VLOOKUP('Données projet'!$B$9,Paramètres!$A$1:$I$89,3,0)*0.475*44/12</f>
        <v>3.9433553662160907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29.522770886557765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</v>
      </c>
      <c r="AI112" s="13">
        <f>IF('Données projet'!$A$62&gt;35,AI111+AH112-AQ111,IF(A112&lt;'Données projet'!$A$62,$AF$205^A112,IF(A112='Données projet'!$A$62,'Données projet'!$B$62,AI111+AH112-AQ111)))</f>
        <v>259.99999999999989</v>
      </c>
      <c r="AJ112" s="13">
        <f>AI112*VLOOKUP('Données projet'!$B$10,Paramètres!$A$1:$I$89,3,0)*VLOOKUP('Données projet'!$B$10,Paramètres!$A$1:$I$89,5,0)</f>
        <v>235.24799999999991</v>
      </c>
      <c r="AK112" s="13">
        <f t="shared" si="89"/>
        <v>57.41592756883739</v>
      </c>
      <c r="AL112" s="20">
        <f t="shared" si="58"/>
        <v>509.72300718239154</v>
      </c>
      <c r="AM112" s="59">
        <f t="shared" si="59"/>
        <v>803.05634051572486</v>
      </c>
      <c r="AN112" s="59">
        <f ca="1">AVERAGE(OFFSET($AM$3,0,0,'Données projet'!$E$10+1,1))-AVERAGE(OFFSET($H$3,0,0,'Données projet'!$E$10+1,1))</f>
        <v>297.90790572649428</v>
      </c>
      <c r="AO112" s="59">
        <f t="shared" si="90"/>
        <v>142.96889776844506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10.038396676191418</v>
      </c>
      <c r="AV112" s="21">
        <f>EXP(-LN(2)/25)*AV111+(1-EXP(-LN(2)/25))/(LN(2)/25)*Calculateur!AQ112*Calculateur!AS112*VLOOKUP('Données projet'!$B$10,Paramètres!$A$1:$I$89,3,0)*0.475*44/12</f>
        <v>19.273933523648509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29.312330199839927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</v>
      </c>
      <c r="BD112" s="12">
        <f>IF('Données projet'!$A$88&gt;35,BD111+BC112-BL111,IF(A112&lt;'Données projet'!$A$88,$BA$205^A112,IF(A112='Données projet'!$A$88,'Données projet'!$B$88,BD111+BC112-BL111)))</f>
        <v>259.99999999999989</v>
      </c>
      <c r="BE112" s="13">
        <f>BD112*VLOOKUP('Données projet'!$B$11,Paramètres!$A$1:$I$89,3,0)*VLOOKUP('Données projet'!$B$11,Paramètres!$A$1:$I$89,5,0)</f>
        <v>263.63999999999993</v>
      </c>
      <c r="BF112" s="13">
        <f t="shared" si="91"/>
        <v>63.497649925886755</v>
      </c>
      <c r="BG112" s="20">
        <f t="shared" si="61"/>
        <v>569.76474028758594</v>
      </c>
      <c r="BH112" s="59">
        <f t="shared" si="62"/>
        <v>863.09807362091919</v>
      </c>
      <c r="BI112" s="59">
        <f ca="1">AVERAGE(OFFSET($BH$3,0,0,'Données projet'!$E$11+1,1))-AVERAGE(OFFSET($H$3,0,0,'Données projet'!$E$11+1,1))</f>
        <v>345.3294887586967</v>
      </c>
      <c r="BJ112" s="59">
        <f t="shared" si="92"/>
        <v>164.23448598618114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11.249927309524866</v>
      </c>
      <c r="BQ112" s="21">
        <f>EXP(-LN(2)/25)*BQ111+(1-EXP(-LN(2)/25))/(LN(2)/25)*Calculateur!BL112*Calculateur!BN112*VLOOKUP('Données projet'!$B$11,Paramètres!$A$1:$I$89,3,0)*0.475*44/12</f>
        <v>21.600097914433675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32.850025223958539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289.07218105343333</v>
      </c>
      <c r="CE112" s="59">
        <f t="shared" si="94"/>
        <v>217.57508587672368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93.495439855035343</v>
      </c>
      <c r="CL112" s="21">
        <f>EXP(-LN(2)/25)*CL111+(1-EXP(-LN(2)/25))/(LN(2)/25)*Calculateur!CG112*Calculateur!CI112*VLOOKUP('Données projet'!$B$12,Paramètres!$A$1:$I$89,3,0)*0.475*44/12</f>
        <v>33.34483198092434</v>
      </c>
      <c r="CM112" s="21">
        <f>EXP(-LN(2)/2)*CM111+(1-EXP(-LN(2)/2))/(LN(2)/2)*CG112*CJ112*VLOOKUP('Données projet'!$B$12,Paramètres!$A$1:$I$89,3,0)*0.475*44/12</f>
        <v>3.345550836124268E-3</v>
      </c>
      <c r="CN112" s="22">
        <f t="shared" si="66"/>
        <v>126.84361738679581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1.7053025658242404E-13</v>
      </c>
      <c r="CU112" s="17">
        <f>CT112*VLOOKUP('Données projet'!$B$13,Paramètres!$A$1:$I$89,3,0)*VLOOKUP('Données projet'!$B$13,Paramètres!$A$1:$I$89,5,0)</f>
        <v>1.4897523215040567E-13</v>
      </c>
      <c r="CV112" s="13">
        <f t="shared" si="95"/>
        <v>2.136562777003313E-12</v>
      </c>
      <c r="CW112" s="20">
        <f t="shared" si="67"/>
        <v>3.9806453659427267E-12</v>
      </c>
      <c r="CX112" s="59">
        <f t="shared" si="68"/>
        <v>293.33333333333729</v>
      </c>
      <c r="CY112" s="59">
        <f ca="1">AVERAGE(OFFSET($CX$3,0,0,'Données projet'!$E$13+1,1))-AVERAGE(OFFSET($H$3,0,0,'Données projet'!$E$13+1,1))</f>
        <v>237.8483058552178</v>
      </c>
      <c r="CZ112" s="59">
        <f t="shared" si="96"/>
        <v>313.36201272119723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40.493025722382221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5.5553739397326869E-5</v>
      </c>
      <c r="DI112" s="22">
        <f t="shared" si="69"/>
        <v>40.493081276121622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6</v>
      </c>
      <c r="DO112" s="12">
        <f>IF('Données projet'!$A$166&gt;35,DO111+DN112-DW111,IF(A112&lt;'Données projet'!$A$166,$DL$205^A112,IF(A112='Données projet'!$A$166,'Données projet'!$B$166,DO111+DN112-DW111)))</f>
        <v>259.99999999999989</v>
      </c>
      <c r="DP112" s="17">
        <f>DO112*VLOOKUP('Données projet'!$B$14,Paramètres!$A$1:$I$89,3,0)*VLOOKUP('Données projet'!$B$14,Paramètres!$A$1:$I$89,5,0)</f>
        <v>251.47199999999989</v>
      </c>
      <c r="DQ112" s="13">
        <f t="shared" si="97"/>
        <v>60.901039718208594</v>
      </c>
      <c r="DR112" s="20">
        <f t="shared" si="70"/>
        <v>544.04971084254646</v>
      </c>
      <c r="DS112" s="59">
        <f t="shared" si="71"/>
        <v>837.38304417587983</v>
      </c>
      <c r="DT112" s="59">
        <f ca="1">AVERAGE(OFFSET($DS$3,0,0,'Données projet'!$E$14+1,1))-AVERAGE(OFFSET($H$3,0,0,'Données projet'!$E$14+1,1))</f>
        <v>325.01961068962373</v>
      </c>
      <c r="DU112" s="59">
        <f t="shared" si="98"/>
        <v>155.12737608540039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10.730699895239104</v>
      </c>
      <c r="EB112" s="21">
        <f>EXP(-LN(2)/25)*EB111+(1-EXP(-LN(2)/25))/(LN(2)/25)*Calculateur!DW112*Calculateur!DY112*VLOOKUP('Données projet'!$B$14,Paramètres!$A$1:$I$89,3,0)*0.475*44/12</f>
        <v>20.603170318382887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31.333870213621992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-1.7053025658242404E-13</v>
      </c>
      <c r="EK112" s="17">
        <f>EJ112*VLOOKUP('Données projet'!$B$15,Paramètres!$A$1:$I$89,3,0)*VLOOKUP('Données projet'!$B$15,Paramètres!$A$1:$I$89,5,0)</f>
        <v>-1.1439169611549005E-13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178.09619481964575</v>
      </c>
      <c r="EP112" s="59">
        <f t="shared" si="100"/>
        <v>178.65167777495174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50.404109724393905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1.5142361121778152E-3</v>
      </c>
      <c r="EY112" s="22">
        <f t="shared" si="75"/>
        <v>50.405623960506084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-1.7053025658242404E-13</v>
      </c>
      <c r="FF112" s="17">
        <f>FE112*VLOOKUP('Données projet'!$B$16,Paramètres!$A$1:$I$89,3,0)*VLOOKUP('Données projet'!$B$16,Paramètres!$A$1:$I$89,5,0)</f>
        <v>-1.3567387213697657E-13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219.43439115440339</v>
      </c>
      <c r="FK112" s="59">
        <f t="shared" si="102"/>
        <v>217.8880462742099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59.78161851032764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1.7959544586295029E-3</v>
      </c>
      <c r="FT112" s="22">
        <f t="shared" si="78"/>
        <v>59.783414464786269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191.77102466144095</v>
      </c>
      <c r="GF112" s="59">
        <f t="shared" si="104"/>
        <v>205.57161411620217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44.040188980674365</v>
      </c>
      <c r="GM112" s="21">
        <f>EXP(-LN(2)/25)*GM111+(1-EXP(-LN(2)/25))/(LN(2)/25)*Calculateur!GH112*Calculateur!GJ112*VLOOKUP('Données projet'!$B$17,Paramètres!$A$1:$I$89,3,0)*0.475*44/12</f>
        <v>6.2486992858240136</v>
      </c>
      <c r="GN112" s="21">
        <f>EXP(-LN(2)/2)*GN111+(1-EXP(-LN(2)/2))/(LN(2)/2)*GH112*GK112*VLOOKUP('Données projet'!$B$17,Paramètres!$A$1:$I$89,3,0)*0.475*44/12</f>
        <v>1.8107786098175341E-6</v>
      </c>
      <c r="GO112" s="21">
        <f t="shared" si="81"/>
        <v>50.288890077276989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84.31577618130467</v>
      </c>
      <c r="T113" s="59">
        <f t="shared" si="88"/>
        <v>527.2140904310653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25.077818783890681</v>
      </c>
      <c r="AA113" s="21">
        <f>EXP(-LN(2)/25)*AA112+(1-EXP(-LN(2)/25))/(LN(2)/25)*Calculateur!V113*Calculateur!X113*VLOOKUP('Données projet'!$B$9,Paramètres!$A$1:$I$89,3,0)*0.475*44/12</f>
        <v>3.8355241063548657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28.913342890245545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</v>
      </c>
      <c r="AI113" s="13">
        <f>IF('Données projet'!$A$62&gt;35,AI112+AH113-AQ112,IF(A113&lt;'Données projet'!$A$62,$AF$205^A113,IF(A113='Données projet'!$A$62,'Données projet'!$B$62,AI112+AH113-AQ112)))</f>
        <v>265.99999999999989</v>
      </c>
      <c r="AJ113" s="13">
        <f>AI113*VLOOKUP('Données projet'!$B$10,Paramètres!$A$1:$I$89,3,0)*VLOOKUP('Données projet'!$B$10,Paramètres!$A$1:$I$89,5,0)</f>
        <v>240.67679999999987</v>
      </c>
      <c r="AK113" s="13">
        <f t="shared" si="89"/>
        <v>58.585123425001029</v>
      </c>
      <c r="AL113" s="20">
        <f t="shared" si="58"/>
        <v>521.21451663187645</v>
      </c>
      <c r="AM113" s="59">
        <f t="shared" si="59"/>
        <v>814.54784996520971</v>
      </c>
      <c r="AN113" s="59">
        <f ca="1">AVERAGE(OFFSET($AM$3,0,0,'Données projet'!$E$10+1,1))-AVERAGE(OFFSET($H$3,0,0,'Données projet'!$E$10+1,1))</f>
        <v>297.90790572649428</v>
      </c>
      <c r="AO113" s="59">
        <f t="shared" si="90"/>
        <v>142.96889776844506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9.8415498401886996</v>
      </c>
      <c r="AV113" s="21">
        <f>EXP(-LN(2)/25)*AV112+(1-EXP(-LN(2)/25))/(LN(2)/25)*Calculateur!AQ113*Calculateur!AS113*VLOOKUP('Données projet'!$B$10,Paramètres!$A$1:$I$89,3,0)*0.475*44/12</f>
        <v>18.746886797872229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28.588436638060926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</v>
      </c>
      <c r="BD113" s="12">
        <f>IF('Données projet'!$A$88&gt;35,BD112+BC113-BL112,IF(A113&lt;'Données projet'!$A$88,$BA$205^A113,IF(A113='Données projet'!$A$88,'Données projet'!$B$88,BD112+BC113-BL112)))</f>
        <v>265.99999999999989</v>
      </c>
      <c r="BE113" s="13">
        <f>BD113*VLOOKUP('Données projet'!$B$11,Paramètres!$A$1:$I$89,3,0)*VLOOKUP('Données projet'!$B$11,Paramètres!$A$1:$I$89,5,0)</f>
        <v>269.72399999999988</v>
      </c>
      <c r="BF113" s="13">
        <f t="shared" si="91"/>
        <v>64.790691635967406</v>
      </c>
      <c r="BG113" s="20">
        <f t="shared" si="61"/>
        <v>582.61308793264288</v>
      </c>
      <c r="BH113" s="59">
        <f t="shared" si="62"/>
        <v>875.94642126597614</v>
      </c>
      <c r="BI113" s="59">
        <f ca="1">AVERAGE(OFFSET($BH$3,0,0,'Données projet'!$E$11+1,1))-AVERAGE(OFFSET($H$3,0,0,'Données projet'!$E$11+1,1))</f>
        <v>345.3294887586967</v>
      </c>
      <c r="BJ113" s="59">
        <f t="shared" si="92"/>
        <v>164.23448598618114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11.029323096763198</v>
      </c>
      <c r="BQ113" s="21">
        <f>EXP(-LN(2)/25)*BQ112+(1-EXP(-LN(2)/25))/(LN(2)/25)*Calculateur!BL113*Calculateur!BN113*VLOOKUP('Données projet'!$B$11,Paramètres!$A$1:$I$89,3,0)*0.475*44/12</f>
        <v>21.009442101063705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32.038765197826905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289.07218105343333</v>
      </c>
      <c r="CE113" s="59">
        <f t="shared" si="94"/>
        <v>217.57508587672368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91.662051306065507</v>
      </c>
      <c r="CL113" s="21">
        <f>EXP(-LN(2)/25)*CL112+(1-EXP(-LN(2)/25))/(LN(2)/25)*Calculateur!CG113*Calculateur!CI113*VLOOKUP('Données projet'!$B$12,Paramètres!$A$1:$I$89,3,0)*0.475*44/12</f>
        <v>32.433015796877463</v>
      </c>
      <c r="CM113" s="21">
        <f>EXP(-LN(2)/2)*CM112+(1-EXP(-LN(2)/2))/(LN(2)/2)*CG113*CJ113*VLOOKUP('Données projet'!$B$12,Paramètres!$A$1:$I$89,3,0)*0.475*44/12</f>
        <v>2.3656616830277939E-3</v>
      </c>
      <c r="CN113" s="22">
        <f t="shared" si="66"/>
        <v>124.09743276462601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1.7053025658242404E-13</v>
      </c>
      <c r="CU113" s="17">
        <f>CT113*VLOOKUP('Données projet'!$B$13,Paramètres!$A$1:$I$89,3,0)*VLOOKUP('Données projet'!$B$13,Paramètres!$A$1:$I$89,5,0)</f>
        <v>1.4897523215040567E-13</v>
      </c>
      <c r="CV113" s="13">
        <f t="shared" si="95"/>
        <v>2.136562777003313E-12</v>
      </c>
      <c r="CW113" s="20">
        <f t="shared" si="67"/>
        <v>3.9806453659427267E-12</v>
      </c>
      <c r="CX113" s="59">
        <f t="shared" si="68"/>
        <v>293.33333333333729</v>
      </c>
      <c r="CY113" s="59">
        <f ca="1">AVERAGE(OFFSET($CX$3,0,0,'Données projet'!$E$13+1,1))-AVERAGE(OFFSET($H$3,0,0,'Données projet'!$E$13+1,1))</f>
        <v>237.8483058552178</v>
      </c>
      <c r="CZ113" s="59">
        <f t="shared" si="96"/>
        <v>313.36201272119723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39.698982186273241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3.9282425848120094E-5</v>
      </c>
      <c r="DI113" s="22">
        <f t="shared" si="69"/>
        <v>39.699021468699087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</v>
      </c>
      <c r="DO113" s="12">
        <f>IF('Données projet'!$A$166&gt;35,DO112+DN113-DW112,IF(A113&lt;'Données projet'!$A$166,$DL$205^A113,IF(A113='Données projet'!$A$166,'Données projet'!$B$166,DO112+DN113-DW112)))</f>
        <v>265.99999999999989</v>
      </c>
      <c r="DP113" s="17">
        <f>DO113*VLOOKUP('Données projet'!$B$14,Paramètres!$A$1:$I$89,3,0)*VLOOKUP('Données projet'!$B$14,Paramètres!$A$1:$I$89,5,0)</f>
        <v>257.27519999999993</v>
      </c>
      <c r="DQ113" s="13">
        <f t="shared" si="97"/>
        <v>62.141205057159539</v>
      </c>
      <c r="DR113" s="20">
        <f t="shared" si="70"/>
        <v>556.31690547455264</v>
      </c>
      <c r="DS113" s="59">
        <f t="shared" si="71"/>
        <v>849.6502388078859</v>
      </c>
      <c r="DT113" s="59">
        <f ca="1">AVERAGE(OFFSET($DS$3,0,0,'Données projet'!$E$14+1,1))-AVERAGE(OFFSET($H$3,0,0,'Données projet'!$E$14+1,1))</f>
        <v>325.01961068962373</v>
      </c>
      <c r="DU113" s="59">
        <f t="shared" si="98"/>
        <v>155.12737608540039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10.520277415374128</v>
      </c>
      <c r="EB113" s="21">
        <f>EXP(-LN(2)/25)*EB112+(1-EXP(-LN(2)/25))/(LN(2)/25)*Calculateur!DW113*Calculateur!DY113*VLOOKUP('Données projet'!$B$14,Paramètres!$A$1:$I$89,3,0)*0.475*44/12</f>
        <v>20.03977554255307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30.560052957927198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-1.7053025658242404E-13</v>
      </c>
      <c r="EK113" s="17">
        <f>EJ113*VLOOKUP('Données projet'!$B$15,Paramètres!$A$1:$I$89,3,0)*VLOOKUP('Données projet'!$B$15,Paramètres!$A$1:$I$89,5,0)</f>
        <v>-1.1439169611549005E-13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178.09619481964575</v>
      </c>
      <c r="EP113" s="59">
        <f t="shared" si="100"/>
        <v>178.65167777495174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49.415715876169806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1.0707266232384868E-3</v>
      </c>
      <c r="EY113" s="22">
        <f t="shared" si="75"/>
        <v>49.416786602793046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-1.7053025658242404E-13</v>
      </c>
      <c r="FF113" s="17">
        <f>FE113*VLOOKUP('Données projet'!$B$16,Paramètres!$A$1:$I$89,3,0)*VLOOKUP('Données projet'!$B$16,Paramètres!$A$1:$I$89,5,0)</f>
        <v>-1.3567387213697657E-13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219.43439115440339</v>
      </c>
      <c r="FK113" s="59">
        <f t="shared" si="102"/>
        <v>217.8880462742099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58.609337434526964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1.2699315763991363E-3</v>
      </c>
      <c r="FT113" s="22">
        <f t="shared" si="78"/>
        <v>58.610607366103366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191.77102466144095</v>
      </c>
      <c r="GF113" s="59">
        <f t="shared" si="104"/>
        <v>205.57161411620217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43.176587736626232</v>
      </c>
      <c r="GM113" s="21">
        <f>EXP(-LN(2)/25)*GM112+(1-EXP(-LN(2)/25))/(LN(2)/25)*Calculateur!GH113*Calculateur!GJ113*VLOOKUP('Données projet'!$B$17,Paramètres!$A$1:$I$89,3,0)*0.475*44/12</f>
        <v>6.0778282752483417</v>
      </c>
      <c r="GN113" s="21">
        <f>EXP(-LN(2)/2)*GN112+(1-EXP(-LN(2)/2))/(LN(2)/2)*GH113*GK113*VLOOKUP('Données projet'!$B$17,Paramètres!$A$1:$I$89,3,0)*0.475*44/12</f>
        <v>1.2804138342295278E-6</v>
      </c>
      <c r="GO113" s="21">
        <f t="shared" si="81"/>
        <v>49.254417292288409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84.31577618130467</v>
      </c>
      <c r="T114" s="59">
        <f t="shared" si="88"/>
        <v>527.2140904310653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24.586058053497691</v>
      </c>
      <c r="AA114" s="21">
        <f>EXP(-LN(2)/25)*AA113+(1-EXP(-LN(2)/25))/(LN(2)/25)*Calculateur!V114*Calculateur!X114*VLOOKUP('Données projet'!$B$9,Paramètres!$A$1:$I$89,3,0)*0.475*44/12</f>
        <v>3.7306414979651454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28.316699551462836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</v>
      </c>
      <c r="AI114" s="13">
        <f>IF('Données projet'!$A$62&gt;35,AI113+AH114-AQ113,IF(A114&lt;'Données projet'!$A$62,$AF$205^A114,IF(A114='Données projet'!$A$62,'Données projet'!$B$62,AI113+AH114-AQ113)))</f>
        <v>271.99999999999989</v>
      </c>
      <c r="AJ114" s="13">
        <f>AI114*VLOOKUP('Données projet'!$B$10,Paramètres!$A$1:$I$89,3,0)*VLOOKUP('Données projet'!$B$10,Paramètres!$A$1:$I$89,5,0)</f>
        <v>246.1055999999999</v>
      </c>
      <c r="AK114" s="13">
        <f t="shared" si="89"/>
        <v>59.751253234371873</v>
      </c>
      <c r="AL114" s="20">
        <f t="shared" si="58"/>
        <v>532.70068604986409</v>
      </c>
      <c r="AM114" s="59">
        <f t="shared" si="59"/>
        <v>826.03401938319735</v>
      </c>
      <c r="AN114" s="59">
        <f ca="1">AVERAGE(OFFSET($AM$3,0,0,'Données projet'!$E$10+1,1))-AVERAGE(OFFSET($H$3,0,0,'Données projet'!$E$10+1,1))</f>
        <v>297.90790572649428</v>
      </c>
      <c r="AO114" s="59">
        <f t="shared" si="90"/>
        <v>142.96889776844506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9.6485630505752784</v>
      </c>
      <c r="AV114" s="21">
        <f>EXP(-LN(2)/25)*AV113+(1-EXP(-LN(2)/25))/(LN(2)/25)*Calculateur!AQ114*Calculateur!AS114*VLOOKUP('Données projet'!$B$10,Paramètres!$A$1:$I$89,3,0)*0.475*44/12</f>
        <v>18.234252192528484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27.882815243103764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</v>
      </c>
      <c r="BD114" s="12">
        <f>IF('Données projet'!$A$88&gt;35,BD113+BC114-BL113,IF(A114&lt;'Données projet'!$A$88,$BA$205^A114,IF(A114='Données projet'!$A$88,'Données projet'!$B$88,BD113+BC114-BL113)))</f>
        <v>271.99999999999989</v>
      </c>
      <c r="BE114" s="13">
        <f>BD114*VLOOKUP('Données projet'!$B$11,Paramètres!$A$1:$I$89,3,0)*VLOOKUP('Données projet'!$B$11,Paramètres!$A$1:$I$89,5,0)</f>
        <v>275.80799999999988</v>
      </c>
      <c r="BF114" s="13">
        <f t="shared" si="91"/>
        <v>66.080342531440593</v>
      </c>
      <c r="BG114" s="20">
        <f t="shared" si="61"/>
        <v>595.45552990892554</v>
      </c>
      <c r="BH114" s="59">
        <f t="shared" si="62"/>
        <v>888.78886324225891</v>
      </c>
      <c r="BI114" s="59">
        <f ca="1">AVERAGE(OFFSET($BH$3,0,0,'Données projet'!$E$11+1,1))-AVERAGE(OFFSET($H$3,0,0,'Données projet'!$E$11+1,1))</f>
        <v>345.3294887586967</v>
      </c>
      <c r="BJ114" s="59">
        <f t="shared" si="92"/>
        <v>164.23448598618114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10.813044798058502</v>
      </c>
      <c r="BQ114" s="21">
        <f>EXP(-LN(2)/25)*BQ113+(1-EXP(-LN(2)/25))/(LN(2)/25)*Calculateur!BL114*Calculateur!BN114*VLOOKUP('Données projet'!$B$11,Paramètres!$A$1:$I$89,3,0)*0.475*44/12</f>
        <v>20.434937801971575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31.247982600030078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289.07218105343333</v>
      </c>
      <c r="CE114" s="59">
        <f t="shared" si="94"/>
        <v>217.57508587672368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89.864614388284366</v>
      </c>
      <c r="CL114" s="21">
        <f>EXP(-LN(2)/25)*CL113+(1-EXP(-LN(2)/25))/(LN(2)/25)*Calculateur!CG114*Calculateur!CI114*VLOOKUP('Données projet'!$B$12,Paramètres!$A$1:$I$89,3,0)*0.475*44/12</f>
        <v>31.546133274333673</v>
      </c>
      <c r="CM114" s="21">
        <f>EXP(-LN(2)/2)*CM113+(1-EXP(-LN(2)/2))/(LN(2)/2)*CG114*CJ114*VLOOKUP('Données projet'!$B$12,Paramètres!$A$1:$I$89,3,0)*0.475*44/12</f>
        <v>1.672775418062134E-3</v>
      </c>
      <c r="CN114" s="22">
        <f t="shared" si="66"/>
        <v>121.41242043803609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1.7053025658242404E-13</v>
      </c>
      <c r="CU114" s="17">
        <f>CT114*VLOOKUP('Données projet'!$B$13,Paramètres!$A$1:$I$89,3,0)*VLOOKUP('Données projet'!$B$13,Paramètres!$A$1:$I$89,5,0)</f>
        <v>1.4897523215040567E-13</v>
      </c>
      <c r="CV114" s="13">
        <f t="shared" si="95"/>
        <v>2.136562777003313E-12</v>
      </c>
      <c r="CW114" s="20">
        <f t="shared" si="67"/>
        <v>3.9806453659427267E-12</v>
      </c>
      <c r="CX114" s="59">
        <f t="shared" si="68"/>
        <v>293.33333333333729</v>
      </c>
      <c r="CY114" s="59">
        <f ca="1">AVERAGE(OFFSET($CX$3,0,0,'Données projet'!$E$13+1,1))-AVERAGE(OFFSET($H$3,0,0,'Données projet'!$E$13+1,1))</f>
        <v>237.8483058552178</v>
      </c>
      <c r="CZ114" s="59">
        <f t="shared" si="96"/>
        <v>313.36201272119723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38.920509359588621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2.7776869698663434E-5</v>
      </c>
      <c r="DI114" s="22">
        <f t="shared" si="69"/>
        <v>38.920537136458321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</v>
      </c>
      <c r="DO114" s="12">
        <f>IF('Données projet'!$A$166&gt;35,DO113+DN114-DW113,IF(A114&lt;'Données projet'!$A$166,$DL$205^A114,IF(A114='Données projet'!$A$166,'Données projet'!$B$166,DO113+DN114-DW113)))</f>
        <v>271.99999999999989</v>
      </c>
      <c r="DP114" s="17">
        <f>DO114*VLOOKUP('Données projet'!$B$14,Paramètres!$A$1:$I$89,3,0)*VLOOKUP('Données projet'!$B$14,Paramètres!$A$1:$I$89,5,0)</f>
        <v>263.07839999999987</v>
      </c>
      <c r="DQ114" s="13">
        <f t="shared" si="97"/>
        <v>63.378118242127911</v>
      </c>
      <c r="DR114" s="20">
        <f t="shared" si="70"/>
        <v>568.57843593837254</v>
      </c>
      <c r="DS114" s="59">
        <f t="shared" si="71"/>
        <v>861.91176927170591</v>
      </c>
      <c r="DT114" s="59">
        <f ca="1">AVERAGE(OFFSET($DS$3,0,0,'Données projet'!$E$14+1,1))-AVERAGE(OFFSET($H$3,0,0,'Données projet'!$E$14+1,1))</f>
        <v>325.01961068962373</v>
      </c>
      <c r="DU114" s="59">
        <f t="shared" si="98"/>
        <v>155.12737608540039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10.313981191994264</v>
      </c>
      <c r="EB114" s="21">
        <f>EXP(-LN(2)/25)*EB113+(1-EXP(-LN(2)/25))/(LN(2)/25)*Calculateur!DW114*Calculateur!DY114*VLOOKUP('Données projet'!$B$14,Paramètres!$A$1:$I$89,3,0)*0.475*44/12</f>
        <v>19.491786826495961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29.805768018490227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-1.7053025658242404E-13</v>
      </c>
      <c r="EK114" s="17">
        <f>EJ114*VLOOKUP('Données projet'!$B$15,Paramètres!$A$1:$I$89,3,0)*VLOOKUP('Données projet'!$B$15,Paramètres!$A$1:$I$89,5,0)</f>
        <v>-1.1439169611549005E-13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178.09619481964575</v>
      </c>
      <c r="EP114" s="59">
        <f t="shared" si="100"/>
        <v>178.65167777495174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48.446703828448662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7.5711805608890759E-4</v>
      </c>
      <c r="EY114" s="22">
        <f t="shared" si="75"/>
        <v>48.447460946504748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-1.7053025658242404E-13</v>
      </c>
      <c r="FF114" s="17">
        <f>FE114*VLOOKUP('Données projet'!$B$16,Paramètres!$A$1:$I$89,3,0)*VLOOKUP('Données projet'!$B$16,Paramètres!$A$1:$I$89,5,0)</f>
        <v>-1.3567387213697657E-13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219.43439115440339</v>
      </c>
      <c r="FK114" s="59">
        <f t="shared" si="102"/>
        <v>217.8880462742099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57.460044075601886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8.9797722931475143E-4</v>
      </c>
      <c r="FT114" s="22">
        <f t="shared" si="78"/>
        <v>57.4609420528312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191.77102466144095</v>
      </c>
      <c r="GF114" s="59">
        <f t="shared" si="104"/>
        <v>205.57161411620217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42.329921186229136</v>
      </c>
      <c r="GM114" s="21">
        <f>EXP(-LN(2)/25)*GM113+(1-EXP(-LN(2)/25))/(LN(2)/25)*Calculateur!GH114*Calculateur!GJ114*VLOOKUP('Données projet'!$B$17,Paramètres!$A$1:$I$89,3,0)*0.475*44/12</f>
        <v>5.911629741442578</v>
      </c>
      <c r="GN114" s="21">
        <f>EXP(-LN(2)/2)*GN113+(1-EXP(-LN(2)/2))/(LN(2)/2)*GH114*GK114*VLOOKUP('Données projet'!$B$17,Paramètres!$A$1:$I$89,3,0)*0.475*44/12</f>
        <v>9.0538930490876704E-7</v>
      </c>
      <c r="GO114" s="21">
        <f t="shared" si="81"/>
        <v>48.241551833061017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84.31577618130467</v>
      </c>
      <c r="T115" s="59">
        <f t="shared" si="88"/>
        <v>527.2140904310653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24.103940451083279</v>
      </c>
      <c r="AA115" s="21">
        <f>EXP(-LN(2)/25)*AA114+(1-EXP(-LN(2)/25))/(LN(2)/25)*Calculateur!V115*Calculateur!X115*VLOOKUP('Données projet'!$B$9,Paramètres!$A$1:$I$89,3,0)*0.475*44/12</f>
        <v>3.6286269100173785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27.732567361100656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</v>
      </c>
      <c r="AI115" s="13">
        <f>IF('Données projet'!$A$62&gt;35,AI114+AH115-AQ114,IF(A115&lt;'Données projet'!$A$62,$AF$205^A115,IF(A115='Données projet'!$A$62,'Données projet'!$B$62,AI114+AH115-AQ114)))</f>
        <v>277.99999999999989</v>
      </c>
      <c r="AJ115" s="13">
        <f>AI115*VLOOKUP('Données projet'!$B$10,Paramètres!$A$1:$I$89,3,0)*VLOOKUP('Données projet'!$B$10,Paramètres!$A$1:$I$89,5,0)</f>
        <v>251.53439999999989</v>
      </c>
      <c r="AK115" s="13">
        <f t="shared" si="89"/>
        <v>60.914392418364585</v>
      </c>
      <c r="AL115" s="20">
        <f t="shared" si="58"/>
        <v>544.1816467953181</v>
      </c>
      <c r="AM115" s="59">
        <f t="shared" si="59"/>
        <v>837.51498012865136</v>
      </c>
      <c r="AN115" s="59">
        <f ca="1">AVERAGE(OFFSET($AM$3,0,0,'Données projet'!$E$10+1,1))-AVERAGE(OFFSET($H$3,0,0,'Données projet'!$E$10+1,1))</f>
        <v>297.90790572649428</v>
      </c>
      <c r="AO115" s="59">
        <f t="shared" si="90"/>
        <v>142.96889776844506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9.4593606141958588</v>
      </c>
      <c r="AV115" s="21">
        <f>EXP(-LN(2)/25)*AV114+(1-EXP(-LN(2)/25))/(LN(2)/25)*Calculateur!AQ115*Calculateur!AS115*VLOOKUP('Données projet'!$B$10,Paramètres!$A$1:$I$89,3,0)*0.475*44/12</f>
        <v>17.735635607426143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27.194996221622002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</v>
      </c>
      <c r="BD115" s="12">
        <f>IF('Données projet'!$A$88&gt;35,BD114+BC115-BL114,IF(A115&lt;'Données projet'!$A$88,$BA$205^A115,IF(A115='Données projet'!$A$88,'Données projet'!$B$88,BD114+BC115-BL114)))</f>
        <v>277.99999999999989</v>
      </c>
      <c r="BE115" s="13">
        <f>BD115*VLOOKUP('Données projet'!$B$11,Paramètres!$A$1:$I$89,3,0)*VLOOKUP('Données projet'!$B$11,Paramètres!$A$1:$I$89,5,0)</f>
        <v>281.89199999999988</v>
      </c>
      <c r="BF115" s="13">
        <f t="shared" si="91"/>
        <v>67.366686022655614</v>
      </c>
      <c r="BG115" s="20">
        <f t="shared" si="61"/>
        <v>608.29221148945828</v>
      </c>
      <c r="BH115" s="59">
        <f t="shared" si="62"/>
        <v>901.62554482279165</v>
      </c>
      <c r="BI115" s="59">
        <f ca="1">AVERAGE(OFFSET($BH$3,0,0,'Données projet'!$E$11+1,1))-AVERAGE(OFFSET($H$3,0,0,'Données projet'!$E$11+1,1))</f>
        <v>345.3294887586967</v>
      </c>
      <c r="BJ115" s="59">
        <f t="shared" si="92"/>
        <v>164.23448598618114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10.601007584874671</v>
      </c>
      <c r="BQ115" s="21">
        <f>EXP(-LN(2)/25)*BQ114+(1-EXP(-LN(2)/25))/(LN(2)/25)*Calculateur!BL115*Calculateur!BN115*VLOOKUP('Données projet'!$B$11,Paramètres!$A$1:$I$89,3,0)*0.475*44/12</f>
        <v>19.876143353149988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30.477150938024657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289.07218105343333</v>
      </c>
      <c r="CE115" s="59">
        <f t="shared" si="94"/>
        <v>217.57508587672368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88.102424112132653</v>
      </c>
      <c r="CL115" s="21">
        <f>EXP(-LN(2)/25)*CL114+(1-EXP(-LN(2)/25))/(LN(2)/25)*Calculateur!CG115*Calculateur!CI115*VLOOKUP('Données projet'!$B$12,Paramètres!$A$1:$I$89,3,0)*0.475*44/12</f>
        <v>30.683502601007969</v>
      </c>
      <c r="CM115" s="21">
        <f>EXP(-LN(2)/2)*CM114+(1-EXP(-LN(2)/2))/(LN(2)/2)*CG115*CJ115*VLOOKUP('Données projet'!$B$12,Paramètres!$A$1:$I$89,3,0)*0.475*44/12</f>
        <v>1.1828308415138969E-3</v>
      </c>
      <c r="CN115" s="22">
        <f t="shared" si="66"/>
        <v>118.78710954398214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1.7053025658242404E-13</v>
      </c>
      <c r="CU115" s="17">
        <f>CT115*VLOOKUP('Données projet'!$B$13,Paramètres!$A$1:$I$89,3,0)*VLOOKUP('Données projet'!$B$13,Paramètres!$A$1:$I$89,5,0)</f>
        <v>1.4897523215040567E-13</v>
      </c>
      <c r="CV115" s="13">
        <f t="shared" si="95"/>
        <v>2.136562777003313E-12</v>
      </c>
      <c r="CW115" s="20">
        <f t="shared" si="67"/>
        <v>3.9806453659427267E-12</v>
      </c>
      <c r="CX115" s="59">
        <f t="shared" si="68"/>
        <v>293.33333333333729</v>
      </c>
      <c r="CY115" s="59">
        <f ca="1">AVERAGE(OFFSET($CX$3,0,0,'Données projet'!$E$13+1,1))-AVERAGE(OFFSET($H$3,0,0,'Données projet'!$E$13+1,1))</f>
        <v>237.8483058552178</v>
      </c>
      <c r="CZ115" s="59">
        <f t="shared" si="96"/>
        <v>313.36201272119723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38.157301910213747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1.9641212924060047E-5</v>
      </c>
      <c r="DI115" s="22">
        <f t="shared" si="69"/>
        <v>38.157321551426669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</v>
      </c>
      <c r="DO115" s="12">
        <f>IF('Données projet'!$A$166&gt;35,DO114+DN115-DW114,IF(A115&lt;'Données projet'!$A$166,$DL$205^A115,IF(A115='Données projet'!$A$166,'Données projet'!$B$166,DO114+DN115-DW114)))</f>
        <v>277.99999999999989</v>
      </c>
      <c r="DP115" s="17">
        <f>DO115*VLOOKUP('Données projet'!$B$14,Paramètres!$A$1:$I$89,3,0)*VLOOKUP('Données projet'!$B$14,Paramètres!$A$1:$I$89,5,0)</f>
        <v>268.88159999999988</v>
      </c>
      <c r="DQ115" s="13">
        <f t="shared" si="97"/>
        <v>64.611859272562555</v>
      </c>
      <c r="DR115" s="20">
        <f t="shared" si="70"/>
        <v>580.8344415663795</v>
      </c>
      <c r="DS115" s="59">
        <f t="shared" si="71"/>
        <v>874.16777489971287</v>
      </c>
      <c r="DT115" s="59">
        <f ca="1">AVERAGE(OFFSET($DS$3,0,0,'Données projet'!$E$14+1,1))-AVERAGE(OFFSET($H$3,0,0,'Données projet'!$E$14+1,1))</f>
        <v>325.01961068962373</v>
      </c>
      <c r="DU115" s="59">
        <f t="shared" si="98"/>
        <v>155.12737608540039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10.111730311726609</v>
      </c>
      <c r="EB115" s="21">
        <f>EXP(-LN(2)/25)*EB114+(1-EXP(-LN(2)/25))/(LN(2)/25)*Calculateur!DW115*Calculateur!DY115*VLOOKUP('Données projet'!$B$14,Paramètres!$A$1:$I$89,3,0)*0.475*44/12</f>
        <v>18.958782890696909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29.07051320242352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-1.7053025658242404E-13</v>
      </c>
      <c r="EK115" s="17">
        <f>EJ115*VLOOKUP('Données projet'!$B$15,Paramètres!$A$1:$I$89,3,0)*VLOOKUP('Données projet'!$B$15,Paramètres!$A$1:$I$89,5,0)</f>
        <v>-1.1439169611549005E-13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178.09619481964575</v>
      </c>
      <c r="EP115" s="59">
        <f t="shared" si="100"/>
        <v>178.65167777495174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47.496693515944344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5.3536331161924339E-4</v>
      </c>
      <c r="EY115" s="22">
        <f t="shared" si="75"/>
        <v>47.497228879255964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-1.7053025658242404E-13</v>
      </c>
      <c r="FF115" s="17">
        <f>FE115*VLOOKUP('Données projet'!$B$16,Paramètres!$A$1:$I$89,3,0)*VLOOKUP('Données projet'!$B$16,Paramètres!$A$1:$I$89,5,0)</f>
        <v>-1.3567387213697657E-13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219.43439115440339</v>
      </c>
      <c r="FK115" s="59">
        <f t="shared" si="102"/>
        <v>217.8880462742099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56.333287658445599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6.3496578819956814E-4</v>
      </c>
      <c r="FT115" s="22">
        <f t="shared" si="78"/>
        <v>56.3339226242338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191.77102466144095</v>
      </c>
      <c r="GF115" s="59">
        <f t="shared" si="104"/>
        <v>205.57161411620217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41.499857250469724</v>
      </c>
      <c r="GM115" s="21">
        <f>EXP(-LN(2)/25)*GM114+(1-EXP(-LN(2)/25))/(LN(2)/25)*Calculateur!GH115*Calculateur!GJ115*VLOOKUP('Données projet'!$B$17,Paramètres!$A$1:$I$89,3,0)*0.475*44/12</f>
        <v>5.7499759152837342</v>
      </c>
      <c r="GN115" s="21">
        <f>EXP(-LN(2)/2)*GN114+(1-EXP(-LN(2)/2))/(LN(2)/2)*GH115*GK115*VLOOKUP('Données projet'!$B$17,Paramètres!$A$1:$I$89,3,0)*0.475*44/12</f>
        <v>6.4020691711476389E-7</v>
      </c>
      <c r="GO115" s="21">
        <f t="shared" si="81"/>
        <v>47.249833805960378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84.31577618130467</v>
      </c>
      <c r="T116" s="59">
        <f t="shared" si="88"/>
        <v>527.2140904310653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23.631276880789514</v>
      </c>
      <c r="AA116" s="21">
        <f>EXP(-LN(2)/25)*AA115+(1-EXP(-LN(2)/25))/(LN(2)/25)*Calculateur!V116*Calculateur!X116*VLOOKUP('Données projet'!$B$9,Paramètres!$A$1:$I$89,3,0)*0.475*44/12</f>
        <v>3.5294019163417576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27.160678797131272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284</v>
      </c>
      <c r="AG116" s="12">
        <f>VLOOKUP(A116,'Données projet'!$A$61:$I$81,9,0)</f>
        <v>6</v>
      </c>
      <c r="AH116" s="12">
        <f t="array" ref="AH116">INDEX(AG:AG,MIN(IF(ISNUMBER(AG116:AG312),ROW(AG116:AG312),"")))</f>
        <v>6</v>
      </c>
      <c r="AI116" s="13">
        <f>IF('Données projet'!$A$62&gt;35,AI115+AH116-AQ115,IF(A116&lt;'Données projet'!$A$62,$AF$205^A116,IF(A116='Données projet'!$A$62,'Données projet'!$B$62,AI115+AH116-AQ115)))</f>
        <v>283.99999999999989</v>
      </c>
      <c r="AJ116" s="13">
        <f>AI116*VLOOKUP('Données projet'!$B$10,Paramètres!$A$1:$I$89,3,0)*VLOOKUP('Données projet'!$B$10,Paramètres!$A$1:$I$89,5,0)</f>
        <v>256.96319999999986</v>
      </c>
      <c r="AK116" s="13">
        <f t="shared" si="89"/>
        <v>62.074612956837967</v>
      </c>
      <c r="AL116" s="20">
        <f t="shared" si="58"/>
        <v>555.65752423315917</v>
      </c>
      <c r="AM116" s="59">
        <f t="shared" si="59"/>
        <v>848.99085756649242</v>
      </c>
      <c r="AN116" s="59">
        <f ca="1">AVERAGE(OFFSET($AM$3,0,0,'Données projet'!$E$10+1,1))-AVERAGE(OFFSET($H$3,0,0,'Données projet'!$E$10+1,1))</f>
        <v>297.90790572649428</v>
      </c>
      <c r="AO116" s="59">
        <f t="shared" si="90"/>
        <v>142.96889776844506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42</v>
      </c>
      <c r="AR116" s="16">
        <f>IF(ISNA(VLOOKUP(A116,'Données projet'!$A$61:$I$81,5,0)),0%,VLOOKUP(A116,'Données projet'!$A$61:$I$81,5,0)*VLOOKUP('Données projet'!$B$10,Paramètres!$A$1:$I$89,7,0))</f>
        <v>0.30099999999999999</v>
      </c>
      <c r="AS116" s="16">
        <f>IF(ISNA(VLOOKUP(A116,'Données projet'!$A$61:$I$81,6,0)),0%,VLOOKUP(A116,'Données projet'!$A$61:$I$81,6,0)*VLOOKUP('Données projet'!$B$10,Paramètres!$A$1:$I$89,7,0))</f>
        <v>4.3000000000000003E-2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21.918770917824414</v>
      </c>
      <c r="AV116" s="21">
        <f>EXP(-LN(2)/25)*AV115+(1-EXP(-LN(2)/25))/(LN(2)/25)*Calculateur!AQ116*Calculateur!AS116*VLOOKUP('Données projet'!$B$10,Paramètres!$A$1:$I$89,3,0)*0.475*44/12</f>
        <v>19.049955832782825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40.968726750607239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284</v>
      </c>
      <c r="BB116" s="12">
        <f>VLOOKUP(A116,'Données projet'!$A$87:$I$107,9,0)</f>
        <v>6</v>
      </c>
      <c r="BC116" s="12">
        <f t="array" ref="BC116">INDEX(BB:BB,MIN(IF(ISNUMBER(BB116:BB312),ROW(BB116:BB312),"")))</f>
        <v>6</v>
      </c>
      <c r="BD116" s="12">
        <f>IF('Données projet'!$A$88&gt;35,BD115+BC116-BL115,IF(A116&lt;'Données projet'!$A$88,$BA$205^A116,IF(A116='Données projet'!$A$88,'Données projet'!$B$88,BD115+BC116-BL115)))</f>
        <v>283.99999999999989</v>
      </c>
      <c r="BE116" s="13">
        <f>BD116*VLOOKUP('Données projet'!$B$11,Paramètres!$A$1:$I$89,3,0)*VLOOKUP('Données projet'!$B$11,Paramètres!$A$1:$I$89,5,0)</f>
        <v>287.97599999999989</v>
      </c>
      <c r="BF116" s="13">
        <f t="shared" si="91"/>
        <v>68.649801713863141</v>
      </c>
      <c r="BG116" s="20">
        <f t="shared" si="61"/>
        <v>621.12327131831137</v>
      </c>
      <c r="BH116" s="59">
        <f t="shared" si="62"/>
        <v>914.45660465164474</v>
      </c>
      <c r="BI116" s="59">
        <f ca="1">AVERAGE(OFFSET($BH$3,0,0,'Données projet'!$E$11+1,1))-AVERAGE(OFFSET($H$3,0,0,'Données projet'!$E$11+1,1))</f>
        <v>345.3294887586967</v>
      </c>
      <c r="BJ116" s="59">
        <f t="shared" si="92"/>
        <v>164.23448598618114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42</v>
      </c>
      <c r="BM116" s="16">
        <f>IF(ISNA(VLOOKUP(A116,'Données projet'!$A$87:$I$107,5,0)),0%,VLOOKUP(A116,'Données projet'!$A$87:$I$107,5,0)*VLOOKUP('Données projet'!$B$11,Paramètres!$A$1:$I$89,7,0))</f>
        <v>0.30099999999999999</v>
      </c>
      <c r="BN116" s="16">
        <f>IF(ISNA(VLOOKUP(A116,'Données projet'!$A$87:$I$107,6,0)),0%,VLOOKUP(A116,'Données projet'!$A$87:$I$107,6,0)*VLOOKUP('Données projet'!$B$11,Paramètres!$A$1:$I$89,7,0))</f>
        <v>4.3000000000000003E-2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24.564139821699779</v>
      </c>
      <c r="BQ116" s="21">
        <f>EXP(-LN(2)/25)*BQ115+(1-EXP(-LN(2)/25))/(LN(2)/25)*Calculateur!BL116*Calculateur!BN116*VLOOKUP('Données projet'!$B$11,Paramètres!$A$1:$I$89,3,0)*0.475*44/12</f>
        <v>21.349088433291097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45.913228254990877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289.07218105343333</v>
      </c>
      <c r="CE116" s="59">
        <f t="shared" si="94"/>
        <v>217.57508587672368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86.374789312466334</v>
      </c>
      <c r="CL116" s="21">
        <f>EXP(-LN(2)/25)*CL115+(1-EXP(-LN(2)/25))/(LN(2)/25)*Calculateur!CG116*Calculateur!CI116*VLOOKUP('Données projet'!$B$12,Paramètres!$A$1:$I$89,3,0)*0.475*44/12</f>
        <v>29.844460608808134</v>
      </c>
      <c r="CM116" s="21">
        <f>EXP(-LN(2)/2)*CM115+(1-EXP(-LN(2)/2))/(LN(2)/2)*CG116*CJ116*VLOOKUP('Données projet'!$B$12,Paramètres!$A$1:$I$89,3,0)*0.475*44/12</f>
        <v>8.36387709031067E-4</v>
      </c>
      <c r="CN116" s="22">
        <f t="shared" si="66"/>
        <v>116.2200863089835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1.7053025658242404E-13</v>
      </c>
      <c r="CU116" s="17">
        <f>CT116*VLOOKUP('Données projet'!$B$13,Paramètres!$A$1:$I$89,3,0)*VLOOKUP('Données projet'!$B$13,Paramètres!$A$1:$I$89,5,0)</f>
        <v>1.4897523215040567E-13</v>
      </c>
      <c r="CV116" s="13">
        <f t="shared" si="95"/>
        <v>2.136562777003313E-12</v>
      </c>
      <c r="CW116" s="20">
        <f t="shared" si="67"/>
        <v>3.9806453659427267E-12</v>
      </c>
      <c r="CX116" s="59">
        <f t="shared" si="68"/>
        <v>293.33333333333729</v>
      </c>
      <c r="CY116" s="59">
        <f ca="1">AVERAGE(OFFSET($CX$3,0,0,'Données projet'!$E$13+1,1))-AVERAGE(OFFSET($H$3,0,0,'Données projet'!$E$13+1,1))</f>
        <v>237.8483058552178</v>
      </c>
      <c r="CZ116" s="59">
        <f t="shared" si="96"/>
        <v>313.36201272119723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37.409060493410536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1.3888434849331717E-5</v>
      </c>
      <c r="DI116" s="22">
        <f t="shared" si="69"/>
        <v>37.409074381845386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284</v>
      </c>
      <c r="DM116" s="12">
        <f>VLOOKUP(A116,'Données projet'!$A$165:$I$185,9,0)</f>
        <v>6</v>
      </c>
      <c r="DN116" s="12">
        <f t="array" ref="DN116">INDEX(DM:DM,MIN(IF(ISNUMBER(DM116:DM312),ROW(DM116:DM312),"")))</f>
        <v>6</v>
      </c>
      <c r="DO116" s="12">
        <f>IF('Données projet'!$A$166&gt;35,DO115+DN116-DW115,IF(A116&lt;'Données projet'!$A$166,$DL$205^A116,IF(A116='Données projet'!$A$166,'Données projet'!$B$166,DO115+DN116-DW115)))</f>
        <v>283.99999999999989</v>
      </c>
      <c r="DP116" s="17">
        <f>DO116*VLOOKUP('Données projet'!$B$14,Paramètres!$A$1:$I$89,3,0)*VLOOKUP('Données projet'!$B$14,Paramètres!$A$1:$I$89,5,0)</f>
        <v>274.68479999999988</v>
      </c>
      <c r="DQ116" s="13">
        <f t="shared" si="97"/>
        <v>65.842504497456659</v>
      </c>
      <c r="DR116" s="20">
        <f t="shared" si="70"/>
        <v>593.08505533307016</v>
      </c>
      <c r="DS116" s="59">
        <f t="shared" si="71"/>
        <v>886.41838866640342</v>
      </c>
      <c r="DT116" s="59">
        <f ca="1">AVERAGE(OFFSET($DS$3,0,0,'Données projet'!$E$14+1,1))-AVERAGE(OFFSET($H$3,0,0,'Données projet'!$E$14+1,1))</f>
        <v>325.01961068962373</v>
      </c>
      <c r="DU116" s="59">
        <f t="shared" si="98"/>
        <v>155.12737608540039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42</v>
      </c>
      <c r="DX116" s="16">
        <f>IF(ISNA(VLOOKUP(A116,'Données projet'!$A$165:$I$185,5,0)),0%,VLOOKUP(A116,'Données projet'!$A$165:$I$185,5,0)*VLOOKUP('Données projet'!$B$14,Paramètres!$A$1:$I$89,7,0))</f>
        <v>0.30099999999999999</v>
      </c>
      <c r="DY116" s="16">
        <f>IF(ISNA(VLOOKUP(A116,'Données projet'!$A$165:$I$185,6,0)),0%,VLOOKUP(A116,'Données projet'!$A$165:$I$185,6,0)*VLOOKUP('Données projet'!$B$14,Paramètres!$A$1:$I$89,7,0))</f>
        <v>4.3000000000000003E-2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23.430410291467478</v>
      </c>
      <c r="EB116" s="21">
        <f>EXP(-LN(2)/25)*EB115+(1-EXP(-LN(2)/25))/(LN(2)/25)*Calculateur!DW116*Calculateur!DY116*VLOOKUP('Données projet'!$B$14,Paramètres!$A$1:$I$89,3,0)*0.475*44/12</f>
        <v>20.363745890216123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43.794156181683604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-1.7053025658242404E-13</v>
      </c>
      <c r="EK116" s="17">
        <f>EJ116*VLOOKUP('Données projet'!$B$15,Paramètres!$A$1:$I$89,3,0)*VLOOKUP('Données projet'!$B$15,Paramètres!$A$1:$I$89,5,0)</f>
        <v>-1.1439169611549005E-13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178.09619481964575</v>
      </c>
      <c r="EP116" s="59">
        <f t="shared" si="100"/>
        <v>178.65167777495174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46.565312326219157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3.785590280444538E-4</v>
      </c>
      <c r="EY116" s="22">
        <f t="shared" si="75"/>
        <v>46.5656908852472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-1.7053025658242404E-13</v>
      </c>
      <c r="FF116" s="17">
        <f>FE116*VLOOKUP('Données projet'!$B$16,Paramètres!$A$1:$I$89,3,0)*VLOOKUP('Données projet'!$B$16,Paramètres!$A$1:$I$89,5,0)</f>
        <v>-1.3567387213697657E-13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219.43439115440339</v>
      </c>
      <c r="FK116" s="59">
        <f t="shared" si="102"/>
        <v>217.8880462742099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55.228626247376191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4.4898861465737572E-4</v>
      </c>
      <c r="FT116" s="22">
        <f t="shared" si="78"/>
        <v>55.229075235990848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191.77102466144095</v>
      </c>
      <c r="GF116" s="59">
        <f t="shared" si="104"/>
        <v>205.57161411620217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40.686070362201541</v>
      </c>
      <c r="GM116" s="21">
        <f>EXP(-LN(2)/25)*GM115+(1-EXP(-LN(2)/25))/(LN(2)/25)*Calculateur!GH116*Calculateur!GJ116*VLOOKUP('Données projet'!$B$17,Paramètres!$A$1:$I$89,3,0)*0.475*44/12</f>
        <v>5.5927425215022089</v>
      </c>
      <c r="GN116" s="21">
        <f>EXP(-LN(2)/2)*GN115+(1-EXP(-LN(2)/2))/(LN(2)/2)*GH116*GK116*VLOOKUP('Données projet'!$B$17,Paramètres!$A$1:$I$89,3,0)*0.475*44/12</f>
        <v>4.5269465245438352E-7</v>
      </c>
      <c r="GO116" s="21">
        <f t="shared" si="81"/>
        <v>46.2788133363984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84.31577618130467</v>
      </c>
      <c r="T117" s="59">
        <f t="shared" si="88"/>
        <v>527.2140904310653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23.167881954812898</v>
      </c>
      <c r="AA117" s="21">
        <f>EXP(-LN(2)/25)*AA116+(1-EXP(-LN(2)/25))/(LN(2)/25)*Calculateur!V117*Calculateur!X117*VLOOKUP('Données projet'!$B$9,Paramètres!$A$1:$I$89,3,0)*0.475*44/12</f>
        <v>3.4328902353362118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26.600772190149112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6.4</v>
      </c>
      <c r="AI117" s="13">
        <f>IF('Données projet'!$A$62&gt;35,AI116+AH117-AQ116,IF(A117&lt;'Données projet'!$A$62,$AF$205^A117,IF(A117='Données projet'!$A$62,'Données projet'!$B$62,AI116+AH117-AQ116)))</f>
        <v>248.39999999999986</v>
      </c>
      <c r="AJ117" s="13">
        <f>AI117*VLOOKUP('Données projet'!$B$10,Paramètres!$A$1:$I$89,3,0)*VLOOKUP('Données projet'!$B$10,Paramètres!$A$1:$I$89,5,0)</f>
        <v>224.75231999999988</v>
      </c>
      <c r="AK117" s="13">
        <f t="shared" si="89"/>
        <v>55.146490754971083</v>
      </c>
      <c r="AL117" s="20">
        <f t="shared" si="58"/>
        <v>487.49042873157441</v>
      </c>
      <c r="AM117" s="59">
        <f t="shared" si="59"/>
        <v>780.82376206490767</v>
      </c>
      <c r="AN117" s="59">
        <f ca="1">AVERAGE(OFFSET($AM$3,0,0,'Données projet'!$E$10+1,1))-AVERAGE(OFFSET($H$3,0,0,'Données projet'!$E$10+1,1))</f>
        <v>297.90790572649428</v>
      </c>
      <c r="AO117" s="59">
        <f t="shared" si="90"/>
        <v>142.96889776844506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21.488957189256045</v>
      </c>
      <c r="AV117" s="21">
        <f>EXP(-LN(2)/25)*AV116+(1-EXP(-LN(2)/25))/(LN(2)/25)*Calculateur!AQ117*Calculateur!AS117*VLOOKUP('Données projet'!$B$10,Paramètres!$A$1:$I$89,3,0)*0.475*44/12</f>
        <v>18.529033788741739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40.017990977997783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6.4</v>
      </c>
      <c r="BD117" s="12">
        <f>IF('Données projet'!$A$88&gt;35,BD116+BC117-BL116,IF(A117&lt;'Données projet'!$A$88,$BA$205^A117,IF(A117='Données projet'!$A$88,'Données projet'!$B$88,BD116+BC117-BL116)))</f>
        <v>248.39999999999986</v>
      </c>
      <c r="BE117" s="13">
        <f>BD117*VLOOKUP('Données projet'!$B$11,Paramètres!$A$1:$I$89,3,0)*VLOOKUP('Données projet'!$B$11,Paramètres!$A$1:$I$89,5,0)</f>
        <v>251.87759999999989</v>
      </c>
      <c r="BF117" s="13">
        <f t="shared" si="91"/>
        <v>60.987825380023075</v>
      </c>
      <c r="BG117" s="20">
        <f t="shared" si="61"/>
        <v>544.90728253687325</v>
      </c>
      <c r="BH117" s="59">
        <f t="shared" si="62"/>
        <v>838.24061587020651</v>
      </c>
      <c r="BI117" s="59">
        <f ca="1">AVERAGE(OFFSET($BH$3,0,0,'Données projet'!$E$11+1,1))-AVERAGE(OFFSET($H$3,0,0,'Données projet'!$E$11+1,1))</f>
        <v>345.3294887586967</v>
      </c>
      <c r="BJ117" s="59">
        <f t="shared" si="92"/>
        <v>164.23448598618114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24.082452022442123</v>
      </c>
      <c r="BQ117" s="21">
        <f>EXP(-LN(2)/25)*BQ116+(1-EXP(-LN(2)/25))/(LN(2)/25)*Calculateur!BL117*Calculateur!BN117*VLOOKUP('Données projet'!$B$11,Paramètres!$A$1:$I$89,3,0)*0.475*44/12</f>
        <v>20.765296487382987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44.847748509825109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289.07218105343333</v>
      </c>
      <c r="CE117" s="59">
        <f t="shared" si="94"/>
        <v>217.57508587672368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84.681032377468298</v>
      </c>
      <c r="CL117" s="21">
        <f>EXP(-LN(2)/25)*CL116+(1-EXP(-LN(2)/25))/(LN(2)/25)*Calculateur!CG117*Calculateur!CI117*VLOOKUP('Données projet'!$B$12,Paramètres!$A$1:$I$89,3,0)*0.475*44/12</f>
        <v>29.028362264008305</v>
      </c>
      <c r="CM117" s="21">
        <f>EXP(-LN(2)/2)*CM116+(1-EXP(-LN(2)/2))/(LN(2)/2)*CG117*CJ117*VLOOKUP('Données projet'!$B$12,Paramètres!$A$1:$I$89,3,0)*0.475*44/12</f>
        <v>5.9141542075694846E-4</v>
      </c>
      <c r="CN117" s="22">
        <f t="shared" si="66"/>
        <v>113.70998605689736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1.7053025658242404E-13</v>
      </c>
      <c r="CU117" s="17">
        <f>CT117*VLOOKUP('Données projet'!$B$13,Paramètres!$A$1:$I$89,3,0)*VLOOKUP('Données projet'!$B$13,Paramètres!$A$1:$I$89,5,0)</f>
        <v>1.4897523215040567E-13</v>
      </c>
      <c r="CV117" s="13">
        <f t="shared" si="95"/>
        <v>2.136562777003313E-12</v>
      </c>
      <c r="CW117" s="20">
        <f t="shared" si="67"/>
        <v>3.9806453659427267E-12</v>
      </c>
      <c r="CX117" s="59">
        <f t="shared" si="68"/>
        <v>293.33333333333729</v>
      </c>
      <c r="CY117" s="59">
        <f ca="1">AVERAGE(OFFSET($CX$3,0,0,'Données projet'!$E$13+1,1))-AVERAGE(OFFSET($H$3,0,0,'Données projet'!$E$13+1,1))</f>
        <v>237.8483058552178</v>
      </c>
      <c r="CZ117" s="59">
        <f t="shared" si="96"/>
        <v>313.36201272119723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36.675491634408637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9.8206064620300235E-6</v>
      </c>
      <c r="DI117" s="22">
        <f t="shared" si="69"/>
        <v>36.675501455015102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6.4</v>
      </c>
      <c r="DO117" s="12">
        <f>IF('Données projet'!$A$166&gt;35,DO116+DN117-DW116,IF(A117&lt;'Données projet'!$A$166,$DL$205^A117,IF(A117='Données projet'!$A$166,'Données projet'!$B$166,DO116+DN117-DW116)))</f>
        <v>248.39999999999986</v>
      </c>
      <c r="DP117" s="17">
        <f>DO117*VLOOKUP('Données projet'!$B$14,Paramètres!$A$1:$I$89,3,0)*VLOOKUP('Données projet'!$B$14,Paramètres!$A$1:$I$89,5,0)</f>
        <v>240.25247999999988</v>
      </c>
      <c r="DQ117" s="13">
        <f t="shared" si="97"/>
        <v>58.493849459485894</v>
      </c>
      <c r="DR117" s="20">
        <f t="shared" si="70"/>
        <v>520.3165238086043</v>
      </c>
      <c r="DS117" s="59">
        <f t="shared" si="71"/>
        <v>813.64985714193767</v>
      </c>
      <c r="DT117" s="59">
        <f ca="1">AVERAGE(OFFSET($DS$3,0,0,'Données projet'!$E$14+1,1))-AVERAGE(OFFSET($H$3,0,0,'Données projet'!$E$14+1,1))</f>
        <v>325.01961068962373</v>
      </c>
      <c r="DU117" s="59">
        <f t="shared" si="98"/>
        <v>155.12737608540039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22.970954236790945</v>
      </c>
      <c r="EB117" s="21">
        <f>EXP(-LN(2)/25)*EB116+(1-EXP(-LN(2)/25))/(LN(2)/25)*Calculateur!DW117*Calculateur!DY117*VLOOKUP('Données projet'!$B$14,Paramètres!$A$1:$I$89,3,0)*0.475*44/12</f>
        <v>19.806898187965309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42.777852424756254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-1.7053025658242404E-13</v>
      </c>
      <c r="EK117" s="17">
        <f>EJ117*VLOOKUP('Données projet'!$B$15,Paramètres!$A$1:$I$89,3,0)*VLOOKUP('Données projet'!$B$15,Paramètres!$A$1:$I$89,5,0)</f>
        <v>-1.1439169611549005E-13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178.09619481964575</v>
      </c>
      <c r="EP117" s="59">
        <f t="shared" si="100"/>
        <v>178.65167777495174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45.65219495353805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2.676816558096217E-4</v>
      </c>
      <c r="EY117" s="22">
        <f t="shared" si="75"/>
        <v>45.652462635193856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-1.7053025658242404E-13</v>
      </c>
      <c r="FF117" s="17">
        <f>FE117*VLOOKUP('Données projet'!$B$16,Paramètres!$A$1:$I$89,3,0)*VLOOKUP('Données projet'!$B$16,Paramètres!$A$1:$I$89,5,0)</f>
        <v>-1.3567387213697657E-13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219.43439115440339</v>
      </c>
      <c r="FK117" s="59">
        <f t="shared" si="102"/>
        <v>217.8880462742099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54.145626572800928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3.1748289409978407E-4</v>
      </c>
      <c r="FT117" s="22">
        <f t="shared" si="78"/>
        <v>54.145944055695026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191.77102466144095</v>
      </c>
      <c r="GF117" s="59">
        <f t="shared" si="104"/>
        <v>205.57161411620217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39.888241338451309</v>
      </c>
      <c r="GM117" s="21">
        <f>EXP(-LN(2)/25)*GM116+(1-EXP(-LN(2)/25))/(LN(2)/25)*Calculateur!GH117*Calculateur!GJ117*VLOOKUP('Données projet'!$B$17,Paramètres!$A$1:$I$89,3,0)*0.475*44/12</f>
        <v>5.4398086831421839</v>
      </c>
      <c r="GN117" s="21">
        <f>EXP(-LN(2)/2)*GN116+(1-EXP(-LN(2)/2))/(LN(2)/2)*GH117*GK117*VLOOKUP('Données projet'!$B$17,Paramètres!$A$1:$I$89,3,0)*0.475*44/12</f>
        <v>3.2010345855738194E-7</v>
      </c>
      <c r="GO117" s="21">
        <f t="shared" si="81"/>
        <v>45.328050341696951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84.31577618130467</v>
      </c>
      <c r="T118" s="59">
        <f t="shared" si="88"/>
        <v>527.2140904310653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22.713573920691687</v>
      </c>
      <c r="AA118" s="21">
        <f>EXP(-LN(2)/25)*AA117+(1-EXP(-LN(2)/25))/(LN(2)/25)*Calculateur!V118*Calculateur!X118*VLOOKUP('Données projet'!$B$9,Paramètres!$A$1:$I$89,3,0)*0.475*44/12</f>
        <v>3.3390176713230915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26.052591592014778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6.4</v>
      </c>
      <c r="AI118" s="13">
        <f>IF('Données projet'!$A$62&gt;35,AI117+AH118-AQ117,IF(A118&lt;'Données projet'!$A$62,$AF$205^A118,IF(A118='Données projet'!$A$62,'Données projet'!$B$62,AI117+AH118-AQ117)))</f>
        <v>254.79999999999987</v>
      </c>
      <c r="AJ118" s="13">
        <f>AI118*VLOOKUP('Données projet'!$B$10,Paramètres!$A$1:$I$89,3,0)*VLOOKUP('Données projet'!$B$10,Paramètres!$A$1:$I$89,5,0)</f>
        <v>230.54303999999985</v>
      </c>
      <c r="AK118" s="13">
        <f t="shared" si="89"/>
        <v>56.400083354856683</v>
      </c>
      <c r="AL118" s="20">
        <f t="shared" si="58"/>
        <v>499.75927317637507</v>
      </c>
      <c r="AM118" s="59">
        <f t="shared" si="59"/>
        <v>793.09260650970839</v>
      </c>
      <c r="AN118" s="59">
        <f ca="1">AVERAGE(OFFSET($AM$3,0,0,'Données projet'!$E$10+1,1))-AVERAGE(OFFSET($H$3,0,0,'Données projet'!$E$10+1,1))</f>
        <v>297.90790572649428</v>
      </c>
      <c r="AO118" s="59">
        <f t="shared" si="90"/>
        <v>142.96889776844506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21.067571845744414</v>
      </c>
      <c r="AV118" s="21">
        <f>EXP(-LN(2)/25)*AV117+(1-EXP(-LN(2)/25))/(LN(2)/25)*Calculateur!AQ118*Calculateur!AS118*VLOOKUP('Données projet'!$B$10,Paramètres!$A$1:$I$89,3,0)*0.475*44/12</f>
        <v>18.022356385389056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39.08992823113347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6.4</v>
      </c>
      <c r="BD118" s="12">
        <f>IF('Données projet'!$A$88&gt;35,BD117+BC118-BL117,IF(A118&lt;'Données projet'!$A$88,$BA$205^A118,IF(A118='Données projet'!$A$88,'Données projet'!$B$88,BD117+BC118-BL117)))</f>
        <v>254.79999999999987</v>
      </c>
      <c r="BE118" s="13">
        <f>BD118*VLOOKUP('Données projet'!$B$11,Paramètres!$A$1:$I$89,3,0)*VLOOKUP('Données projet'!$B$11,Paramètres!$A$1:$I$89,5,0)</f>
        <v>258.36719999999985</v>
      </c>
      <c r="BF118" s="13">
        <f t="shared" si="91"/>
        <v>62.374203471046343</v>
      </c>
      <c r="BG118" s="20">
        <f t="shared" si="61"/>
        <v>558.62461104540546</v>
      </c>
      <c r="BH118" s="59">
        <f t="shared" si="62"/>
        <v>851.95794437873883</v>
      </c>
      <c r="BI118" s="59">
        <f ca="1">AVERAGE(OFFSET($BH$3,0,0,'Données projet'!$E$11+1,1))-AVERAGE(OFFSET($H$3,0,0,'Données projet'!$E$11+1,1))</f>
        <v>345.3294887586967</v>
      </c>
      <c r="BJ118" s="59">
        <f t="shared" si="92"/>
        <v>164.23448598618114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23.610209827127363</v>
      </c>
      <c r="BQ118" s="21">
        <f>EXP(-LN(2)/25)*BQ117+(1-EXP(-LN(2)/25))/(LN(2)/25)*Calculateur!BL118*Calculateur!BN118*VLOOKUP('Données projet'!$B$11,Paramètres!$A$1:$I$89,3,0)*0.475*44/12</f>
        <v>20.197468362936018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43.807678190063385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289.07218105343333</v>
      </c>
      <c r="CE118" s="59">
        <f t="shared" si="94"/>
        <v>217.57508587672368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83.020488982875847</v>
      </c>
      <c r="CL118" s="21">
        <f>EXP(-LN(2)/25)*CL117+(1-EXP(-LN(2)/25))/(LN(2)/25)*Calculateur!CG118*Calculateur!CI118*VLOOKUP('Données projet'!$B$12,Paramètres!$A$1:$I$89,3,0)*0.475*44/12</f>
        <v>28.234580171363771</v>
      </c>
      <c r="CM118" s="21">
        <f>EXP(-LN(2)/2)*CM117+(1-EXP(-LN(2)/2))/(LN(2)/2)*CG118*CJ118*VLOOKUP('Données projet'!$B$12,Paramètres!$A$1:$I$89,3,0)*0.475*44/12</f>
        <v>4.181938545155335E-4</v>
      </c>
      <c r="CN118" s="22">
        <f t="shared" si="66"/>
        <v>111.25548734809414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1.7053025658242404E-13</v>
      </c>
      <c r="CU118" s="17">
        <f>CT118*VLOOKUP('Données projet'!$B$13,Paramètres!$A$1:$I$89,3,0)*VLOOKUP('Données projet'!$B$13,Paramètres!$A$1:$I$89,5,0)</f>
        <v>1.4897523215040567E-13</v>
      </c>
      <c r="CV118" s="13">
        <f t="shared" si="95"/>
        <v>2.136562777003313E-12</v>
      </c>
      <c r="CW118" s="20">
        <f t="shared" si="67"/>
        <v>3.9806453659427267E-12</v>
      </c>
      <c r="CX118" s="59">
        <f t="shared" si="68"/>
        <v>293.33333333333729</v>
      </c>
      <c r="CY118" s="59">
        <f ca="1">AVERAGE(OFFSET($CX$3,0,0,'Données projet'!$E$13+1,1))-AVERAGE(OFFSET($H$3,0,0,'Données projet'!$E$13+1,1))</f>
        <v>237.8483058552178</v>
      </c>
      <c r="CZ118" s="59">
        <f t="shared" si="96"/>
        <v>313.36201272119723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35.956307613298939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6.9442174246658586E-6</v>
      </c>
      <c r="DI118" s="22">
        <f t="shared" si="69"/>
        <v>35.956314557516365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6.4</v>
      </c>
      <c r="DO118" s="12">
        <f>IF('Données projet'!$A$166&gt;35,DO117+DN118-DW117,IF(A118&lt;'Données projet'!$A$166,$DL$205^A118,IF(A118='Données projet'!$A$166,'Données projet'!$B$166,DO117+DN118-DW117)))</f>
        <v>254.79999999999987</v>
      </c>
      <c r="DP118" s="17">
        <f>DO118*VLOOKUP('Données projet'!$B$14,Paramètres!$A$1:$I$89,3,0)*VLOOKUP('Données projet'!$B$14,Paramètres!$A$1:$I$89,5,0)</f>
        <v>246.44255999999987</v>
      </c>
      <c r="DQ118" s="13">
        <f t="shared" si="97"/>
        <v>59.823534373564023</v>
      </c>
      <c r="DR118" s="20">
        <f t="shared" si="70"/>
        <v>533.41344770062381</v>
      </c>
      <c r="DS118" s="59">
        <f t="shared" si="71"/>
        <v>826.74678103395718</v>
      </c>
      <c r="DT118" s="59">
        <f ca="1">AVERAGE(OFFSET($DS$3,0,0,'Données projet'!$E$14+1,1))-AVERAGE(OFFSET($H$3,0,0,'Données projet'!$E$14+1,1))</f>
        <v>325.01961068962373</v>
      </c>
      <c r="DU118" s="59">
        <f t="shared" si="98"/>
        <v>155.12737608540039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22.520507835106098</v>
      </c>
      <c r="EB118" s="21">
        <f>EXP(-LN(2)/25)*EB117+(1-EXP(-LN(2)/25))/(LN(2)/25)*Calculateur!DW118*Calculateur!DY118*VLOOKUP('Données projet'!$B$14,Paramètres!$A$1:$I$89,3,0)*0.475*44/12</f>
        <v>19.265277515415892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41.785785350521991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-1.7053025658242404E-13</v>
      </c>
      <c r="EK118" s="17">
        <f>EJ118*VLOOKUP('Données projet'!$B$15,Paramètres!$A$1:$I$89,3,0)*VLOOKUP('Données projet'!$B$15,Paramètres!$A$1:$I$89,5,0)</f>
        <v>-1.1439169611549005E-13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178.09619481964575</v>
      </c>
      <c r="EP118" s="59">
        <f t="shared" si="100"/>
        <v>178.65167777495174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44.756983255588615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1.892795140222269E-4</v>
      </c>
      <c r="EY118" s="22">
        <f t="shared" si="75"/>
        <v>44.75717253510264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-1.7053025658242404E-13</v>
      </c>
      <c r="FF118" s="17">
        <f>FE118*VLOOKUP('Données projet'!$B$16,Paramètres!$A$1:$I$89,3,0)*VLOOKUP('Données projet'!$B$16,Paramètres!$A$1:$I$89,5,0)</f>
        <v>-1.3567387213697657E-13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219.43439115440339</v>
      </c>
      <c r="FK118" s="59">
        <f t="shared" si="102"/>
        <v>217.8880462742099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53.083863861279511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2.2449430732868786E-4</v>
      </c>
      <c r="FT118" s="22">
        <f t="shared" si="78"/>
        <v>53.084088355586843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191.77102466144095</v>
      </c>
      <c r="GF118" s="59">
        <f t="shared" si="104"/>
        <v>205.57161411620217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39.10605725522916</v>
      </c>
      <c r="GM118" s="21">
        <f>EXP(-LN(2)/25)*GM117+(1-EXP(-LN(2)/25))/(LN(2)/25)*Calculateur!GH118*Calculateur!GJ118*VLOOKUP('Données projet'!$B$17,Paramètres!$A$1:$I$89,3,0)*0.475*44/12</f>
        <v>5.291056828634555</v>
      </c>
      <c r="GN118" s="21">
        <f>EXP(-LN(2)/2)*GN117+(1-EXP(-LN(2)/2))/(LN(2)/2)*GH118*GK118*VLOOKUP('Données projet'!$B$17,Paramètres!$A$1:$I$89,3,0)*0.475*44/12</f>
        <v>2.2634732622719176E-7</v>
      </c>
      <c r="GO118" s="21">
        <f t="shared" si="81"/>
        <v>44.397114310211037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84.31577618130467</v>
      </c>
      <c r="T119" s="59">
        <f t="shared" si="88"/>
        <v>527.2140904310653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22.268174590019054</v>
      </c>
      <c r="AA119" s="21">
        <f>EXP(-LN(2)/25)*AA118+(1-EXP(-LN(2)/25))/(LN(2)/25)*Calculateur!V119*Calculateur!X119*VLOOKUP('Données projet'!$B$9,Paramètres!$A$1:$I$89,3,0)*0.475*44/12</f>
        <v>3.2477120575094536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25.515886647528507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6.4</v>
      </c>
      <c r="AI119" s="13">
        <f>IF('Données projet'!$A$62&gt;35,AI118+AH119-AQ118,IF(A119&lt;'Données projet'!$A$62,$AF$205^A119,IF(A119='Données projet'!$A$62,'Données projet'!$B$62,AI118+AH119-AQ118)))</f>
        <v>261.19999999999987</v>
      </c>
      <c r="AJ119" s="13">
        <f>AI119*VLOOKUP('Données projet'!$B$10,Paramètres!$A$1:$I$89,3,0)*VLOOKUP('Données projet'!$B$10,Paramètres!$A$1:$I$89,5,0)</f>
        <v>236.3337599999999</v>
      </c>
      <c r="AK119" s="13">
        <f t="shared" si="89"/>
        <v>57.650015765889798</v>
      </c>
      <c r="AL119" s="20">
        <f t="shared" si="58"/>
        <v>512.02174279225778</v>
      </c>
      <c r="AM119" s="59">
        <f t="shared" si="59"/>
        <v>805.35507612559104</v>
      </c>
      <c r="AN119" s="59">
        <f ca="1">AVERAGE(OFFSET($AM$3,0,0,'Données projet'!$E$10+1,1))-AVERAGE(OFFSET($H$3,0,0,'Données projet'!$E$10+1,1))</f>
        <v>297.90790572649428</v>
      </c>
      <c r="AO119" s="59">
        <f t="shared" si="90"/>
        <v>142.96889776844506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20.654449611799365</v>
      </c>
      <c r="AV119" s="21">
        <f>EXP(-LN(2)/25)*AV118+(1-EXP(-LN(2)/25))/(LN(2)/25)*Calculateur!AQ119*Calculateur!AS119*VLOOKUP('Données projet'!$B$10,Paramètres!$A$1:$I$89,3,0)*0.475*44/12</f>
        <v>17.52953410227606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38.183983714075424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6.4</v>
      </c>
      <c r="BD119" s="12">
        <f>IF('Données projet'!$A$88&gt;35,BD118+BC119-BL118,IF(A119&lt;'Données projet'!$A$88,$BA$205^A119,IF(A119='Données projet'!$A$88,'Données projet'!$B$88,BD118+BC119-BL118)))</f>
        <v>261.19999999999987</v>
      </c>
      <c r="BE119" s="13">
        <f>BD119*VLOOKUP('Données projet'!$B$11,Paramètres!$A$1:$I$89,3,0)*VLOOKUP('Données projet'!$B$11,Paramètres!$A$1:$I$89,5,0)</f>
        <v>264.85679999999985</v>
      </c>
      <c r="BF119" s="13">
        <f t="shared" si="91"/>
        <v>63.756533671523279</v>
      </c>
      <c r="BG119" s="20">
        <f t="shared" si="61"/>
        <v>572.33488947790272</v>
      </c>
      <c r="BH119" s="59">
        <f t="shared" si="62"/>
        <v>865.66822281123609</v>
      </c>
      <c r="BI119" s="59">
        <f ca="1">AVERAGE(OFFSET($BH$3,0,0,'Données projet'!$E$11+1,1))-AVERAGE(OFFSET($H$3,0,0,'Données projet'!$E$11+1,1))</f>
        <v>345.3294887586967</v>
      </c>
      <c r="BJ119" s="59">
        <f t="shared" si="92"/>
        <v>164.23448598618114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23.14722801322343</v>
      </c>
      <c r="BQ119" s="21">
        <f>EXP(-LN(2)/25)*BQ118+(1-EXP(-LN(2)/25))/(LN(2)/25)*Calculateur!BL119*Calculateur!BN119*VLOOKUP('Données projet'!$B$11,Paramètres!$A$1:$I$89,3,0)*0.475*44/12</f>
        <v>19.645167528412834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42.792395541636267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289.07218105343333</v>
      </c>
      <c r="CE119" s="59">
        <f t="shared" si="94"/>
        <v>217.57508587672368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81.392507831419891</v>
      </c>
      <c r="CL119" s="21">
        <f>EXP(-LN(2)/25)*CL118+(1-EXP(-LN(2)/25))/(LN(2)/25)*Calculateur!CG119*Calculateur!CI119*VLOOKUP('Données projet'!$B$12,Paramètres!$A$1:$I$89,3,0)*0.475*44/12</f>
        <v>27.462504091785789</v>
      </c>
      <c r="CM119" s="21">
        <f>EXP(-LN(2)/2)*CM118+(1-EXP(-LN(2)/2))/(LN(2)/2)*CG119*CJ119*VLOOKUP('Données projet'!$B$12,Paramètres!$A$1:$I$89,3,0)*0.475*44/12</f>
        <v>2.9570771037847423E-4</v>
      </c>
      <c r="CN119" s="22">
        <f t="shared" si="66"/>
        <v>108.85530763091606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1.7053025658242404E-13</v>
      </c>
      <c r="CU119" s="17">
        <f>CT119*VLOOKUP('Données projet'!$B$13,Paramètres!$A$1:$I$89,3,0)*VLOOKUP('Données projet'!$B$13,Paramètres!$A$1:$I$89,5,0)</f>
        <v>1.4897523215040567E-13</v>
      </c>
      <c r="CV119" s="13">
        <f t="shared" si="95"/>
        <v>2.136562777003313E-12</v>
      </c>
      <c r="CW119" s="20">
        <f t="shared" si="67"/>
        <v>3.9806453659427267E-12</v>
      </c>
      <c r="CX119" s="59">
        <f t="shared" si="68"/>
        <v>293.33333333333729</v>
      </c>
      <c r="CY119" s="59">
        <f ca="1">AVERAGE(OFFSET($CX$3,0,0,'Données projet'!$E$13+1,1))-AVERAGE(OFFSET($H$3,0,0,'Données projet'!$E$13+1,1))</f>
        <v>237.8483058552178</v>
      </c>
      <c r="CZ119" s="59">
        <f t="shared" si="96"/>
        <v>313.36201272119723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35.251226352184268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4.9103032310150117E-6</v>
      </c>
      <c r="DI119" s="22">
        <f t="shared" si="69"/>
        <v>35.251231262487501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6.4</v>
      </c>
      <c r="DO119" s="12">
        <f>IF('Données projet'!$A$166&gt;35,DO118+DN119-DW118,IF(A119&lt;'Données projet'!$A$166,$DL$205^A119,IF(A119='Données projet'!$A$166,'Données projet'!$B$166,DO118+DN119-DW118)))</f>
        <v>261.19999999999987</v>
      </c>
      <c r="DP119" s="17">
        <f>DO119*VLOOKUP('Données projet'!$B$14,Paramètres!$A$1:$I$89,3,0)*VLOOKUP('Données projet'!$B$14,Paramètres!$A$1:$I$89,5,0)</f>
        <v>252.6326399999999</v>
      </c>
      <c r="DQ119" s="13">
        <f t="shared" si="97"/>
        <v>61.149336927535465</v>
      </c>
      <c r="DR119" s="20">
        <f t="shared" si="70"/>
        <v>546.50360981545737</v>
      </c>
      <c r="DS119" s="59">
        <f t="shared" si="71"/>
        <v>839.83694314879062</v>
      </c>
      <c r="DT119" s="59">
        <f ca="1">AVERAGE(OFFSET($DS$3,0,0,'Données projet'!$E$14+1,1))-AVERAGE(OFFSET($H$3,0,0,'Données projet'!$E$14+1,1))</f>
        <v>325.01961068962373</v>
      </c>
      <c r="DU119" s="59">
        <f t="shared" si="98"/>
        <v>155.12737608540039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22.078894412613113</v>
      </c>
      <c r="EB119" s="21">
        <f>EXP(-LN(2)/25)*EB118+(1-EXP(-LN(2)/25))/(LN(2)/25)*Calculateur!DW119*Calculateur!DY119*VLOOKUP('Données projet'!$B$14,Paramètres!$A$1:$I$89,3,0)*0.475*44/12</f>
        <v>18.73846748863993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40.817361901253044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-1.7053025658242404E-13</v>
      </c>
      <c r="EK119" s="17">
        <f>EJ119*VLOOKUP('Données projet'!$B$15,Paramètres!$A$1:$I$89,3,0)*VLOOKUP('Données projet'!$B$15,Paramètres!$A$1:$I$89,5,0)</f>
        <v>-1.1439169611549005E-13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178.09619481964575</v>
      </c>
      <c r="EP119" s="59">
        <f t="shared" si="100"/>
        <v>178.65167777495174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43.879326113010748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1.3384082790481085E-4</v>
      </c>
      <c r="EY119" s="22">
        <f t="shared" si="75"/>
        <v>43.879459953838655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-1.3567387213697657E-13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219.43439115440339</v>
      </c>
      <c r="FK119" s="59">
        <f t="shared" si="102"/>
        <v>217.8880462742099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52.042921668919718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1.5874144704989204E-4</v>
      </c>
      <c r="FT119" s="22">
        <f t="shared" si="78"/>
        <v>52.04308041036677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191.77102466144095</v>
      </c>
      <c r="GF119" s="59">
        <f t="shared" si="104"/>
        <v>205.57161411620217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38.339211324793823</v>
      </c>
      <c r="GM119" s="21">
        <f>EXP(-LN(2)/25)*GM118+(1-EXP(-LN(2)/25))/(LN(2)/25)*Calculateur!GH119*Calculateur!GJ119*VLOOKUP('Données projet'!$B$17,Paramètres!$A$1:$I$89,3,0)*0.475*44/12</f>
        <v>5.146372601410957</v>
      </c>
      <c r="GN119" s="21">
        <f>EXP(-LN(2)/2)*GN118+(1-EXP(-LN(2)/2))/(LN(2)/2)*GH119*GK119*VLOOKUP('Données projet'!$B$17,Paramètres!$A$1:$I$89,3,0)*0.475*44/12</f>
        <v>1.6005172927869097E-7</v>
      </c>
      <c r="GO119" s="21">
        <f t="shared" si="81"/>
        <v>43.485584086256509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84.31577618130467</v>
      </c>
      <c r="T120" s="59">
        <f t="shared" si="88"/>
        <v>527.2140904310653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21.831509268554147</v>
      </c>
      <c r="AA120" s="21">
        <f>EXP(-LN(2)/25)*AA119+(1-EXP(-LN(2)/25))/(LN(2)/25)*Calculateur!V120*Calculateur!X120*VLOOKUP('Données projet'!$B$9,Paramètres!$A$1:$I$89,3,0)*0.475*44/12</f>
        <v>3.1589032005071034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24.990412469061251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6.4</v>
      </c>
      <c r="AI120" s="13">
        <f>IF('Données projet'!$A$62&gt;35,AI119+AH120-AQ119,IF(A120&lt;'Données projet'!$A$62,$AF$205^A120,IF(A120='Données projet'!$A$62,'Données projet'!$B$62,AI119+AH120-AQ119)))</f>
        <v>267.59999999999985</v>
      </c>
      <c r="AJ120" s="13">
        <f>AI120*VLOOKUP('Données projet'!$B$10,Paramètres!$A$1:$I$89,3,0)*VLOOKUP('Données projet'!$B$10,Paramètres!$A$1:$I$89,5,0)</f>
        <v>242.12447999999986</v>
      </c>
      <c r="AK120" s="13">
        <f t="shared" si="89"/>
        <v>58.896387987806008</v>
      </c>
      <c r="AL120" s="20">
        <f t="shared" si="58"/>
        <v>524.27801174542856</v>
      </c>
      <c r="AM120" s="59">
        <f t="shared" si="59"/>
        <v>817.61134507876181</v>
      </c>
      <c r="AN120" s="59">
        <f ca="1">AVERAGE(OFFSET($AM$3,0,0,'Données projet'!$E$10+1,1))-AVERAGE(OFFSET($H$3,0,0,'Données projet'!$E$10+1,1))</f>
        <v>297.90790572649428</v>
      </c>
      <c r="AO120" s="59">
        <f t="shared" si="90"/>
        <v>142.96889776844506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20.249428452882295</v>
      </c>
      <c r="AV120" s="21">
        <f>EXP(-LN(2)/25)*AV119+(1-EXP(-LN(2)/25))/(LN(2)/25)*Calculateur!AQ120*Calculateur!AS120*VLOOKUP('Données projet'!$B$10,Paramètres!$A$1:$I$89,3,0)*0.475*44/12</f>
        <v>17.050188070411188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37.29961652329348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6.4</v>
      </c>
      <c r="BD120" s="12">
        <f>IF('Données projet'!$A$88&gt;35,BD119+BC120-BL119,IF(A120&lt;'Données projet'!$A$88,$BA$205^A120,IF(A120='Données projet'!$A$88,'Données projet'!$B$88,BD119+BC120-BL119)))</f>
        <v>267.59999999999985</v>
      </c>
      <c r="BE120" s="13">
        <f>BD120*VLOOKUP('Données projet'!$B$11,Paramètres!$A$1:$I$89,3,0)*VLOOKUP('Données projet'!$B$11,Paramètres!$A$1:$I$89,5,0)</f>
        <v>271.34639999999985</v>
      </c>
      <c r="BF120" s="13">
        <f t="shared" si="91"/>
        <v>65.134926573557308</v>
      </c>
      <c r="BG120" s="20">
        <f t="shared" si="61"/>
        <v>586.03831044894537</v>
      </c>
      <c r="BH120" s="59">
        <f t="shared" si="62"/>
        <v>879.37164378227862</v>
      </c>
      <c r="BI120" s="59">
        <f ca="1">AVERAGE(OFFSET($BH$3,0,0,'Données projet'!$E$11+1,1))-AVERAGE(OFFSET($H$3,0,0,'Données projet'!$E$11+1,1))</f>
        <v>345.3294887586967</v>
      </c>
      <c r="BJ120" s="59">
        <f t="shared" si="92"/>
        <v>164.23448598618114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22.693324990299129</v>
      </c>
      <c r="BQ120" s="21">
        <f>EXP(-LN(2)/25)*BQ119+(1-EXP(-LN(2)/25))/(LN(2)/25)*Calculateur!BL120*Calculateur!BN120*VLOOKUP('Données projet'!$B$11,Paramètres!$A$1:$I$89,3,0)*0.475*44/12</f>
        <v>19.107969389253924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41.801294379553056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289.07218105343333</v>
      </c>
      <c r="CE120" s="59">
        <f t="shared" si="94"/>
        <v>217.57508587672368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79.796450397373533</v>
      </c>
      <c r="CL120" s="21">
        <f>EXP(-LN(2)/25)*CL119+(1-EXP(-LN(2)/25))/(LN(2)/25)*Calculateur!CG120*Calculateur!CI120*VLOOKUP('Données projet'!$B$12,Paramètres!$A$1:$I$89,3,0)*0.475*44/12</f>
        <v>26.711540473205584</v>
      </c>
      <c r="CM120" s="21">
        <f>EXP(-LN(2)/2)*CM119+(1-EXP(-LN(2)/2))/(LN(2)/2)*CG120*CJ120*VLOOKUP('Données projet'!$B$12,Paramètres!$A$1:$I$89,3,0)*0.475*44/12</f>
        <v>2.0909692725776675E-4</v>
      </c>
      <c r="CN120" s="22">
        <f t="shared" si="66"/>
        <v>106.50819996750639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1.7053025658242404E-13</v>
      </c>
      <c r="CU120" s="17">
        <f>CT120*VLOOKUP('Données projet'!$B$13,Paramètres!$A$1:$I$89,3,0)*VLOOKUP('Données projet'!$B$13,Paramètres!$A$1:$I$89,5,0)</f>
        <v>1.4897523215040567E-13</v>
      </c>
      <c r="CV120" s="13">
        <f t="shared" si="95"/>
        <v>2.136562777003313E-12</v>
      </c>
      <c r="CW120" s="20">
        <f t="shared" si="67"/>
        <v>3.9806453659427267E-12</v>
      </c>
      <c r="CX120" s="59">
        <f t="shared" si="68"/>
        <v>293.33333333333729</v>
      </c>
      <c r="CY120" s="59">
        <f ca="1">AVERAGE(OFFSET($CX$3,0,0,'Données projet'!$E$13+1,1))-AVERAGE(OFFSET($H$3,0,0,'Données projet'!$E$13+1,1))</f>
        <v>237.8483058552178</v>
      </c>
      <c r="CZ120" s="59">
        <f t="shared" si="96"/>
        <v>313.36201272119723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34.559971304542948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3.4721087123329293E-6</v>
      </c>
      <c r="DI120" s="22">
        <f t="shared" si="69"/>
        <v>34.559974776651657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6.4</v>
      </c>
      <c r="DO120" s="12">
        <f>IF('Données projet'!$A$166&gt;35,DO119+DN120-DW119,IF(A120&lt;'Données projet'!$A$166,$DL$205^A120,IF(A120='Données projet'!$A$166,'Données projet'!$B$166,DO119+DN120-DW119)))</f>
        <v>267.59999999999985</v>
      </c>
      <c r="DP120" s="17">
        <f>DO120*VLOOKUP('Données projet'!$B$14,Paramètres!$A$1:$I$89,3,0)*VLOOKUP('Données projet'!$B$14,Paramètres!$A$1:$I$89,5,0)</f>
        <v>258.82271999999989</v>
      </c>
      <c r="DQ120" s="13">
        <f t="shared" si="97"/>
        <v>62.471363191059396</v>
      </c>
      <c r="DR120" s="20">
        <f t="shared" si="70"/>
        <v>559.58719489109478</v>
      </c>
      <c r="DS120" s="59">
        <f t="shared" si="71"/>
        <v>852.92052822442815</v>
      </c>
      <c r="DT120" s="59">
        <f ca="1">AVERAGE(OFFSET($DS$3,0,0,'Données projet'!$E$14+1,1))-AVERAGE(OFFSET($H$3,0,0,'Données projet'!$E$14+1,1))</f>
        <v>325.01961068962373</v>
      </c>
      <c r="DU120" s="59">
        <f t="shared" si="98"/>
        <v>155.12737608540039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21.645940759977627</v>
      </c>
      <c r="EB120" s="21">
        <f>EXP(-LN(2)/25)*EB119+(1-EXP(-LN(2)/25))/(LN(2)/25)*Calculateur!DW120*Calculateur!DY120*VLOOKUP('Données projet'!$B$14,Paramètres!$A$1:$I$89,3,0)*0.475*44/12</f>
        <v>18.226063109749894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39.872003869727521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-1.7053025658242404E-13</v>
      </c>
      <c r="EK120" s="17">
        <f>EJ120*VLOOKUP('Données projet'!$B$15,Paramètres!$A$1:$I$89,3,0)*VLOOKUP('Données projet'!$B$15,Paramètres!$A$1:$I$89,5,0)</f>
        <v>-1.1439169611549005E-13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178.09619481964575</v>
      </c>
      <c r="EP120" s="59">
        <f t="shared" si="100"/>
        <v>178.65167777495174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43.018879291680832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9.4639757011113449E-5</v>
      </c>
      <c r="EY120" s="22">
        <f t="shared" si="75"/>
        <v>43.018973931437841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-1.3567387213697657E-13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219.43439115440339</v>
      </c>
      <c r="FK120" s="59">
        <f t="shared" si="102"/>
        <v>217.8880462742099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51.022391718040055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1.1224715366434393E-4</v>
      </c>
      <c r="FT120" s="22">
        <f t="shared" si="78"/>
        <v>51.022503965193721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191.77102466144095</v>
      </c>
      <c r="GF120" s="59">
        <f t="shared" si="104"/>
        <v>205.57161411620217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37.587402775324485</v>
      </c>
      <c r="GM120" s="21">
        <f>EXP(-LN(2)/25)*GM119+(1-EXP(-LN(2)/25))/(LN(2)/25)*Calculateur!GH120*Calculateur!GJ120*VLOOKUP('Données projet'!$B$17,Paramètres!$A$1:$I$89,3,0)*0.475*44/12</f>
        <v>5.0056447719894015</v>
      </c>
      <c r="GN120" s="21">
        <f>EXP(-LN(2)/2)*GN119+(1-EXP(-LN(2)/2))/(LN(2)/2)*GH120*GK120*VLOOKUP('Données projet'!$B$17,Paramètres!$A$1:$I$89,3,0)*0.475*44/12</f>
        <v>1.1317366311359588E-7</v>
      </c>
      <c r="GO120" s="21">
        <f t="shared" si="81"/>
        <v>42.593047660487549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84.31577618130467</v>
      </c>
      <c r="T121" s="59">
        <f t="shared" si="88"/>
        <v>527.2140904310653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21.403406687703615</v>
      </c>
      <c r="AA121" s="21">
        <f>EXP(-LN(2)/25)*AA120+(1-EXP(-LN(2)/25))/(LN(2)/25)*Calculateur!V121*Calculateur!X121*VLOOKUP('Données projet'!$B$9,Paramètres!$A$1:$I$89,3,0)*0.475*44/12</f>
        <v>3.0725228263697373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24.475929514073353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6.4</v>
      </c>
      <c r="AI121" s="13">
        <f>IF('Données projet'!$A$62&gt;35,AI120+AH121-AQ120,IF(A121&lt;'Données projet'!$A$62,$AF$205^A121,IF(A121='Données projet'!$A$62,'Données projet'!$B$62,AI120+AH121-AQ120)))</f>
        <v>273.99999999999983</v>
      </c>
      <c r="AJ121" s="13">
        <f>AI121*VLOOKUP('Données projet'!$B$10,Paramètres!$A$1:$I$89,3,0)*VLOOKUP('Données projet'!$B$10,Paramètres!$A$1:$I$89,5,0)</f>
        <v>247.91519999999986</v>
      </c>
      <c r="AK121" s="13">
        <f t="shared" si="89"/>
        <v>60.139294964297406</v>
      </c>
      <c r="AL121" s="20">
        <f t="shared" si="58"/>
        <v>536.52824539615096</v>
      </c>
      <c r="AM121" s="59">
        <f t="shared" si="59"/>
        <v>829.86157872948434</v>
      </c>
      <c r="AN121" s="59">
        <f ca="1">AVERAGE(OFFSET($AM$3,0,0,'Données projet'!$E$10+1,1))-AVERAGE(OFFSET($H$3,0,0,'Données projet'!$E$10+1,1))</f>
        <v>297.90790572649428</v>
      </c>
      <c r="AO121" s="59">
        <f t="shared" si="90"/>
        <v>142.96889776844506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19.852349511853078</v>
      </c>
      <c r="AV121" s="21">
        <f>EXP(-LN(2)/25)*AV120+(1-EXP(-LN(2)/25))/(LN(2)/25)*Calculateur!AQ121*Calculateur!AS121*VLOOKUP('Données projet'!$B$10,Paramètres!$A$1:$I$89,3,0)*0.475*44/12</f>
        <v>16.583949780995372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36.436299292848446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6.4</v>
      </c>
      <c r="BD121" s="12">
        <f>IF('Données projet'!$A$88&gt;35,BD120+BC121-BL120,IF(A121&lt;'Données projet'!$A$88,$BA$205^A121,IF(A121='Données projet'!$A$88,'Données projet'!$B$88,BD120+BC121-BL120)))</f>
        <v>273.99999999999983</v>
      </c>
      <c r="BE121" s="13">
        <f>BD121*VLOOKUP('Données projet'!$B$11,Paramètres!$A$1:$I$89,3,0)*VLOOKUP('Données projet'!$B$11,Paramètres!$A$1:$I$89,5,0)</f>
        <v>277.83599999999984</v>
      </c>
      <c r="BF121" s="13">
        <f t="shared" si="91"/>
        <v>66.509487177652261</v>
      </c>
      <c r="BG121" s="20">
        <f t="shared" si="61"/>
        <v>599.73505683441078</v>
      </c>
      <c r="BH121" s="59">
        <f t="shared" si="62"/>
        <v>893.06839016774416</v>
      </c>
      <c r="BI121" s="59">
        <f ca="1">AVERAGE(OFFSET($BH$3,0,0,'Données projet'!$E$11+1,1))-AVERAGE(OFFSET($H$3,0,0,'Données projet'!$E$11+1,1))</f>
        <v>345.3294887586967</v>
      </c>
      <c r="BJ121" s="59">
        <f t="shared" si="92"/>
        <v>164.23448598618114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22.248322728800865</v>
      </c>
      <c r="BQ121" s="21">
        <f>EXP(-LN(2)/25)*BQ120+(1-EXP(-LN(2)/25))/(LN(2)/25)*Calculateur!BL121*Calculateur!BN121*VLOOKUP('Données projet'!$B$11,Paramètres!$A$1:$I$89,3,0)*0.475*44/12</f>
        <v>18.585460961460338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40.8337836902612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289.07218105343333</v>
      </c>
      <c r="CE121" s="59">
        <f t="shared" si="94"/>
        <v>217.57508587672368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78.23169067610992</v>
      </c>
      <c r="CL121" s="21">
        <f>EXP(-LN(2)/25)*CL120+(1-EXP(-LN(2)/25))/(LN(2)/25)*Calculateur!CG121*Calculateur!CI121*VLOOKUP('Données projet'!$B$12,Paramètres!$A$1:$I$89,3,0)*0.475*44/12</f>
        <v>25.981111994266914</v>
      </c>
      <c r="CM121" s="21">
        <f>EXP(-LN(2)/2)*CM120+(1-EXP(-LN(2)/2))/(LN(2)/2)*CG121*CJ121*VLOOKUP('Données projet'!$B$12,Paramètres!$A$1:$I$89,3,0)*0.475*44/12</f>
        <v>1.4785385518923712E-4</v>
      </c>
      <c r="CN121" s="22">
        <f t="shared" si="66"/>
        <v>104.21295052423201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1.7053025658242404E-13</v>
      </c>
      <c r="CU121" s="17">
        <f>CT121*VLOOKUP('Données projet'!$B$13,Paramètres!$A$1:$I$89,3,0)*VLOOKUP('Données projet'!$B$13,Paramètres!$A$1:$I$89,5,0)</f>
        <v>1.4897523215040567E-13</v>
      </c>
      <c r="CV121" s="13">
        <f t="shared" si="95"/>
        <v>2.136562777003313E-12</v>
      </c>
      <c r="CW121" s="20">
        <f t="shared" si="67"/>
        <v>3.9806453659427267E-12</v>
      </c>
      <c r="CX121" s="59">
        <f t="shared" si="68"/>
        <v>293.33333333333729</v>
      </c>
      <c r="CY121" s="59">
        <f ca="1">AVERAGE(OFFSET($CX$3,0,0,'Données projet'!$E$13+1,1))-AVERAGE(OFFSET($H$3,0,0,'Données projet'!$E$13+1,1))</f>
        <v>237.8483058552178</v>
      </c>
      <c r="CZ121" s="59">
        <f t="shared" si="96"/>
        <v>313.36201272119723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33.882271346761932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2.4551516155075059E-6</v>
      </c>
      <c r="DI121" s="22">
        <f t="shared" si="69"/>
        <v>33.882273801913549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6.4</v>
      </c>
      <c r="DO121" s="12">
        <f>IF('Données projet'!$A$166&gt;35,DO120+DN121-DW120,IF(A121&lt;'Données projet'!$A$166,$DL$205^A121,IF(A121='Données projet'!$A$166,'Données projet'!$B$166,DO120+DN121-DW120)))</f>
        <v>273.99999999999983</v>
      </c>
      <c r="DP121" s="17">
        <f>DO121*VLOOKUP('Données projet'!$B$14,Paramètres!$A$1:$I$89,3,0)*VLOOKUP('Données projet'!$B$14,Paramètres!$A$1:$I$89,5,0)</f>
        <v>265.0127999999998</v>
      </c>
      <c r="DQ121" s="13">
        <f t="shared" si="97"/>
        <v>63.789713870852729</v>
      </c>
      <c r="DR121" s="20">
        <f t="shared" si="70"/>
        <v>572.66437832506801</v>
      </c>
      <c r="DS121" s="59">
        <f t="shared" si="71"/>
        <v>865.99771165840139</v>
      </c>
      <c r="DT121" s="59">
        <f ca="1">AVERAGE(OFFSET($DS$3,0,0,'Données projet'!$E$14+1,1))-AVERAGE(OFFSET($H$3,0,0,'Données projet'!$E$14+1,1))</f>
        <v>325.01961068962373</v>
      </c>
      <c r="DU121" s="59">
        <f t="shared" si="98"/>
        <v>155.12737608540039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21.221477064394669</v>
      </c>
      <c r="EB121" s="21">
        <f>EXP(-LN(2)/25)*EB120+(1-EXP(-LN(2)/25))/(LN(2)/25)*Calculateur!DW121*Calculateur!DY121*VLOOKUP('Données projet'!$B$14,Paramètres!$A$1:$I$89,3,0)*0.475*44/12</f>
        <v>17.727670455546782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38.949147519941448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-1.7053025658242404E-13</v>
      </c>
      <c r="EK121" s="17">
        <f>EJ121*VLOOKUP('Données projet'!$B$15,Paramètres!$A$1:$I$89,3,0)*VLOOKUP('Données projet'!$B$15,Paramètres!$A$1:$I$89,5,0)</f>
        <v>-1.1439169611549005E-13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178.09619481964575</v>
      </c>
      <c r="EP121" s="59">
        <f t="shared" si="100"/>
        <v>178.65167777495174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42.175305307696462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6.6920413952405424E-5</v>
      </c>
      <c r="EY121" s="22">
        <f t="shared" si="75"/>
        <v>42.175372228110412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-1.3567387213697657E-13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219.43439115440339</v>
      </c>
      <c r="FK121" s="59">
        <f t="shared" si="102"/>
        <v>217.8880462742099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50.021873737035335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7.9370723524946018E-5</v>
      </c>
      <c r="FT121" s="22">
        <f t="shared" si="78"/>
        <v>50.021953107758861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191.77102466144095</v>
      </c>
      <c r="GF121" s="59">
        <f t="shared" si="104"/>
        <v>205.57161411620217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36.850336732952307</v>
      </c>
      <c r="GM121" s="21">
        <f>EXP(-LN(2)/25)*GM120+(1-EXP(-LN(2)/25))/(LN(2)/25)*Calculateur!GH121*Calculateur!GJ121*VLOOKUP('Données projet'!$B$17,Paramètres!$A$1:$I$89,3,0)*0.475*44/12</f>
        <v>4.8687651524639337</v>
      </c>
      <c r="GN121" s="21">
        <f>EXP(-LN(2)/2)*GN120+(1-EXP(-LN(2)/2))/(LN(2)/2)*GH121*GK121*VLOOKUP('Données projet'!$B$17,Paramètres!$A$1:$I$89,3,0)*0.475*44/12</f>
        <v>8.0025864639345486E-8</v>
      </c>
      <c r="GO121" s="21">
        <f t="shared" si="81"/>
        <v>41.719101965442107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84.31577618130467</v>
      </c>
      <c r="T122" s="59">
        <f t="shared" si="88"/>
        <v>527.2140904310653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20.983698937346773</v>
      </c>
      <c r="AA122" s="21">
        <f>EXP(-LN(2)/25)*AA121+(1-EXP(-LN(2)/25))/(LN(2)/25)*Calculateur!V122*Calculateur!X122*VLOOKUP('Données projet'!$B$9,Paramètres!$A$1:$I$89,3,0)*0.475*44/12</f>
        <v>2.9885045281057039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23.972203465452477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6.4</v>
      </c>
      <c r="AI122" s="13">
        <f>IF('Données projet'!$A$62&gt;35,AI121+AH122-AQ121,IF(A122&lt;'Données projet'!$A$62,$AF$205^A122,IF(A122='Données projet'!$A$62,'Données projet'!$B$62,AI121+AH122-AQ121)))</f>
        <v>280.39999999999981</v>
      </c>
      <c r="AJ122" s="13">
        <f>AI122*VLOOKUP('Données projet'!$B$10,Paramètres!$A$1:$I$89,3,0)*VLOOKUP('Données projet'!$B$10,Paramètres!$A$1:$I$89,5,0)</f>
        <v>253.70591999999979</v>
      </c>
      <c r="AK122" s="13">
        <f t="shared" si="89"/>
        <v>61.378826950685919</v>
      </c>
      <c r="AL122" s="20">
        <f t="shared" si="58"/>
        <v>548.77260093911093</v>
      </c>
      <c r="AM122" s="59">
        <f t="shared" si="59"/>
        <v>842.1059342724443</v>
      </c>
      <c r="AN122" s="59">
        <f ca="1">AVERAGE(OFFSET($AM$3,0,0,'Données projet'!$E$10+1,1))-AVERAGE(OFFSET($H$3,0,0,'Données projet'!$E$10+1,1))</f>
        <v>297.90790572649428</v>
      </c>
      <c r="AO122" s="59">
        <f t="shared" si="90"/>
        <v>142.96889776844506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19.463057046663202</v>
      </c>
      <c r="AV122" s="21">
        <f>EXP(-LN(2)/25)*AV121+(1-EXP(-LN(2)/25))/(LN(2)/25)*Calculateur!AQ122*Calculateur!AS122*VLOOKUP('Données projet'!$B$10,Paramètres!$A$1:$I$89,3,0)*0.475*44/12</f>
        <v>16.130460802122037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35.59351784878524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6.4</v>
      </c>
      <c r="BD122" s="12">
        <f>IF('Données projet'!$A$88&gt;35,BD121+BC122-BL121,IF(A122&lt;'Données projet'!$A$88,$BA$205^A122,IF(A122='Données projet'!$A$88,'Données projet'!$B$88,BD121+BC122-BL121)))</f>
        <v>280.39999999999981</v>
      </c>
      <c r="BE122" s="13">
        <f>BD122*VLOOKUP('Données projet'!$B$11,Paramètres!$A$1:$I$89,3,0)*VLOOKUP('Données projet'!$B$11,Paramètres!$A$1:$I$89,5,0)</f>
        <v>284.32559999999984</v>
      </c>
      <c r="BF122" s="13">
        <f t="shared" si="91"/>
        <v>67.880315299331144</v>
      </c>
      <c r="BG122" s="20">
        <f t="shared" si="61"/>
        <v>613.42530247966806</v>
      </c>
      <c r="BH122" s="59">
        <f t="shared" si="62"/>
        <v>906.75863581300132</v>
      </c>
      <c r="BI122" s="59">
        <f ca="1">AVERAGE(OFFSET($BH$3,0,0,'Données projet'!$E$11+1,1))-AVERAGE(OFFSET($H$3,0,0,'Données projet'!$E$11+1,1))</f>
        <v>345.3294887586967</v>
      </c>
      <c r="BJ122" s="59">
        <f t="shared" si="92"/>
        <v>164.23448598618114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21.812046690226005</v>
      </c>
      <c r="BQ122" s="21">
        <f>EXP(-LN(2)/25)*BQ121+(1-EXP(-LN(2)/25))/(LN(2)/25)*Calculateur!BL122*Calculateur!BN122*VLOOKUP('Données projet'!$B$11,Paramètres!$A$1:$I$89,3,0)*0.475*44/12</f>
        <v>18.077240554102293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39.889287244328301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289.07218105343333</v>
      </c>
      <c r="CE122" s="59">
        <f t="shared" si="94"/>
        <v>217.57508587672368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76.697614938571093</v>
      </c>
      <c r="CL122" s="21">
        <f>EXP(-LN(2)/25)*CL121+(1-EXP(-LN(2)/25))/(LN(2)/25)*Calculateur!CG122*Calculateur!CI122*VLOOKUP('Données projet'!$B$12,Paramètres!$A$1:$I$89,3,0)*0.475*44/12</f>
        <v>25.270657120496388</v>
      </c>
      <c r="CM122" s="21">
        <f>EXP(-LN(2)/2)*CM121+(1-EXP(-LN(2)/2))/(LN(2)/2)*CG122*CJ122*VLOOKUP('Données projet'!$B$12,Paramètres!$A$1:$I$89,3,0)*0.475*44/12</f>
        <v>1.0454846362888337E-4</v>
      </c>
      <c r="CN122" s="22">
        <f t="shared" si="66"/>
        <v>101.96837660753111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1.7053025658242404E-13</v>
      </c>
      <c r="CU122" s="17">
        <f>CT122*VLOOKUP('Données projet'!$B$13,Paramètres!$A$1:$I$89,3,0)*VLOOKUP('Données projet'!$B$13,Paramètres!$A$1:$I$89,5,0)</f>
        <v>1.4897523215040567E-13</v>
      </c>
      <c r="CV122" s="13">
        <f t="shared" si="95"/>
        <v>2.136562777003313E-12</v>
      </c>
      <c r="CW122" s="20">
        <f t="shared" si="67"/>
        <v>3.9806453659427267E-12</v>
      </c>
      <c r="CX122" s="59">
        <f t="shared" si="68"/>
        <v>293.33333333333729</v>
      </c>
      <c r="CY122" s="59">
        <f ca="1">AVERAGE(OFFSET($CX$3,0,0,'Données projet'!$E$13+1,1))-AVERAGE(OFFSET($H$3,0,0,'Données projet'!$E$13+1,1))</f>
        <v>237.8483058552178</v>
      </c>
      <c r="CZ122" s="59">
        <f t="shared" si="96"/>
        <v>313.36201272119723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33.217860671796842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1.7360543561664646E-6</v>
      </c>
      <c r="DI122" s="22">
        <f t="shared" si="69"/>
        <v>33.2178624078512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6.4</v>
      </c>
      <c r="DO122" s="12">
        <f>IF('Données projet'!$A$166&gt;35,DO121+DN122-DW121,IF(A122&lt;'Données projet'!$A$166,$DL$205^A122,IF(A122='Données projet'!$A$166,'Données projet'!$B$166,DO121+DN122-DW121)))</f>
        <v>280.39999999999981</v>
      </c>
      <c r="DP122" s="17">
        <f>DO122*VLOOKUP('Données projet'!$B$14,Paramètres!$A$1:$I$89,3,0)*VLOOKUP('Données projet'!$B$14,Paramètres!$A$1:$I$89,5,0)</f>
        <v>271.20287999999982</v>
      </c>
      <c r="DQ122" s="13">
        <f t="shared" si="97"/>
        <v>65.104484700680942</v>
      </c>
      <c r="DR122" s="20">
        <f t="shared" si="70"/>
        <v>585.73532685368571</v>
      </c>
      <c r="DS122" s="59">
        <f t="shared" si="71"/>
        <v>879.06866018701908</v>
      </c>
      <c r="DT122" s="59">
        <f ca="1">AVERAGE(OFFSET($DS$3,0,0,'Données projet'!$E$14+1,1))-AVERAGE(OFFSET($H$3,0,0,'Données projet'!$E$14+1,1))</f>
        <v>325.01961068962373</v>
      </c>
      <c r="DU122" s="59">
        <f t="shared" si="98"/>
        <v>155.12737608540039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20.805336842984804</v>
      </c>
      <c r="EB122" s="21">
        <f>EXP(-LN(2)/25)*EB121+(1-EXP(-LN(2)/25))/(LN(2)/25)*Calculateur!DW122*Calculateur!DY122*VLOOKUP('Données projet'!$B$14,Paramètres!$A$1:$I$89,3,0)*0.475*44/12</f>
        <v>17.242906374682182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38.048243217666986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-1.7053025658242404E-13</v>
      </c>
      <c r="EK122" s="17">
        <f>EJ122*VLOOKUP('Données projet'!$B$15,Paramètres!$A$1:$I$89,3,0)*VLOOKUP('Données projet'!$B$15,Paramètres!$A$1:$I$89,5,0)</f>
        <v>-1.1439169611549005E-13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178.09619481964575</v>
      </c>
      <c r="EP122" s="59">
        <f t="shared" si="100"/>
        <v>178.65167777495174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41.348273295008696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4.7319878505556724E-5</v>
      </c>
      <c r="EY122" s="22">
        <f t="shared" si="75"/>
        <v>41.3483206148872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-1.3567387213697657E-13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219.43439115440339</v>
      </c>
      <c r="FK122" s="59">
        <f t="shared" si="102"/>
        <v>217.8880462742099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49.04097530338241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5.6123576832171964E-5</v>
      </c>
      <c r="FT122" s="22">
        <f t="shared" si="78"/>
        <v>49.041031426959243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191.77102466144095</v>
      </c>
      <c r="GF122" s="59">
        <f t="shared" si="104"/>
        <v>205.57161411620217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36.127724106105148</v>
      </c>
      <c r="GM122" s="21">
        <f>EXP(-LN(2)/25)*GM121+(1-EXP(-LN(2)/25))/(LN(2)/25)*Calculateur!GH122*Calculateur!GJ122*VLOOKUP('Données projet'!$B$17,Paramètres!$A$1:$I$89,3,0)*0.475*44/12</f>
        <v>4.7356285133325757</v>
      </c>
      <c r="GN122" s="21">
        <f>EXP(-LN(2)/2)*GN121+(1-EXP(-LN(2)/2))/(LN(2)/2)*GH122*GK122*VLOOKUP('Données projet'!$B$17,Paramètres!$A$1:$I$89,3,0)*0.475*44/12</f>
        <v>5.658683155679794E-8</v>
      </c>
      <c r="GO122" s="21">
        <f t="shared" si="81"/>
        <v>40.863352676024562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84.31577618130467</v>
      </c>
      <c r="T123" s="59">
        <f t="shared" si="88"/>
        <v>527.2140904310653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20.57222139997798</v>
      </c>
      <c r="AA123" s="21">
        <f>EXP(-LN(2)/25)*AA122+(1-EXP(-LN(2)/25))/(LN(2)/25)*Calculateur!V123*Calculateur!X123*VLOOKUP('Données projet'!$B$9,Paramètres!$A$1:$I$89,3,0)*0.475*44/12</f>
        <v>2.9067837146260307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23.479005114604011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6.4</v>
      </c>
      <c r="AI123" s="13">
        <f>IF('Données projet'!$A$62&gt;35,AI122+AH123-AQ122,IF(A123&lt;'Données projet'!$A$62,$AF$205^A123,IF(A123='Données projet'!$A$62,'Données projet'!$B$62,AI122+AH123-AQ122)))</f>
        <v>286.79999999999978</v>
      </c>
      <c r="AJ123" s="13">
        <f>AI123*VLOOKUP('Données projet'!$B$10,Paramètres!$A$1:$I$89,3,0)*VLOOKUP('Données projet'!$B$10,Paramètres!$A$1:$I$89,5,0)</f>
        <v>259.49663999999979</v>
      </c>
      <c r="AK123" s="13">
        <f t="shared" si="89"/>
        <v>62.61506984708253</v>
      </c>
      <c r="AL123" s="20">
        <f t="shared" si="58"/>
        <v>561.01122798366839</v>
      </c>
      <c r="AM123" s="59">
        <f t="shared" si="59"/>
        <v>854.34456131700176</v>
      </c>
      <c r="AN123" s="59">
        <f ca="1">AVERAGE(OFFSET($AM$3,0,0,'Données projet'!$E$10+1,1))-AVERAGE(OFFSET($H$3,0,0,'Données projet'!$E$10+1,1))</f>
        <v>297.90790572649428</v>
      </c>
      <c r="AO123" s="59">
        <f t="shared" si="90"/>
        <v>142.96889776844506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19.081398369270744</v>
      </c>
      <c r="AV123" s="21">
        <f>EXP(-LN(2)/25)*AV122+(1-EXP(-LN(2)/25))/(LN(2)/25)*Calculateur!AQ123*Calculateur!AS123*VLOOKUP('Données projet'!$B$10,Paramètres!$A$1:$I$89,3,0)*0.475*44/12</f>
        <v>15.689372503223943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34.770770872494687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6.4</v>
      </c>
      <c r="BD123" s="12">
        <f>IF('Données projet'!$A$88&gt;35,BD122+BC123-BL122,IF(A123&lt;'Données projet'!$A$88,$BA$205^A123,IF(A123='Données projet'!$A$88,'Données projet'!$B$88,BD122+BC123-BL122)))</f>
        <v>286.79999999999978</v>
      </c>
      <c r="BE123" s="13">
        <f>BD123*VLOOKUP('Données projet'!$B$11,Paramètres!$A$1:$I$89,3,0)*VLOOKUP('Données projet'!$B$11,Paramètres!$A$1:$I$89,5,0)</f>
        <v>290.81519999999983</v>
      </c>
      <c r="BF123" s="13">
        <f t="shared" si="91"/>
        <v>69.247505937584663</v>
      </c>
      <c r="BG123" s="20">
        <f t="shared" si="61"/>
        <v>627.10921284129302</v>
      </c>
      <c r="BH123" s="59">
        <f t="shared" si="62"/>
        <v>920.44254617462639</v>
      </c>
      <c r="BI123" s="59">
        <f ca="1">AVERAGE(OFFSET($BH$3,0,0,'Données projet'!$E$11+1,1))-AVERAGE(OFFSET($H$3,0,0,'Données projet'!$E$11+1,1))</f>
        <v>345.3294887586967</v>
      </c>
      <c r="BJ123" s="59">
        <f t="shared" si="92"/>
        <v>164.23448598618114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21.38432575866549</v>
      </c>
      <c r="BQ123" s="21">
        <f>EXP(-LN(2)/25)*BQ122+(1-EXP(-LN(2)/25))/(LN(2)/25)*Calculateur!BL123*Calculateur!BN123*VLOOKUP('Données projet'!$B$11,Paramètres!$A$1:$I$89,3,0)*0.475*44/12</f>
        <v>17.582917460509602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38.967243219175089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289.07218105343333</v>
      </c>
      <c r="CE123" s="59">
        <f t="shared" si="94"/>
        <v>217.57508587672368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75.193621490551593</v>
      </c>
      <c r="CL123" s="21">
        <f>EXP(-LN(2)/25)*CL122+(1-EXP(-LN(2)/25))/(LN(2)/25)*Calculateur!CG123*Calculateur!CI123*VLOOKUP('Données projet'!$B$12,Paramètres!$A$1:$I$89,3,0)*0.475*44/12</f>
        <v>24.579629672610313</v>
      </c>
      <c r="CM123" s="21">
        <f>EXP(-LN(2)/2)*CM122+(1-EXP(-LN(2)/2))/(LN(2)/2)*CG123*CJ123*VLOOKUP('Données projet'!$B$12,Paramètres!$A$1:$I$89,3,0)*0.475*44/12</f>
        <v>7.3926927594618558E-5</v>
      </c>
      <c r="CN123" s="22">
        <f t="shared" si="66"/>
        <v>99.7733250900895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1.7053025658242404E-13</v>
      </c>
      <c r="CU123" s="17">
        <f>CT123*VLOOKUP('Données projet'!$B$13,Paramètres!$A$1:$I$89,3,0)*VLOOKUP('Données projet'!$B$13,Paramètres!$A$1:$I$89,5,0)</f>
        <v>1.4897523215040567E-13</v>
      </c>
      <c r="CV123" s="13">
        <f t="shared" si="95"/>
        <v>2.136562777003313E-12</v>
      </c>
      <c r="CW123" s="20">
        <f t="shared" si="67"/>
        <v>3.9806453659427267E-12</v>
      </c>
      <c r="CX123" s="59">
        <f t="shared" si="68"/>
        <v>293.33333333333729</v>
      </c>
      <c r="CY123" s="59">
        <f ca="1">AVERAGE(OFFSET($CX$3,0,0,'Données projet'!$E$13+1,1))-AVERAGE(OFFSET($H$3,0,0,'Données projet'!$E$13+1,1))</f>
        <v>237.8483058552178</v>
      </c>
      <c r="CZ123" s="59">
        <f t="shared" si="96"/>
        <v>313.36201272119723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32.566478684917321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1.2275758077537529E-6</v>
      </c>
      <c r="DI123" s="22">
        <f t="shared" si="69"/>
        <v>32.566479912493129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6.4</v>
      </c>
      <c r="DO123" s="12">
        <f>IF('Données projet'!$A$166&gt;35,DO122+DN123-DW122,IF(A123&lt;'Données projet'!$A$166,$DL$205^A123,IF(A123='Données projet'!$A$166,'Données projet'!$B$166,DO122+DN123-DW122)))</f>
        <v>286.79999999999978</v>
      </c>
      <c r="DP123" s="17">
        <f>DO123*VLOOKUP('Données projet'!$B$14,Paramètres!$A$1:$I$89,3,0)*VLOOKUP('Données projet'!$B$14,Paramètres!$A$1:$I$89,5,0)</f>
        <v>277.39295999999979</v>
      </c>
      <c r="DQ123" s="13">
        <f t="shared" si="97"/>
        <v>66.415766794739909</v>
      </c>
      <c r="DR123" s="20">
        <f t="shared" si="70"/>
        <v>598.80019916750496</v>
      </c>
      <c r="DS123" s="59">
        <f t="shared" si="71"/>
        <v>892.13353250083833</v>
      </c>
      <c r="DT123" s="59">
        <f ca="1">AVERAGE(OFFSET($DS$3,0,0,'Données projet'!$E$14+1,1))-AVERAGE(OFFSET($H$3,0,0,'Données projet'!$E$14+1,1))</f>
        <v>325.01961068962373</v>
      </c>
      <c r="DU123" s="59">
        <f t="shared" si="98"/>
        <v>155.12737608540039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20.397356877496314</v>
      </c>
      <c r="EB123" s="21">
        <f>EXP(-LN(2)/25)*EB122+(1-EXP(-LN(2)/25))/(LN(2)/25)*Calculateur!DW123*Calculateur!DY123*VLOOKUP('Données projet'!$B$14,Paramètres!$A$1:$I$89,3,0)*0.475*44/12</f>
        <v>16.771398193101462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37.168755070597776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-1.7053025658242404E-13</v>
      </c>
      <c r="EK123" s="17">
        <f>EJ123*VLOOKUP('Données projet'!$B$15,Paramètres!$A$1:$I$89,3,0)*VLOOKUP('Données projet'!$B$15,Paramètres!$A$1:$I$89,5,0)</f>
        <v>-1.1439169611549005E-13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178.09619481964575</v>
      </c>
      <c r="EP123" s="59">
        <f t="shared" si="100"/>
        <v>178.65167777495174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40.537458875650024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3.3460206976202712E-5</v>
      </c>
      <c r="EY123" s="22">
        <f t="shared" si="75"/>
        <v>40.537492335857003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-1.3567387213697657E-13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219.43439115440339</v>
      </c>
      <c r="FK123" s="59">
        <f t="shared" si="102"/>
        <v>217.8880462742099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48.079311689724449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3.9685361762473009E-5</v>
      </c>
      <c r="FT123" s="22">
        <f t="shared" si="78"/>
        <v>48.079351375086212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191.77102466144095</v>
      </c>
      <c r="GF123" s="59">
        <f t="shared" si="104"/>
        <v>205.57161411620217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35.419281472120282</v>
      </c>
      <c r="GM123" s="21">
        <f>EXP(-LN(2)/25)*GM122+(1-EXP(-LN(2)/25))/(LN(2)/25)*Calculateur!GH123*Calculateur!GJ123*VLOOKUP('Données projet'!$B$17,Paramètres!$A$1:$I$89,3,0)*0.475*44/12</f>
        <v>4.6061325025996167</v>
      </c>
      <c r="GN123" s="21">
        <f>EXP(-LN(2)/2)*GN122+(1-EXP(-LN(2)/2))/(LN(2)/2)*GH123*GK123*VLOOKUP('Données projet'!$B$17,Paramètres!$A$1:$I$89,3,0)*0.475*44/12</f>
        <v>4.0012932319672743E-8</v>
      </c>
      <c r="GO123" s="21">
        <f t="shared" si="81"/>
        <v>40.025414014732831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84.31577618130467</v>
      </c>
      <c r="T124" s="59">
        <f t="shared" si="88"/>
        <v>527.2140904310653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20.168812686140473</v>
      </c>
      <c r="AA124" s="21">
        <f>EXP(-LN(2)/25)*AA123+(1-EXP(-LN(2)/25))/(LN(2)/25)*Calculateur!V124*Calculateur!X124*VLOOKUP('Données projet'!$B$9,Paramètres!$A$1:$I$89,3,0)*0.475*44/12</f>
        <v>2.8272975610884701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22.996110247228945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6.4</v>
      </c>
      <c r="AI124" s="13">
        <f>IF('Données projet'!$A$62&gt;35,AI123+AH124-AQ123,IF(A124&lt;'Données projet'!$A$62,$AF$205^A124,IF(A124='Données projet'!$A$62,'Données projet'!$B$62,AI123+AH124-AQ123)))</f>
        <v>293.19999999999976</v>
      </c>
      <c r="AJ124" s="13">
        <f>AI124*VLOOKUP('Données projet'!$B$10,Paramètres!$A$1:$I$89,3,0)*VLOOKUP('Données projet'!$B$10,Paramètres!$A$1:$I$89,5,0)</f>
        <v>265.28735999999975</v>
      </c>
      <c r="AK124" s="13">
        <f t="shared" si="89"/>
        <v>63.848105500969893</v>
      </c>
      <c r="AL124" s="20">
        <f t="shared" si="58"/>
        <v>573.24426908085547</v>
      </c>
      <c r="AM124" s="59">
        <f t="shared" si="59"/>
        <v>866.57760241418873</v>
      </c>
      <c r="AN124" s="59">
        <f ca="1">AVERAGE(OFFSET($AM$3,0,0,'Données projet'!$E$10+1,1))-AVERAGE(OFFSET($H$3,0,0,'Données projet'!$E$10+1,1))</f>
        <v>297.90790572649428</v>
      </c>
      <c r="AO124" s="59">
        <f t="shared" si="90"/>
        <v>142.96889776844506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18.707223785753143</v>
      </c>
      <c r="AV124" s="21">
        <f>EXP(-LN(2)/25)*AV123+(1-EXP(-LN(2)/25))/(LN(2)/25)*Calculateur!AQ124*Calculateur!AS124*VLOOKUP('Données projet'!$B$10,Paramètres!$A$1:$I$89,3,0)*0.475*44/12</f>
        <v>15.260345787055043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33.967569572808188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6.4</v>
      </c>
      <c r="BD124" s="12">
        <f>IF('Données projet'!$A$88&gt;35,BD123+BC124-BL123,IF(A124&lt;'Données projet'!$A$88,$BA$205^A124,IF(A124='Données projet'!$A$88,'Données projet'!$B$88,BD123+BC124-BL123)))</f>
        <v>293.19999999999976</v>
      </c>
      <c r="BE124" s="13">
        <f>BD124*VLOOKUP('Données projet'!$B$11,Paramètres!$A$1:$I$89,3,0)*VLOOKUP('Données projet'!$B$11,Paramètres!$A$1:$I$89,5,0)</f>
        <v>297.30479999999977</v>
      </c>
      <c r="BF124" s="13">
        <f t="shared" si="91"/>
        <v>70.611149609504906</v>
      </c>
      <c r="BG124" s="20">
        <f t="shared" si="61"/>
        <v>640.78694556988728</v>
      </c>
      <c r="BH124" s="59">
        <f t="shared" si="62"/>
        <v>934.12027890322065</v>
      </c>
      <c r="BI124" s="59">
        <f ca="1">AVERAGE(OFFSET($BH$3,0,0,'Données projet'!$E$11+1,1))-AVERAGE(OFFSET($H$3,0,0,'Données projet'!$E$11+1,1))</f>
        <v>345.3294887586967</v>
      </c>
      <c r="BJ124" s="59">
        <f t="shared" si="92"/>
        <v>164.23448598618114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20.96499217368887</v>
      </c>
      <c r="BQ124" s="21">
        <f>EXP(-LN(2)/25)*BQ123+(1-EXP(-LN(2)/25))/(LN(2)/25)*Calculateur!BL124*Calculateur!BN124*VLOOKUP('Données projet'!$B$11,Paramètres!$A$1:$I$89,3,0)*0.475*44/12</f>
        <v>17.102111657906523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38.067103831595389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289.07218105343333</v>
      </c>
      <c r="CE124" s="59">
        <f t="shared" si="94"/>
        <v>217.57508587672368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73.719120436702326</v>
      </c>
      <c r="CL124" s="21">
        <f>EXP(-LN(2)/25)*CL123+(1-EXP(-LN(2)/25))/(LN(2)/25)*Calculateur!CG124*Calculateur!CI124*VLOOKUP('Données projet'!$B$12,Paramètres!$A$1:$I$89,3,0)*0.475*44/12</f>
        <v>23.907498406626235</v>
      </c>
      <c r="CM124" s="21">
        <f>EXP(-LN(2)/2)*CM123+(1-EXP(-LN(2)/2))/(LN(2)/2)*CG124*CJ124*VLOOKUP('Données projet'!$B$12,Paramètres!$A$1:$I$89,3,0)*0.475*44/12</f>
        <v>5.2274231814441687E-5</v>
      </c>
      <c r="CN124" s="22">
        <f t="shared" si="66"/>
        <v>97.626671117560377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1.7053025658242404E-13</v>
      </c>
      <c r="CU124" s="17">
        <f>CT124*VLOOKUP('Données projet'!$B$13,Paramètres!$A$1:$I$89,3,0)*VLOOKUP('Données projet'!$B$13,Paramètres!$A$1:$I$89,5,0)</f>
        <v>1.4897523215040567E-13</v>
      </c>
      <c r="CV124" s="13">
        <f t="shared" si="95"/>
        <v>2.136562777003313E-12</v>
      </c>
      <c r="CW124" s="20">
        <f t="shared" si="67"/>
        <v>3.9806453659427267E-12</v>
      </c>
      <c r="CX124" s="59">
        <f t="shared" si="68"/>
        <v>293.33333333333729</v>
      </c>
      <c r="CY124" s="59">
        <f ca="1">AVERAGE(OFFSET($CX$3,0,0,'Données projet'!$E$13+1,1))-AVERAGE(OFFSET($H$3,0,0,'Données projet'!$E$13+1,1))</f>
        <v>237.8483058552178</v>
      </c>
      <c r="CZ124" s="59">
        <f t="shared" si="96"/>
        <v>313.36201272119723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31.927869901496724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8.6802717808323232E-7</v>
      </c>
      <c r="DI124" s="22">
        <f t="shared" si="69"/>
        <v>31.927870769523903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6.4</v>
      </c>
      <c r="DO124" s="12">
        <f>IF('Données projet'!$A$166&gt;35,DO123+DN124-DW123,IF(A124&lt;'Données projet'!$A$166,$DL$205^A124,IF(A124='Données projet'!$A$166,'Données projet'!$B$166,DO123+DN124-DW123)))</f>
        <v>293.19999999999976</v>
      </c>
      <c r="DP124" s="17">
        <f>DO124*VLOOKUP('Données projet'!$B$14,Paramètres!$A$1:$I$89,3,0)*VLOOKUP('Données projet'!$B$14,Paramètres!$A$1:$I$89,5,0)</f>
        <v>283.58303999999976</v>
      </c>
      <c r="DQ124" s="13">
        <f t="shared" si="97"/>
        <v>67.723646968605152</v>
      </c>
      <c r="DR124" s="20">
        <f t="shared" si="70"/>
        <v>611.8591464703203</v>
      </c>
      <c r="DS124" s="59">
        <f t="shared" si="71"/>
        <v>905.19247980365367</v>
      </c>
      <c r="DT124" s="59">
        <f ca="1">AVERAGE(OFFSET($DS$3,0,0,'Données projet'!$E$14+1,1))-AVERAGE(OFFSET($H$3,0,0,'Données projet'!$E$14+1,1))</f>
        <v>325.01961068962373</v>
      </c>
      <c r="DU124" s="59">
        <f t="shared" si="98"/>
        <v>155.12737608540039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19.997377150287843</v>
      </c>
      <c r="EB124" s="21">
        <f>EXP(-LN(2)/25)*EB123+(1-EXP(-LN(2)/25))/(LN(2)/25)*Calculateur!DW124*Calculateur!DY124*VLOOKUP('Données projet'!$B$14,Paramètres!$A$1:$I$89,3,0)*0.475*44/12</f>
        <v>16.312783427541603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36.31016057782945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-1.7053025658242404E-13</v>
      </c>
      <c r="EK124" s="17">
        <f>EJ124*VLOOKUP('Données projet'!$B$15,Paramètres!$A$1:$I$89,3,0)*VLOOKUP('Données projet'!$B$15,Paramètres!$A$1:$I$89,5,0)</f>
        <v>-1.1439169611549005E-13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178.09619481964575</v>
      </c>
      <c r="EP124" s="59">
        <f t="shared" si="100"/>
        <v>178.65167777495174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39.742544032507013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2.3659939252778362E-5</v>
      </c>
      <c r="EY124" s="22">
        <f t="shared" si="75"/>
        <v>39.742567692446265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-1.3567387213697657E-13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219.43439115440339</v>
      </c>
      <c r="FK124" s="59">
        <f t="shared" si="102"/>
        <v>217.8880462742099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47.136505712973431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2.8061788416085982E-5</v>
      </c>
      <c r="FT124" s="22">
        <f t="shared" si="78"/>
        <v>47.136533774761844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191.77102466144095</v>
      </c>
      <c r="GF124" s="59">
        <f t="shared" si="104"/>
        <v>205.57161411620217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34.724730966080521</v>
      </c>
      <c r="GM124" s="21">
        <f>EXP(-LN(2)/25)*GM123+(1-EXP(-LN(2)/25))/(LN(2)/25)*Calculateur!GH124*Calculateur!GJ124*VLOOKUP('Données projet'!$B$17,Paramètres!$A$1:$I$89,3,0)*0.475*44/12</f>
        <v>4.480177567090049</v>
      </c>
      <c r="GN124" s="21">
        <f>EXP(-LN(2)/2)*GN123+(1-EXP(-LN(2)/2))/(LN(2)/2)*GH124*GK124*VLOOKUP('Données projet'!$B$17,Paramètres!$A$1:$I$89,3,0)*0.475*44/12</f>
        <v>2.829341577839897E-8</v>
      </c>
      <c r="GO124" s="21">
        <f t="shared" si="81"/>
        <v>39.204908561463981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84.31577618130467</v>
      </c>
      <c r="T125" s="59">
        <f t="shared" si="88"/>
        <v>527.2140904310653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19.773314571126299</v>
      </c>
      <c r="AA125" s="21">
        <f>EXP(-LN(2)/25)*AA124+(1-EXP(-LN(2)/25))/(LN(2)/25)*Calculateur!V125*Calculateur!X125*VLOOKUP('Données projet'!$B$9,Paramètres!$A$1:$I$89,3,0)*0.475*44/12</f>
        <v>2.7499849605993889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22.523299531725687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6.4</v>
      </c>
      <c r="AI125" s="13">
        <f>IF('Données projet'!$A$62&gt;35,AI124+AH125-AQ124,IF(A125&lt;'Données projet'!$A$62,$AF$205^A125,IF(A125='Données projet'!$A$62,'Données projet'!$B$62,AI124+AH125-AQ124)))</f>
        <v>299.59999999999974</v>
      </c>
      <c r="AJ125" s="13">
        <f>AI125*VLOOKUP('Données projet'!$B$10,Paramètres!$A$1:$I$89,3,0)*VLOOKUP('Données projet'!$B$10,Paramètres!$A$1:$I$89,5,0)</f>
        <v>271.07807999999977</v>
      </c>
      <c r="AK125" s="13">
        <f t="shared" si="89"/>
        <v>65.078011982620907</v>
      </c>
      <c r="AL125" s="20">
        <f t="shared" si="58"/>
        <v>585.47186020306435</v>
      </c>
      <c r="AM125" s="59">
        <f t="shared" si="59"/>
        <v>878.80519353639761</v>
      </c>
      <c r="AN125" s="59">
        <f ca="1">AVERAGE(OFFSET($AM$3,0,0,'Données projet'!$E$10+1,1))-AVERAGE(OFFSET($H$3,0,0,'Données projet'!$E$10+1,1))</f>
        <v>297.90790572649428</v>
      </c>
      <c r="AO125" s="59">
        <f t="shared" si="90"/>
        <v>142.96889776844506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18.340386537594362</v>
      </c>
      <c r="AV125" s="21">
        <f>EXP(-LN(2)/25)*AV124+(1-EXP(-LN(2)/25))/(LN(2)/25)*Calculateur!AQ125*Calculateur!AS125*VLOOKUP('Données projet'!$B$10,Paramètres!$A$1:$I$89,3,0)*0.475*44/12</f>
        <v>14.843050829001315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33.183437366595676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6.4</v>
      </c>
      <c r="BD125" s="12">
        <f>IF('Données projet'!$A$88&gt;35,BD124+BC125-BL124,IF(A125&lt;'Données projet'!$A$88,$BA$205^A125,IF(A125='Données projet'!$A$88,'Données projet'!$B$88,BD124+BC125-BL124)))</f>
        <v>299.59999999999974</v>
      </c>
      <c r="BE125" s="13">
        <f>BD125*VLOOKUP('Données projet'!$B$11,Paramètres!$A$1:$I$89,3,0)*VLOOKUP('Données projet'!$B$11,Paramètres!$A$1:$I$89,5,0)</f>
        <v>303.79439999999977</v>
      </c>
      <c r="BF125" s="13">
        <f t="shared" si="91"/>
        <v>71.971332654877116</v>
      </c>
      <c r="BG125" s="20">
        <f t="shared" si="61"/>
        <v>654.45865104057725</v>
      </c>
      <c r="BH125" s="59">
        <f t="shared" si="62"/>
        <v>947.79198437391051</v>
      </c>
      <c r="BI125" s="59">
        <f ca="1">AVERAGE(OFFSET($BH$3,0,0,'Données projet'!$E$11+1,1))-AVERAGE(OFFSET($H$3,0,0,'Données projet'!$E$11+1,1))</f>
        <v>345.3294887586967</v>
      </c>
      <c r="BJ125" s="59">
        <f t="shared" si="92"/>
        <v>164.23448598618114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20.553881464545409</v>
      </c>
      <c r="BQ125" s="21">
        <f>EXP(-LN(2)/25)*BQ124+(1-EXP(-LN(2)/25))/(LN(2)/25)*Calculateur!BL125*Calculateur!BN125*VLOOKUP('Données projet'!$B$11,Paramètres!$A$1:$I$89,3,0)*0.475*44/12</f>
        <v>16.634453515260105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37.188334979805518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289.07218105343333</v>
      </c>
      <c r="CE125" s="59">
        <f t="shared" si="94"/>
        <v>217.57508587672368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72.273533449162215</v>
      </c>
      <c r="CL125" s="21">
        <f>EXP(-LN(2)/25)*CL124+(1-EXP(-LN(2)/25))/(LN(2)/25)*Calculateur!CG125*Calculateur!CI125*VLOOKUP('Données projet'!$B$12,Paramètres!$A$1:$I$89,3,0)*0.475*44/12</f>
        <v>23.253746605456342</v>
      </c>
      <c r="CM125" s="21">
        <f>EXP(-LN(2)/2)*CM124+(1-EXP(-LN(2)/2))/(LN(2)/2)*CG125*CJ125*VLOOKUP('Données projet'!$B$12,Paramètres!$A$1:$I$89,3,0)*0.475*44/12</f>
        <v>3.6963463797309279E-5</v>
      </c>
      <c r="CN125" s="22">
        <f t="shared" si="66"/>
        <v>95.527317018082357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1.7053025658242404E-13</v>
      </c>
      <c r="CU125" s="17">
        <f>CT125*VLOOKUP('Données projet'!$B$13,Paramètres!$A$1:$I$89,3,0)*VLOOKUP('Données projet'!$B$13,Paramètres!$A$1:$I$89,5,0)</f>
        <v>1.4897523215040567E-13</v>
      </c>
      <c r="CV125" s="13">
        <f t="shared" si="95"/>
        <v>2.136562777003313E-12</v>
      </c>
      <c r="CW125" s="20">
        <f t="shared" si="67"/>
        <v>3.9806453659427267E-12</v>
      </c>
      <c r="CX125" s="59">
        <f t="shared" si="68"/>
        <v>293.33333333333729</v>
      </c>
      <c r="CY125" s="59">
        <f ca="1">AVERAGE(OFFSET($CX$3,0,0,'Données projet'!$E$13+1,1))-AVERAGE(OFFSET($H$3,0,0,'Données projet'!$E$13+1,1))</f>
        <v>237.8483058552178</v>
      </c>
      <c r="CZ125" s="59">
        <f t="shared" si="96"/>
        <v>313.36201272119723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31.301783846806106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6.1378790387687647E-7</v>
      </c>
      <c r="DI125" s="22">
        <f t="shared" si="69"/>
        <v>31.301784460594011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6.4</v>
      </c>
      <c r="DO125" s="12">
        <f>IF('Données projet'!$A$166&gt;35,DO124+DN125-DW124,IF(A125&lt;'Données projet'!$A$166,$DL$205^A125,IF(A125='Données projet'!$A$166,'Données projet'!$B$166,DO124+DN125-DW124)))</f>
        <v>299.59999999999974</v>
      </c>
      <c r="DP125" s="17">
        <f>DO125*VLOOKUP('Données projet'!$B$14,Paramètres!$A$1:$I$89,3,0)*VLOOKUP('Données projet'!$B$14,Paramètres!$A$1:$I$89,5,0)</f>
        <v>289.77311999999978</v>
      </c>
      <c r="DQ125" s="13">
        <f t="shared" si="97"/>
        <v>69.028208031367754</v>
      </c>
      <c r="DR125" s="20">
        <f t="shared" si="70"/>
        <v>624.91231298796504</v>
      </c>
      <c r="DS125" s="59">
        <f t="shared" si="71"/>
        <v>918.24564632129841</v>
      </c>
      <c r="DT125" s="59">
        <f ca="1">AVERAGE(OFFSET($DS$3,0,0,'Données projet'!$E$14+1,1))-AVERAGE(OFFSET($H$3,0,0,'Données projet'!$E$14+1,1))</f>
        <v>325.01961068962373</v>
      </c>
      <c r="DU125" s="59">
        <f t="shared" si="98"/>
        <v>155.12737608540039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19.605240781566387</v>
      </c>
      <c r="EB125" s="21">
        <f>EXP(-LN(2)/25)*EB124+(1-EXP(-LN(2)/25))/(LN(2)/25)*Calculateur!DW125*Calculateur!DY125*VLOOKUP('Données projet'!$B$14,Paramètres!$A$1:$I$89,3,0)*0.475*44/12</f>
        <v>15.866709506863481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35.471950288429866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-1.7053025658242404E-13</v>
      </c>
      <c r="EK125" s="17">
        <f>EJ125*VLOOKUP('Données projet'!$B$15,Paramètres!$A$1:$I$89,3,0)*VLOOKUP('Données projet'!$B$15,Paramètres!$A$1:$I$89,5,0)</f>
        <v>-1.1439169611549005E-13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178.09619481964575</v>
      </c>
      <c r="EP125" s="59">
        <f t="shared" si="100"/>
        <v>178.65167777495174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38.963216984587852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1.6730103488101356E-5</v>
      </c>
      <c r="EY125" s="22">
        <f t="shared" si="75"/>
        <v>38.963233714691341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-1.3567387213697657E-13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219.43439115440339</v>
      </c>
      <c r="FK125" s="59">
        <f t="shared" si="102"/>
        <v>217.8880462742099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46.212187586371641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1.9842680881236504E-5</v>
      </c>
      <c r="FT125" s="22">
        <f t="shared" si="78"/>
        <v>46.212207429052519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191.77102466144095</v>
      </c>
      <c r="GF125" s="59">
        <f t="shared" si="104"/>
        <v>205.57161411620217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34.04380017183022</v>
      </c>
      <c r="GM125" s="21">
        <f>EXP(-LN(2)/25)*GM124+(1-EXP(-LN(2)/25))/(LN(2)/25)*Calculateur!GH125*Calculateur!GJ125*VLOOKUP('Données projet'!$B$17,Paramètres!$A$1:$I$89,3,0)*0.475*44/12</f>
        <v>4.3576668759156734</v>
      </c>
      <c r="GN125" s="21">
        <f>EXP(-LN(2)/2)*GN124+(1-EXP(-LN(2)/2))/(LN(2)/2)*GH125*GK125*VLOOKUP('Données projet'!$B$17,Paramètres!$A$1:$I$89,3,0)*0.475*44/12</f>
        <v>2.0006466159836371E-8</v>
      </c>
      <c r="GO125" s="21">
        <f t="shared" si="81"/>
        <v>38.401467067752364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84.31577618130467</v>
      </c>
      <c r="T126" s="59">
        <f t="shared" si="88"/>
        <v>527.2140904310653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19.385571932917522</v>
      </c>
      <c r="AA126" s="21">
        <f>EXP(-LN(2)/25)*AA125+(1-EXP(-LN(2)/25))/(LN(2)/25)*Calculateur!V126*Calculateur!X126*VLOOKUP('Données projet'!$B$9,Paramètres!$A$1:$I$89,3,0)*0.475*44/12</f>
        <v>2.6747864772363745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22.060358410153896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306</v>
      </c>
      <c r="AG126" s="12">
        <f>VLOOKUP(A126,'Données projet'!$A$61:$I$81,9,0)</f>
        <v>6.4</v>
      </c>
      <c r="AH126" s="12">
        <f t="array" ref="AH126">INDEX(AG:AG,MIN(IF(ISNUMBER(AG126:AG322),ROW(AG126:AG322),"")))</f>
        <v>6.4</v>
      </c>
      <c r="AI126" s="13">
        <f>IF('Données projet'!$A$62&gt;35,AI125+AH126-AQ125,IF(A126&lt;'Données projet'!$A$62,$AF$205^A126,IF(A126='Données projet'!$A$62,'Données projet'!$B$62,AI125+AH126-AQ125)))</f>
        <v>305.99999999999972</v>
      </c>
      <c r="AJ126" s="13">
        <f>AI126*VLOOKUP('Données projet'!$B$10,Paramètres!$A$1:$I$89,3,0)*VLOOKUP('Données projet'!$B$10,Paramètres!$A$1:$I$89,5,0)</f>
        <v>276.86879999999974</v>
      </c>
      <c r="AK126" s="13">
        <f t="shared" si="89"/>
        <v>66.304863836318603</v>
      </c>
      <c r="AL126" s="20">
        <f t="shared" si="58"/>
        <v>597.69413118158775</v>
      </c>
      <c r="AM126" s="59">
        <f t="shared" si="59"/>
        <v>891.02746451492112</v>
      </c>
      <c r="AN126" s="59">
        <f ca="1">AVERAGE(OFFSET($AM$3,0,0,'Données projet'!$E$10+1,1))-AVERAGE(OFFSET($H$3,0,0,'Données projet'!$E$10+1,1))</f>
        <v>297.90790572649428</v>
      </c>
      <c r="AO126" s="59">
        <f t="shared" si="90"/>
        <v>142.96889776844506</v>
      </c>
      <c r="AP126" s="15">
        <f>IF(ISNA(VLOOKUP(A126,'Données projet'!$A$61:$I$81,3,0)),0,VLOOKUP(A126,'Données projet'!$A$61:$I$81,3,0))</f>
        <v>10</v>
      </c>
      <c r="AQ126" s="15">
        <f>IF(ISNA(VLOOKUP(A126,'Données projet'!$A$61:$I$81,4,0)),0,VLOOKUP(A126,'Données projet'!$A$61:$I$81,4,0))</f>
        <v>46</v>
      </c>
      <c r="AR126" s="16">
        <f>IF(ISNA(VLOOKUP(A126,'Données projet'!$A$61:$I$81,5,0)),0%,VLOOKUP(A126,'Données projet'!$A$61:$I$81,5,0)*VLOOKUP('Données projet'!$B$10,Paramètres!$A$1:$I$89,7,0))</f>
        <v>0.30099999999999999</v>
      </c>
      <c r="AS126" s="16">
        <f>IF(ISNA(VLOOKUP(A126,'Données projet'!$A$61:$I$81,6,0)),0%,VLOOKUP(A126,'Données projet'!$A$61:$I$81,6,0)*VLOOKUP('Données projet'!$B$10,Paramètres!$A$1:$I$89,7,0))</f>
        <v>4.3000000000000003E-2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31.829921777435317</v>
      </c>
      <c r="AV126" s="21">
        <f>EXP(-LN(2)/25)*AV125+(1-EXP(-LN(2)/25))/(LN(2)/25)*Calculateur!AQ126*Calculateur!AS126*VLOOKUP('Données projet'!$B$10,Paramètres!$A$1:$I$89,3,0)*0.475*44/12</f>
        <v>16.407831043306857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48.237752820742173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306</v>
      </c>
      <c r="BB126" s="12">
        <f>VLOOKUP(A126,'Données projet'!$A$87:$I$107,9,0)</f>
        <v>6.4</v>
      </c>
      <c r="BC126" s="12">
        <f t="array" ref="BC126">INDEX(BB:BB,MIN(IF(ISNUMBER(BB126:BB322),ROW(BB126:BB322),"")))</f>
        <v>6.4</v>
      </c>
      <c r="BD126" s="12">
        <f>IF('Données projet'!$A$88&gt;35,BD125+BC126-BL125,IF(A126&lt;'Données projet'!$A$88,$BA$205^A126,IF(A126='Données projet'!$A$88,'Données projet'!$B$88,BD125+BC126-BL125)))</f>
        <v>305.99999999999972</v>
      </c>
      <c r="BE126" s="13">
        <f>BD126*VLOOKUP('Données projet'!$B$11,Paramètres!$A$1:$I$89,3,0)*VLOOKUP('Données projet'!$B$11,Paramètres!$A$1:$I$89,5,0)</f>
        <v>310.28399999999976</v>
      </c>
      <c r="BF126" s="13">
        <f t="shared" si="91"/>
        <v>73.328137514010095</v>
      </c>
      <c r="BG126" s="20">
        <f t="shared" si="61"/>
        <v>668.12447283690051</v>
      </c>
      <c r="BH126" s="59">
        <f t="shared" si="62"/>
        <v>961.45780617023388</v>
      </c>
      <c r="BI126" s="59">
        <f ca="1">AVERAGE(OFFSET($BH$3,0,0,'Données projet'!$E$11+1,1))-AVERAGE(OFFSET($H$3,0,0,'Données projet'!$E$11+1,1))</f>
        <v>345.3294887586967</v>
      </c>
      <c r="BJ126" s="59">
        <f t="shared" si="92"/>
        <v>164.23448598618114</v>
      </c>
      <c r="BK126" s="15">
        <f>IF(ISNA(VLOOKUP(A126,'Données projet'!$A$87:$I$107,3,0)),0,VLOOKUP(A126,'Données projet'!$A$87:$I$107,3,0))</f>
        <v>10</v>
      </c>
      <c r="BL126" s="15">
        <f>IF(ISNA(VLOOKUP(A126,'Données projet'!$A$87:$I$107,4,0)),0,VLOOKUP(A126,'Données projet'!$A$87:$I$107,4,0))</f>
        <v>46</v>
      </c>
      <c r="BM126" s="16">
        <f>IF(ISNA(VLOOKUP(A126,'Données projet'!$A$87:$I$107,5,0)),0%,VLOOKUP(A126,'Données projet'!$A$87:$I$107,5,0)*VLOOKUP('Données projet'!$B$11,Paramètres!$A$1:$I$89,7,0))</f>
        <v>0.30099999999999999</v>
      </c>
      <c r="BN126" s="16">
        <f>IF(ISNA(VLOOKUP(A126,'Données projet'!$A$87:$I$107,6,0)),0%,VLOOKUP(A126,'Données projet'!$A$87:$I$107,6,0)*VLOOKUP('Données projet'!$B$11,Paramètres!$A$1:$I$89,7,0))</f>
        <v>4.3000000000000003E-2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35.671464060918893</v>
      </c>
      <c r="BQ126" s="21">
        <f>EXP(-LN(2)/25)*BQ125+(1-EXP(-LN(2)/25))/(LN(2)/25)*Calculateur!BL126*Calculateur!BN126*VLOOKUP('Données projet'!$B$11,Paramètres!$A$1:$I$89,3,0)*0.475*44/12</f>
        <v>18.388086514050798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54.059550574969691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289.07218105343333</v>
      </c>
      <c r="CE126" s="59">
        <f t="shared" si="94"/>
        <v>217.57508587672368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70.856293540726767</v>
      </c>
      <c r="CL126" s="21">
        <f>EXP(-LN(2)/25)*CL125+(1-EXP(-LN(2)/25))/(LN(2)/25)*Calculateur!CG126*Calculateur!CI126*VLOOKUP('Données projet'!$B$12,Paramètres!$A$1:$I$89,3,0)*0.475*44/12</f>
        <v>22.617871681668753</v>
      </c>
      <c r="CM126" s="21">
        <f>EXP(-LN(2)/2)*CM125+(1-EXP(-LN(2)/2))/(LN(2)/2)*CG126*CJ126*VLOOKUP('Données projet'!$B$12,Paramètres!$A$1:$I$89,3,0)*0.475*44/12</f>
        <v>2.6137115907220844E-5</v>
      </c>
      <c r="CN126" s="22">
        <f t="shared" si="66"/>
        <v>93.474191359511437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1.7053025658242404E-13</v>
      </c>
      <c r="CU126" s="17">
        <f>CT126*VLOOKUP('Données projet'!$B$13,Paramètres!$A$1:$I$89,3,0)*VLOOKUP('Données projet'!$B$13,Paramètres!$A$1:$I$89,5,0)</f>
        <v>1.4897523215040567E-13</v>
      </c>
      <c r="CV126" s="13">
        <f t="shared" si="95"/>
        <v>2.136562777003313E-12</v>
      </c>
      <c r="CW126" s="20">
        <f t="shared" si="67"/>
        <v>3.9806453659427267E-12</v>
      </c>
      <c r="CX126" s="59">
        <f t="shared" si="68"/>
        <v>293.33333333333729</v>
      </c>
      <c r="CY126" s="59">
        <f ca="1">AVERAGE(OFFSET($CX$3,0,0,'Données projet'!$E$13+1,1))-AVERAGE(OFFSET($H$3,0,0,'Données projet'!$E$13+1,1))</f>
        <v>237.8483058552178</v>
      </c>
      <c r="CZ126" s="59">
        <f t="shared" si="96"/>
        <v>313.36201272119723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30.687974957773186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4.3401358904161616E-7</v>
      </c>
      <c r="DI126" s="22">
        <f t="shared" si="69"/>
        <v>30.687975391786775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306</v>
      </c>
      <c r="DM126" s="12">
        <f>VLOOKUP(A126,'Données projet'!$A$165:$I$185,9,0)</f>
        <v>6.4</v>
      </c>
      <c r="DN126" s="12">
        <f t="array" ref="DN126">INDEX(DM:DM,MIN(IF(ISNUMBER(DM126:DM322),ROW(DM126:DM322),"")))</f>
        <v>6.4</v>
      </c>
      <c r="DO126" s="12">
        <f>IF('Données projet'!$A$166&gt;35,DO125+DN126-DW125,IF(A126&lt;'Données projet'!$A$166,$DL$205^A126,IF(A126='Données projet'!$A$166,'Données projet'!$B$166,DO125+DN126-DW125)))</f>
        <v>305.99999999999972</v>
      </c>
      <c r="DP126" s="17">
        <f>DO126*VLOOKUP('Données projet'!$B$14,Paramètres!$A$1:$I$89,3,0)*VLOOKUP('Données projet'!$B$14,Paramètres!$A$1:$I$89,5,0)</f>
        <v>295.96319999999974</v>
      </c>
      <c r="DQ126" s="13">
        <f t="shared" si="97"/>
        <v>70.329529052104192</v>
      </c>
      <c r="DR126" s="20">
        <f t="shared" si="70"/>
        <v>637.95983643241436</v>
      </c>
      <c r="DS126" s="59">
        <f t="shared" si="71"/>
        <v>931.29316976574773</v>
      </c>
      <c r="DT126" s="59">
        <f ca="1">AVERAGE(OFFSET($DS$3,0,0,'Données projet'!$E$14+1,1))-AVERAGE(OFFSET($H$3,0,0,'Données projet'!$E$14+1,1))</f>
        <v>325.01961068962373</v>
      </c>
      <c r="DU126" s="59">
        <f t="shared" si="98"/>
        <v>155.12737608540039</v>
      </c>
      <c r="DV126" s="15">
        <f>IF(ISNA(VLOOKUP(A126,'Données projet'!$A$165:$I$185,3,0)),0,VLOOKUP(A126,'Données projet'!$A$165:$I$185,3,0))</f>
        <v>10</v>
      </c>
      <c r="DW126" s="15">
        <f>IF(ISNA(VLOOKUP(A126,'Données projet'!$A$165:$I$185,4,0)),0,VLOOKUP(A126,'Données projet'!$A$165:$I$185,4,0))</f>
        <v>46</v>
      </c>
      <c r="DX126" s="16">
        <f>IF(ISNA(VLOOKUP(A126,'Données projet'!$A$165:$I$185,5,0)),0%,VLOOKUP(A126,'Données projet'!$A$165:$I$185,5,0)*VLOOKUP('Données projet'!$B$14,Paramètres!$A$1:$I$89,7,0))</f>
        <v>0.30099999999999999</v>
      </c>
      <c r="DY126" s="16">
        <f>IF(ISNA(VLOOKUP(A126,'Données projet'!$A$165:$I$185,6,0)),0%,VLOOKUP(A126,'Données projet'!$A$165:$I$185,6,0)*VLOOKUP('Données projet'!$B$14,Paramètres!$A$1:$I$89,7,0))</f>
        <v>4.3000000000000003E-2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34.025088796568781</v>
      </c>
      <c r="EB126" s="21">
        <f>EXP(-LN(2)/25)*EB125+(1-EXP(-LN(2)/25))/(LN(2)/25)*Calculateur!DW126*Calculateur!DY126*VLOOKUP('Données projet'!$B$14,Paramètres!$A$1:$I$89,3,0)*0.475*44/12</f>
        <v>17.53940559801768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51.564494394586461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-1.7053025658242404E-13</v>
      </c>
      <c r="EK126" s="17">
        <f>EJ126*VLOOKUP('Données projet'!$B$15,Paramètres!$A$1:$I$89,3,0)*VLOOKUP('Données projet'!$B$15,Paramètres!$A$1:$I$89,5,0)</f>
        <v>-1.1439169611549005E-13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178.09619481964575</v>
      </c>
      <c r="EP126" s="59">
        <f t="shared" si="100"/>
        <v>178.65167777495174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38.199172064735826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1.1829969626389181E-5</v>
      </c>
      <c r="EY126" s="22">
        <f t="shared" si="75"/>
        <v>38.199183894705456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-1.3567387213697657E-13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219.43439115440339</v>
      </c>
      <c r="FK126" s="59">
        <f t="shared" si="102"/>
        <v>217.8880462742099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45.30599477445412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1.4030894208042991E-5</v>
      </c>
      <c r="FT126" s="22">
        <f t="shared" si="78"/>
        <v>45.306008805348327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191.77102466144095</v>
      </c>
      <c r="GF126" s="59">
        <f t="shared" si="104"/>
        <v>205.57161411620217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33.376222015128391</v>
      </c>
      <c r="GM126" s="21">
        <f>EXP(-LN(2)/25)*GM125+(1-EXP(-LN(2)/25))/(LN(2)/25)*Calculateur!GH126*Calculateur!GJ126*VLOOKUP('Données projet'!$B$17,Paramètres!$A$1:$I$89,3,0)*0.475*44/12</f>
        <v>4.2385062460340182</v>
      </c>
      <c r="GN126" s="21">
        <f>EXP(-LN(2)/2)*GN125+(1-EXP(-LN(2)/2))/(LN(2)/2)*GH126*GK126*VLOOKUP('Données projet'!$B$17,Paramètres!$A$1:$I$89,3,0)*0.475*44/12</f>
        <v>1.4146707889199485E-8</v>
      </c>
      <c r="GO126" s="21">
        <f t="shared" si="81"/>
        <v>37.614728275309119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84.31577618130467</v>
      </c>
      <c r="T127" s="59">
        <f t="shared" si="88"/>
        <v>527.2140904310653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19.00543269134436</v>
      </c>
      <c r="AA127" s="21">
        <f>EXP(-LN(2)/25)*AA126+(1-EXP(-LN(2)/25))/(LN(2)/25)*Calculateur!V127*Calculateur!X127*VLOOKUP('Données projet'!$B$9,Paramètres!$A$1:$I$89,3,0)*0.475*44/12</f>
        <v>2.6016443003554381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21.607076991699799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5.75</v>
      </c>
      <c r="AI127" s="13">
        <f>IF('Données projet'!$A$62&gt;35,AI126+AH127-AQ126,IF(A127&lt;'Données projet'!$A$62,$AF$205^A127,IF(A127='Données projet'!$A$62,'Données projet'!$B$62,AI126+AH127-AQ126)))</f>
        <v>265.74999999999972</v>
      </c>
      <c r="AJ127" s="13">
        <f>AI127*VLOOKUP('Données projet'!$B$10,Paramètres!$A$1:$I$89,3,0)*VLOOKUP('Données projet'!$B$10,Paramètres!$A$1:$I$89,5,0)</f>
        <v>240.45059999999972</v>
      </c>
      <c r="AK127" s="13">
        <f t="shared" si="89"/>
        <v>58.536468681015705</v>
      </c>
      <c r="AL127" s="20">
        <f t="shared" si="58"/>
        <v>520.73581128610181</v>
      </c>
      <c r="AM127" s="59">
        <f t="shared" si="59"/>
        <v>814.06914461943506</v>
      </c>
      <c r="AN127" s="59">
        <f ca="1">AVERAGE(OFFSET($AM$3,0,0,'Données projet'!$E$10+1,1))-AVERAGE(OFFSET($H$3,0,0,'Données projet'!$E$10+1,1))</f>
        <v>297.90790572649428</v>
      </c>
      <c r="AO127" s="59">
        <f t="shared" si="90"/>
        <v>142.96889776844506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31.205756425715087</v>
      </c>
      <c r="AV127" s="21">
        <f>EXP(-LN(2)/25)*AV126+(1-EXP(-LN(2)/25))/(LN(2)/25)*Calculateur!AQ127*Calculateur!AS127*VLOOKUP('Données projet'!$B$10,Paramètres!$A$1:$I$89,3,0)*0.475*44/12</f>
        <v>15.959158040577297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47.164914466292387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5.75</v>
      </c>
      <c r="BD127" s="12">
        <f>IF('Données projet'!$A$88&gt;35,BD126+BC127-BL126,IF(A127&lt;'Données projet'!$A$88,$BA$205^A127,IF(A127='Données projet'!$A$88,'Données projet'!$B$88,BD126+BC127-BL126)))</f>
        <v>265.74999999999972</v>
      </c>
      <c r="BE127" s="13">
        <f>BD127*VLOOKUP('Données projet'!$B$11,Paramètres!$A$1:$I$89,3,0)*VLOOKUP('Données projet'!$B$11,Paramètres!$A$1:$I$89,5,0)</f>
        <v>269.47049999999973</v>
      </c>
      <c r="BF127" s="13">
        <f t="shared" si="91"/>
        <v>64.73688318887568</v>
      </c>
      <c r="BG127" s="20">
        <f t="shared" si="61"/>
        <v>582.07785905395792</v>
      </c>
      <c r="BH127" s="59">
        <f t="shared" si="62"/>
        <v>875.41119238729129</v>
      </c>
      <c r="BI127" s="59">
        <f ca="1">AVERAGE(OFFSET($BH$3,0,0,'Données projet'!$E$11+1,1))-AVERAGE(OFFSET($H$3,0,0,'Données projet'!$E$11+1,1))</f>
        <v>345.3294887586967</v>
      </c>
      <c r="BJ127" s="59">
        <f t="shared" si="92"/>
        <v>164.23448598618114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34.97196840812898</v>
      </c>
      <c r="BQ127" s="21">
        <f>EXP(-LN(2)/25)*BQ126+(1-EXP(-LN(2)/25))/(LN(2)/25)*Calculateur!BL127*Calculateur!BN127*VLOOKUP('Données projet'!$B$11,Paramètres!$A$1:$I$89,3,0)*0.475*44/12</f>
        <v>17.885263321336634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52.85723172946561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289.07218105343333</v>
      </c>
      <c r="CE127" s="59">
        <f t="shared" si="94"/>
        <v>217.57508587672368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69.466844842464752</v>
      </c>
      <c r="CL127" s="21">
        <f>EXP(-LN(2)/25)*CL126+(1-EXP(-LN(2)/25))/(LN(2)/25)*Calculateur!CG127*Calculateur!CI127*VLOOKUP('Données projet'!$B$12,Paramètres!$A$1:$I$89,3,0)*0.475*44/12</f>
        <v>21.999384791111343</v>
      </c>
      <c r="CM127" s="21">
        <f>EXP(-LN(2)/2)*CM126+(1-EXP(-LN(2)/2))/(LN(2)/2)*CG127*CJ127*VLOOKUP('Données projet'!$B$12,Paramètres!$A$1:$I$89,3,0)*0.475*44/12</f>
        <v>1.8481731898654639E-5</v>
      </c>
      <c r="CN127" s="22">
        <f t="shared" si="66"/>
        <v>91.466248115307991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1.7053025658242404E-13</v>
      </c>
      <c r="CU127" s="17">
        <f>CT127*VLOOKUP('Données projet'!$B$13,Paramètres!$A$1:$I$89,3,0)*VLOOKUP('Données projet'!$B$13,Paramètres!$A$1:$I$89,5,0)</f>
        <v>1.4897523215040567E-13</v>
      </c>
      <c r="CV127" s="13">
        <f t="shared" si="95"/>
        <v>2.136562777003313E-12</v>
      </c>
      <c r="CW127" s="20">
        <f t="shared" si="67"/>
        <v>3.9806453659427267E-12</v>
      </c>
      <c r="CX127" s="59">
        <f t="shared" si="68"/>
        <v>293.33333333333729</v>
      </c>
      <c r="CY127" s="59">
        <f ca="1">AVERAGE(OFFSET($CX$3,0,0,'Données projet'!$E$13+1,1))-AVERAGE(OFFSET($H$3,0,0,'Données projet'!$E$13+1,1))</f>
        <v>237.8483058552178</v>
      </c>
      <c r="CZ127" s="59">
        <f t="shared" si="96"/>
        <v>313.36201272119723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30.086202486667748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3.0689395193843823E-7</v>
      </c>
      <c r="DI127" s="22">
        <f t="shared" si="69"/>
        <v>30.0862027935617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5.75</v>
      </c>
      <c r="DO127" s="12">
        <f>IF('Données projet'!$A$166&gt;35,DO126+DN127-DW126,IF(A127&lt;'Données projet'!$A$166,$DL$205^A127,IF(A127='Données projet'!$A$166,'Données projet'!$B$166,DO126+DN127-DW126)))</f>
        <v>265.74999999999972</v>
      </c>
      <c r="DP127" s="17">
        <f>DO127*VLOOKUP('Données projet'!$B$14,Paramètres!$A$1:$I$89,3,0)*VLOOKUP('Données projet'!$B$14,Paramètres!$A$1:$I$89,5,0)</f>
        <v>257.03339999999974</v>
      </c>
      <c r="DQ127" s="13">
        <f t="shared" si="97"/>
        <v>62.0895969995805</v>
      </c>
      <c r="DR127" s="20">
        <f t="shared" si="70"/>
        <v>555.80588644093564</v>
      </c>
      <c r="DS127" s="59">
        <f t="shared" si="71"/>
        <v>849.13921977426889</v>
      </c>
      <c r="DT127" s="59">
        <f ca="1">AVERAGE(OFFSET($DS$3,0,0,'Données projet'!$E$14+1,1))-AVERAGE(OFFSET($H$3,0,0,'Données projet'!$E$14+1,1))</f>
        <v>325.01961068962373</v>
      </c>
      <c r="DU127" s="59">
        <f t="shared" si="98"/>
        <v>155.12737608540039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33.357877558523022</v>
      </c>
      <c r="EB127" s="21">
        <f>EXP(-LN(2)/25)*EB126+(1-EXP(-LN(2)/25))/(LN(2)/25)*Calculateur!DW127*Calculateur!DY127*VLOOKUP('Données projet'!$B$14,Paramètres!$A$1:$I$89,3,0)*0.475*44/12</f>
        <v>17.059789629582632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50.417667188105654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-1.7053025658242404E-13</v>
      </c>
      <c r="EK127" s="17">
        <f>EJ127*VLOOKUP('Données projet'!$B$15,Paramètres!$A$1:$I$89,3,0)*VLOOKUP('Données projet'!$B$15,Paramètres!$A$1:$I$89,5,0)</f>
        <v>-1.1439169611549005E-13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178.09619481964575</v>
      </c>
      <c r="EP127" s="59">
        <f t="shared" si="100"/>
        <v>178.65167777495174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37.450109599740713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8.365051744050678E-6</v>
      </c>
      <c r="EY127" s="22">
        <f t="shared" si="75"/>
        <v>37.450117964792454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-1.3567387213697657E-13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219.43439115440339</v>
      </c>
      <c r="FK127" s="59">
        <f t="shared" si="102"/>
        <v>217.8880462742099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44.417571850855261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9.9213404406182522E-6</v>
      </c>
      <c r="FT127" s="22">
        <f t="shared" si="78"/>
        <v>44.417581772195703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191.77102466144095</v>
      </c>
      <c r="GF127" s="59">
        <f t="shared" si="104"/>
        <v>205.57161411620217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32.72173465889702</v>
      </c>
      <c r="GM127" s="21">
        <f>EXP(-LN(2)/25)*GM126+(1-EXP(-LN(2)/25))/(LN(2)/25)*Calculateur!GH127*Calculateur!GJ127*VLOOKUP('Données projet'!$B$17,Paramètres!$A$1:$I$89,3,0)*0.475*44/12</f>
        <v>4.1226040698428621</v>
      </c>
      <c r="GN127" s="21">
        <f>EXP(-LN(2)/2)*GN126+(1-EXP(-LN(2)/2))/(LN(2)/2)*GH127*GK127*VLOOKUP('Données projet'!$B$17,Paramètres!$A$1:$I$89,3,0)*0.475*44/12</f>
        <v>1.0003233079918186E-8</v>
      </c>
      <c r="GO127" s="21">
        <f t="shared" si="81"/>
        <v>36.844338738743119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84.31577618130467</v>
      </c>
      <c r="T128" s="59">
        <f t="shared" si="88"/>
        <v>527.2140904310653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18.632747748436408</v>
      </c>
      <c r="AA128" s="21">
        <f>EXP(-LN(2)/25)*AA127+(1-EXP(-LN(2)/25))/(LN(2)/25)*Calculateur!V128*Calculateur!X128*VLOOKUP('Données projet'!$B$9,Paramètres!$A$1:$I$89,3,0)*0.475*44/12</f>
        <v>2.5305022001476911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21.163249948584099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5.75</v>
      </c>
      <c r="AI128" s="13">
        <f>IF('Données projet'!$A$62&gt;35,AI127+AH128-AQ127,IF(A128&lt;'Données projet'!$A$62,$AF$205^A128,IF(A128='Données projet'!$A$62,'Données projet'!$B$62,AI127+AH128-AQ127)))</f>
        <v>271.49999999999972</v>
      </c>
      <c r="AJ128" s="13">
        <f>AI128*VLOOKUP('Données projet'!$B$10,Paramètres!$A$1:$I$89,3,0)*VLOOKUP('Données projet'!$B$10,Paramètres!$A$1:$I$89,5,0)</f>
        <v>245.65319999999974</v>
      </c>
      <c r="AK128" s="13">
        <f t="shared" si="89"/>
        <v>59.654190992380414</v>
      </c>
      <c r="AL128" s="20">
        <f t="shared" si="58"/>
        <v>531.74370597839527</v>
      </c>
      <c r="AM128" s="59">
        <f t="shared" si="59"/>
        <v>825.07703931172864</v>
      </c>
      <c r="AN128" s="59">
        <f ca="1">AVERAGE(OFFSET($AM$3,0,0,'Données projet'!$E$10+1,1))-AVERAGE(OFFSET($H$3,0,0,'Données projet'!$E$10+1,1))</f>
        <v>297.90790572649428</v>
      </c>
      <c r="AO128" s="59">
        <f t="shared" si="90"/>
        <v>142.96889776844506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30.593830575838819</v>
      </c>
      <c r="AV128" s="21">
        <f>EXP(-LN(2)/25)*AV127+(1-EXP(-LN(2)/25))/(LN(2)/25)*Calculateur!AQ128*Calculateur!AS128*VLOOKUP('Données projet'!$B$10,Paramètres!$A$1:$I$89,3,0)*0.475*44/12</f>
        <v>15.522754024702063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46.116584600540882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5.75</v>
      </c>
      <c r="BD128" s="12">
        <f>IF('Données projet'!$A$88&gt;35,BD127+BC128-BL127,IF(A128&lt;'Données projet'!$A$88,$BA$205^A128,IF(A128='Données projet'!$A$88,'Données projet'!$B$88,BD127+BC128-BL127)))</f>
        <v>271.49999999999972</v>
      </c>
      <c r="BE128" s="13">
        <f>BD128*VLOOKUP('Données projet'!$B$11,Paramètres!$A$1:$I$89,3,0)*VLOOKUP('Données projet'!$B$11,Paramètres!$A$1:$I$89,5,0)</f>
        <v>275.30099999999976</v>
      </c>
      <c r="BF128" s="13">
        <f t="shared" si="91"/>
        <v>65.972999072509225</v>
      </c>
      <c r="BG128" s="20">
        <f t="shared" si="61"/>
        <v>594.38554838461982</v>
      </c>
      <c r="BH128" s="59">
        <f t="shared" si="62"/>
        <v>887.71888171795308</v>
      </c>
      <c r="BI128" s="59">
        <f ca="1">AVERAGE(OFFSET($BH$3,0,0,'Données projet'!$E$11+1,1))-AVERAGE(OFFSET($H$3,0,0,'Données projet'!$E$11+1,1))</f>
        <v>345.3294887586967</v>
      </c>
      <c r="BJ128" s="59">
        <f t="shared" si="92"/>
        <v>164.23448598618114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34.286189438440061</v>
      </c>
      <c r="BQ128" s="21">
        <f>EXP(-LN(2)/25)*BQ127+(1-EXP(-LN(2)/25))/(LN(2)/25)*Calculateur!BL128*Calculateur!BN128*VLOOKUP('Données projet'!$B$11,Paramètres!$A$1:$I$89,3,0)*0.475*44/12</f>
        <v>17.396189855269562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51.682379293709623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289.07218105343333</v>
      </c>
      <c r="CE128" s="59">
        <f t="shared" si="94"/>
        <v>217.57508587672368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68.104642385695627</v>
      </c>
      <c r="CL128" s="21">
        <f>EXP(-LN(2)/25)*CL127+(1-EXP(-LN(2)/25))/(LN(2)/25)*Calculateur!CG128*Calculateur!CI128*VLOOKUP('Données projet'!$B$12,Paramètres!$A$1:$I$89,3,0)*0.475*44/12</f>
        <v>21.397810457101038</v>
      </c>
      <c r="CM128" s="21">
        <f>EXP(-LN(2)/2)*CM127+(1-EXP(-LN(2)/2))/(LN(2)/2)*CG128*CJ128*VLOOKUP('Données projet'!$B$12,Paramètres!$A$1:$I$89,3,0)*0.475*44/12</f>
        <v>1.3068557953610422E-5</v>
      </c>
      <c r="CN128" s="22">
        <f t="shared" si="66"/>
        <v>89.502465911354605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1.7053025658242404E-13</v>
      </c>
      <c r="CU128" s="17">
        <f>CT128*VLOOKUP('Données projet'!$B$13,Paramètres!$A$1:$I$89,3,0)*VLOOKUP('Données projet'!$B$13,Paramètres!$A$1:$I$89,5,0)</f>
        <v>1.4897523215040567E-13</v>
      </c>
      <c r="CV128" s="13">
        <f t="shared" si="95"/>
        <v>2.136562777003313E-12</v>
      </c>
      <c r="CW128" s="20">
        <f t="shared" si="67"/>
        <v>3.9806453659427267E-12</v>
      </c>
      <c r="CX128" s="59">
        <f t="shared" si="68"/>
        <v>293.33333333333729</v>
      </c>
      <c r="CY128" s="59">
        <f ca="1">AVERAGE(OFFSET($CX$3,0,0,'Données projet'!$E$13+1,1))-AVERAGE(OFFSET($H$3,0,0,'Données projet'!$E$13+1,1))</f>
        <v>237.8483058552178</v>
      </c>
      <c r="CZ128" s="59">
        <f t="shared" si="96"/>
        <v>313.36201272119723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29.496230406675721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2.1700679452080808E-7</v>
      </c>
      <c r="DI128" s="22">
        <f t="shared" si="69"/>
        <v>29.496230623682514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5.75</v>
      </c>
      <c r="DO128" s="12">
        <f>IF('Données projet'!$A$166&gt;35,DO127+DN128-DW127,IF(A128&lt;'Données projet'!$A$166,$DL$205^A128,IF(A128='Données projet'!$A$166,'Données projet'!$B$166,DO127+DN128-DW127)))</f>
        <v>271.49999999999972</v>
      </c>
      <c r="DP128" s="17">
        <f>DO128*VLOOKUP('Données projet'!$B$14,Paramètres!$A$1:$I$89,3,0)*VLOOKUP('Données projet'!$B$14,Paramètres!$A$1:$I$89,5,0)</f>
        <v>262.59479999999974</v>
      </c>
      <c r="DQ128" s="13">
        <f t="shared" si="97"/>
        <v>63.275164380630628</v>
      </c>
      <c r="DR128" s="20">
        <f t="shared" si="70"/>
        <v>567.55685462959786</v>
      </c>
      <c r="DS128" s="59">
        <f t="shared" si="71"/>
        <v>860.89018796293112</v>
      </c>
      <c r="DT128" s="59">
        <f ca="1">AVERAGE(OFFSET($DS$3,0,0,'Données projet'!$E$14+1,1))-AVERAGE(OFFSET($H$3,0,0,'Données projet'!$E$14+1,1))</f>
        <v>325.01961068962373</v>
      </c>
      <c r="DU128" s="59">
        <f t="shared" si="98"/>
        <v>155.12737608540039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32.703749925896666</v>
      </c>
      <c r="EB128" s="21">
        <f>EXP(-LN(2)/25)*EB127+(1-EXP(-LN(2)/25))/(LN(2)/25)*Calculateur!DW128*Calculateur!DY128*VLOOKUP('Données projet'!$B$14,Paramètres!$A$1:$I$89,3,0)*0.475*44/12</f>
        <v>16.593288785026349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49.297038710923019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-1.7053025658242404E-13</v>
      </c>
      <c r="EK128" s="17">
        <f>EJ128*VLOOKUP('Données projet'!$B$15,Paramètres!$A$1:$I$89,3,0)*VLOOKUP('Données projet'!$B$15,Paramètres!$A$1:$I$89,5,0)</f>
        <v>-1.1439169611549005E-13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178.09619481964575</v>
      </c>
      <c r="EP128" s="59">
        <f t="shared" si="100"/>
        <v>178.65167777495174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36.715735792801162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5.9149848131945906E-6</v>
      </c>
      <c r="EY128" s="22">
        <f t="shared" si="75"/>
        <v>36.715741707785973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-1.3567387213697657E-13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219.43439115440339</v>
      </c>
      <c r="FK128" s="59">
        <f t="shared" si="102"/>
        <v>217.8880462742099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43.546570358903701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7.0154471040214956E-6</v>
      </c>
      <c r="FT128" s="22">
        <f t="shared" si="78"/>
        <v>43.546577374350804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191.77102466144095</v>
      </c>
      <c r="GF128" s="59">
        <f t="shared" si="104"/>
        <v>205.57161411620217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32.080081400523476</v>
      </c>
      <c r="GM128" s="21">
        <f>EXP(-LN(2)/25)*GM127+(1-EXP(-LN(2)/25))/(LN(2)/25)*Calculateur!GH128*Calculateur!GJ128*VLOOKUP('Données projet'!$B$17,Paramètres!$A$1:$I$89,3,0)*0.475*44/12</f>
        <v>4.0098712447546836</v>
      </c>
      <c r="GN128" s="21">
        <f>EXP(-LN(2)/2)*GN127+(1-EXP(-LN(2)/2))/(LN(2)/2)*GH128*GK128*VLOOKUP('Données projet'!$B$17,Paramètres!$A$1:$I$89,3,0)*0.475*44/12</f>
        <v>7.0733539445997425E-9</v>
      </c>
      <c r="GO128" s="21">
        <f t="shared" si="81"/>
        <v>36.089952652351514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84.31577618130467</v>
      </c>
      <c r="T129" s="59">
        <f t="shared" si="88"/>
        <v>527.2140904310653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18.26737092994351</v>
      </c>
      <c r="AA129" s="21">
        <f>EXP(-LN(2)/25)*AA128+(1-EXP(-LN(2)/25))/(LN(2)/25)*Calculateur!V129*Calculateur!X129*VLOOKUP('Données projet'!$B$9,Paramètres!$A$1:$I$89,3,0)*0.475*44/12</f>
        <v>2.4613054844113251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20.728676414354837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5.75</v>
      </c>
      <c r="AI129" s="13">
        <f>IF('Données projet'!$A$62&gt;35,AI128+AH129-AQ128,IF(A129&lt;'Données projet'!$A$62,$AF$205^A129,IF(A129='Données projet'!$A$62,'Données projet'!$B$62,AI128+AH129-AQ128)))</f>
        <v>277.24999999999972</v>
      </c>
      <c r="AJ129" s="13">
        <f>AI129*VLOOKUP('Données projet'!$B$10,Paramètres!$A$1:$I$89,3,0)*VLOOKUP('Données projet'!$B$10,Paramètres!$A$1:$I$89,5,0)</f>
        <v>250.85579999999976</v>
      </c>
      <c r="AK129" s="13">
        <f t="shared" si="89"/>
        <v>60.769161078148805</v>
      </c>
      <c r="AL129" s="20">
        <f t="shared" si="58"/>
        <v>542.74680721110872</v>
      </c>
      <c r="AM129" s="59">
        <f t="shared" si="59"/>
        <v>836.08014054444197</v>
      </c>
      <c r="AN129" s="59">
        <f ca="1">AVERAGE(OFFSET($AM$3,0,0,'Données projet'!$E$10+1,1))-AVERAGE(OFFSET($H$3,0,0,'Données projet'!$E$10+1,1))</f>
        <v>297.90790572649428</v>
      </c>
      <c r="AO129" s="59">
        <f t="shared" si="90"/>
        <v>142.96889776844506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29.993904218640711</v>
      </c>
      <c r="AV129" s="21">
        <f>EXP(-LN(2)/25)*AV128+(1-EXP(-LN(2)/25))/(LN(2)/25)*Calculateur!AQ129*Calculateur!AS129*VLOOKUP('Données projet'!$B$10,Paramètres!$A$1:$I$89,3,0)*0.475*44/12</f>
        <v>15.09828349959043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45.092187718231145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5.75</v>
      </c>
      <c r="BD129" s="12">
        <f>IF('Données projet'!$A$88&gt;35,BD128+BC129-BL128,IF(A129&lt;'Données projet'!$A$88,$BA$205^A129,IF(A129='Données projet'!$A$88,'Données projet'!$B$88,BD128+BC129-BL128)))</f>
        <v>277.24999999999972</v>
      </c>
      <c r="BE129" s="13">
        <f>BD129*VLOOKUP('Données projet'!$B$11,Paramètres!$A$1:$I$89,3,0)*VLOOKUP('Données projet'!$B$11,Paramètres!$A$1:$I$89,5,0)</f>
        <v>281.13149999999973</v>
      </c>
      <c r="BF129" s="13">
        <f t="shared" si="91"/>
        <v>67.20607120391513</v>
      </c>
      <c r="BG129" s="20">
        <f t="shared" si="61"/>
        <v>606.68793651348506</v>
      </c>
      <c r="BH129" s="59">
        <f t="shared" si="62"/>
        <v>900.02126984681831</v>
      </c>
      <c r="BI129" s="59">
        <f ca="1">AVERAGE(OFFSET($BH$3,0,0,'Données projet'!$E$11+1,1))-AVERAGE(OFFSET($H$3,0,0,'Données projet'!$E$11+1,1))</f>
        <v>345.3294887586967</v>
      </c>
      <c r="BJ129" s="59">
        <f t="shared" si="92"/>
        <v>164.23448598618114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33.61385817606287</v>
      </c>
      <c r="BQ129" s="21">
        <f>EXP(-LN(2)/25)*BQ128+(1-EXP(-LN(2)/25))/(LN(2)/25)*Calculateur!BL129*Calculateur!BN129*VLOOKUP('Données projet'!$B$11,Paramètres!$A$1:$I$89,3,0)*0.475*44/12</f>
        <v>16.920490128851352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50.534348304914218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289.07218105343333</v>
      </c>
      <c r="CE129" s="59">
        <f t="shared" si="94"/>
        <v>217.57508587672368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66.769151888242277</v>
      </c>
      <c r="CL129" s="21">
        <f>EXP(-LN(2)/25)*CL128+(1-EXP(-LN(2)/25))/(LN(2)/25)*Calculateur!CG129*Calculateur!CI129*VLOOKUP('Données projet'!$B$12,Paramètres!$A$1:$I$89,3,0)*0.475*44/12</f>
        <v>20.812686204889662</v>
      </c>
      <c r="CM129" s="21">
        <f>EXP(-LN(2)/2)*CM128+(1-EXP(-LN(2)/2))/(LN(2)/2)*CG129*CJ129*VLOOKUP('Données projet'!$B$12,Paramètres!$A$1:$I$89,3,0)*0.475*44/12</f>
        <v>9.2408659493273197E-6</v>
      </c>
      <c r="CN129" s="22">
        <f t="shared" si="66"/>
        <v>87.581847333997885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1.7053025658242404E-13</v>
      </c>
      <c r="CU129" s="17">
        <f>CT129*VLOOKUP('Données projet'!$B$13,Paramètres!$A$1:$I$89,3,0)*VLOOKUP('Données projet'!$B$13,Paramètres!$A$1:$I$89,5,0)</f>
        <v>1.4897523215040567E-13</v>
      </c>
      <c r="CV129" s="13">
        <f t="shared" si="95"/>
        <v>2.136562777003313E-12</v>
      </c>
      <c r="CW129" s="20">
        <f t="shared" si="67"/>
        <v>3.9806453659427267E-12</v>
      </c>
      <c r="CX129" s="59">
        <f t="shared" si="68"/>
        <v>293.33333333333729</v>
      </c>
      <c r="CY129" s="59">
        <f ca="1">AVERAGE(OFFSET($CX$3,0,0,'Données projet'!$E$13+1,1))-AVERAGE(OFFSET($H$3,0,0,'Données projet'!$E$13+1,1))</f>
        <v>237.8483058552178</v>
      </c>
      <c r="CZ129" s="59">
        <f t="shared" si="96"/>
        <v>313.36201272119723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28.917827319324903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1.5344697596921912E-7</v>
      </c>
      <c r="DI129" s="22">
        <f t="shared" si="69"/>
        <v>28.917827472771879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5.75</v>
      </c>
      <c r="DO129" s="12">
        <f>IF('Données projet'!$A$166&gt;35,DO128+DN129-DW128,IF(A129&lt;'Données projet'!$A$166,$DL$205^A129,IF(A129='Données projet'!$A$166,'Données projet'!$B$166,DO128+DN129-DW128)))</f>
        <v>277.24999999999972</v>
      </c>
      <c r="DP129" s="17">
        <f>DO129*VLOOKUP('Données projet'!$B$14,Paramètres!$A$1:$I$89,3,0)*VLOOKUP('Données projet'!$B$14,Paramètres!$A$1:$I$89,5,0)</f>
        <v>268.15619999999973</v>
      </c>
      <c r="DQ129" s="13">
        <f t="shared" si="97"/>
        <v>64.457812477651814</v>
      </c>
      <c r="DR129" s="20">
        <f t="shared" si="70"/>
        <v>579.30273839857648</v>
      </c>
      <c r="DS129" s="59">
        <f t="shared" si="71"/>
        <v>872.63607173190985</v>
      </c>
      <c r="DT129" s="59">
        <f ca="1">AVERAGE(OFFSET($DS$3,0,0,'Données projet'!$E$14+1,1))-AVERAGE(OFFSET($H$3,0,0,'Données projet'!$E$14+1,1))</f>
        <v>325.01961068962373</v>
      </c>
      <c r="DU129" s="59">
        <f t="shared" si="98"/>
        <v>155.12737608540039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32.062449337167656</v>
      </c>
      <c r="EB129" s="21">
        <f>EXP(-LN(2)/25)*EB128+(1-EXP(-LN(2)/25))/(LN(2)/25)*Calculateur!DW129*Calculateur!DY129*VLOOKUP('Données projet'!$B$14,Paramètres!$A$1:$I$89,3,0)*0.475*44/12</f>
        <v>16.139544430596672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48.201993767764328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-1.7053025658242404E-13</v>
      </c>
      <c r="EK129" s="17">
        <f>EJ129*VLOOKUP('Données projet'!$B$15,Paramètres!$A$1:$I$89,3,0)*VLOOKUP('Données projet'!$B$15,Paramètres!$A$1:$I$89,5,0)</f>
        <v>-1.1439169611549005E-13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178.09619481964575</v>
      </c>
      <c r="EP129" s="59">
        <f t="shared" si="100"/>
        <v>178.65167777495174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35.995762608291905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4.182525872025339E-6</v>
      </c>
      <c r="EY129" s="22">
        <f t="shared" si="75"/>
        <v>35.995766790817775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-1.3567387213697657E-13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219.43439115440339</v>
      </c>
      <c r="FK129" s="59">
        <f t="shared" si="102"/>
        <v>217.8880462742099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42.69264867495086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4.9606702203091261E-6</v>
      </c>
      <c r="FT129" s="22">
        <f t="shared" si="78"/>
        <v>42.692653635621078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191.77102466144095</v>
      </c>
      <c r="GF129" s="59">
        <f t="shared" si="104"/>
        <v>205.57161411620217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31.451010571176791</v>
      </c>
      <c r="GM129" s="21">
        <f>EXP(-LN(2)/25)*GM128+(1-EXP(-LN(2)/25))/(LN(2)/25)*Calculateur!GH129*Calculateur!GJ129*VLOOKUP('Données projet'!$B$17,Paramètres!$A$1:$I$89,3,0)*0.475*44/12</f>
        <v>3.9002211046969029</v>
      </c>
      <c r="GN129" s="21">
        <f>EXP(-LN(2)/2)*GN128+(1-EXP(-LN(2)/2))/(LN(2)/2)*GH129*GK129*VLOOKUP('Données projet'!$B$17,Paramètres!$A$1:$I$89,3,0)*0.475*44/12</f>
        <v>5.0016165399590929E-9</v>
      </c>
      <c r="GO129" s="21">
        <f t="shared" si="81"/>
        <v>35.351231680875308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84.31577618130467</v>
      </c>
      <c r="T130" s="59">
        <f t="shared" si="88"/>
        <v>527.2140904310653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17.909158928003404</v>
      </c>
      <c r="AA130" s="21">
        <f>EXP(-LN(2)/25)*AA129+(1-EXP(-LN(2)/25))/(LN(2)/25)*Calculateur!V130*Calculateur!X130*VLOOKUP('Données projet'!$B$9,Paramètres!$A$1:$I$89,3,0)*0.475*44/12</f>
        <v>2.3940009565056672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20.303159884509071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5.75</v>
      </c>
      <c r="AI130" s="13">
        <f>IF('Données projet'!$A$62&gt;35,AI129+AH130-AQ129,IF(A130&lt;'Données projet'!$A$62,$AF$205^A130,IF(A130='Données projet'!$A$62,'Données projet'!$B$62,AI129+AH130-AQ129)))</f>
        <v>282.99999999999972</v>
      </c>
      <c r="AJ130" s="13">
        <f>AI130*VLOOKUP('Données projet'!$B$10,Paramètres!$A$1:$I$89,3,0)*VLOOKUP('Données projet'!$B$10,Paramètres!$A$1:$I$89,5,0)</f>
        <v>256.05839999999972</v>
      </c>
      <c r="AK130" s="13">
        <f t="shared" si="89"/>
        <v>61.881442594256434</v>
      </c>
      <c r="AL130" s="20">
        <f t="shared" si="58"/>
        <v>553.74522585166278</v>
      </c>
      <c r="AM130" s="59">
        <f t="shared" si="59"/>
        <v>847.07855918499604</v>
      </c>
      <c r="AN130" s="59">
        <f ca="1">AVERAGE(OFFSET($AM$3,0,0,'Données projet'!$E$10+1,1))-AVERAGE(OFFSET($H$3,0,0,'Données projet'!$E$10+1,1))</f>
        <v>297.90790572649428</v>
      </c>
      <c r="AO130" s="59">
        <f t="shared" si="90"/>
        <v>142.96889776844506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29.405742051388312</v>
      </c>
      <c r="AV130" s="21">
        <f>EXP(-LN(2)/25)*AV129+(1-EXP(-LN(2)/25))/(LN(2)/25)*Calculateur!AQ130*Calculateur!AS130*VLOOKUP('Données projet'!$B$10,Paramètres!$A$1:$I$89,3,0)*0.475*44/12</f>
        <v>14.685420143309909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44.091162194698221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5.75</v>
      </c>
      <c r="BD130" s="12">
        <f>IF('Données projet'!$A$88&gt;35,BD129+BC130-BL129,IF(A130&lt;'Données projet'!$A$88,$BA$205^A130,IF(A130='Données projet'!$A$88,'Données projet'!$B$88,BD129+BC130-BL129)))</f>
        <v>282.99999999999972</v>
      </c>
      <c r="BE130" s="13">
        <f>BD130*VLOOKUP('Données projet'!$B$11,Paramètres!$A$1:$I$89,3,0)*VLOOKUP('Données projet'!$B$11,Paramètres!$A$1:$I$89,5,0)</f>
        <v>286.9619999999997</v>
      </c>
      <c r="BF130" s="13">
        <f t="shared" si="91"/>
        <v>68.436169981717796</v>
      </c>
      <c r="BG130" s="20">
        <f t="shared" si="61"/>
        <v>618.98514605149137</v>
      </c>
      <c r="BH130" s="59">
        <f t="shared" si="62"/>
        <v>912.31847938482474</v>
      </c>
      <c r="BI130" s="59">
        <f ca="1">AVERAGE(OFFSET($BH$3,0,0,'Données projet'!$E$11+1,1))-AVERAGE(OFFSET($H$3,0,0,'Données projet'!$E$11+1,1))</f>
        <v>345.3294887586967</v>
      </c>
      <c r="BJ130" s="59">
        <f t="shared" si="92"/>
        <v>164.23448598618114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32.95471091965932</v>
      </c>
      <c r="BQ130" s="21">
        <f>EXP(-LN(2)/25)*BQ129+(1-EXP(-LN(2)/25))/(LN(2)/25)*Calculateur!BL130*Calculateur!BN130*VLOOKUP('Données projet'!$B$11,Paramètres!$A$1:$I$89,3,0)*0.475*44/12</f>
        <v>16.457798436468007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49.41250935612733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289.07218105343333</v>
      </c>
      <c r="CE130" s="59">
        <f t="shared" si="94"/>
        <v>217.57508587672368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65.459849544875226</v>
      </c>
      <c r="CL130" s="21">
        <f>EXP(-LN(2)/25)*CL129+(1-EXP(-LN(2)/25))/(LN(2)/25)*Calculateur!CG130*Calculateur!CI130*VLOOKUP('Données projet'!$B$12,Paramètres!$A$1:$I$89,3,0)*0.475*44/12</f>
        <v>20.243562206125354</v>
      </c>
      <c r="CM130" s="21">
        <f>EXP(-LN(2)/2)*CM129+(1-EXP(-LN(2)/2))/(LN(2)/2)*CG130*CJ130*VLOOKUP('Données projet'!$B$12,Paramètres!$A$1:$I$89,3,0)*0.475*44/12</f>
        <v>6.5342789768052109E-6</v>
      </c>
      <c r="CN130" s="22">
        <f t="shared" si="66"/>
        <v>85.703418285279554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1.7053025658242404E-13</v>
      </c>
      <c r="CU130" s="17">
        <f>CT130*VLOOKUP('Données projet'!$B$13,Paramètres!$A$1:$I$89,3,0)*VLOOKUP('Données projet'!$B$13,Paramètres!$A$1:$I$89,5,0)</f>
        <v>1.4897523215040567E-13</v>
      </c>
      <c r="CV130" s="13">
        <f t="shared" si="95"/>
        <v>2.136562777003313E-12</v>
      </c>
      <c r="CW130" s="20">
        <f t="shared" si="67"/>
        <v>3.9806453659427267E-12</v>
      </c>
      <c r="CX130" s="59">
        <f t="shared" si="68"/>
        <v>293.33333333333729</v>
      </c>
      <c r="CY130" s="59">
        <f ca="1">AVERAGE(OFFSET($CX$3,0,0,'Données projet'!$E$13+1,1))-AVERAGE(OFFSET($H$3,0,0,'Données projet'!$E$13+1,1))</f>
        <v>237.8483058552178</v>
      </c>
      <c r="CZ130" s="59">
        <f t="shared" si="96"/>
        <v>313.36201272119723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28.350766363725985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1.0850339726040404E-7</v>
      </c>
      <c r="DI130" s="22">
        <f t="shared" si="69"/>
        <v>28.350766472229381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5.75</v>
      </c>
      <c r="DO130" s="12">
        <f>IF('Données projet'!$A$166&gt;35,DO129+DN130-DW129,IF(A130&lt;'Données projet'!$A$166,$DL$205^A130,IF(A130='Données projet'!$A$166,'Données projet'!$B$166,DO129+DN130-DW129)))</f>
        <v>282.99999999999972</v>
      </c>
      <c r="DP130" s="17">
        <f>DO130*VLOOKUP('Données projet'!$B$14,Paramètres!$A$1:$I$89,3,0)*VLOOKUP('Données projet'!$B$14,Paramètres!$A$1:$I$89,5,0)</f>
        <v>273.71759999999972</v>
      </c>
      <c r="DQ130" s="13">
        <f t="shared" si="97"/>
        <v>65.637608810456612</v>
      </c>
      <c r="DR130" s="20">
        <f t="shared" si="70"/>
        <v>591.04365534487806</v>
      </c>
      <c r="DS130" s="59">
        <f t="shared" si="71"/>
        <v>884.37698867821132</v>
      </c>
      <c r="DT130" s="59">
        <f ca="1">AVERAGE(OFFSET($DS$3,0,0,'Données projet'!$E$14+1,1))-AVERAGE(OFFSET($H$3,0,0,'Données projet'!$E$14+1,1))</f>
        <v>325.01961068962373</v>
      </c>
      <c r="DU130" s="59">
        <f t="shared" si="98"/>
        <v>155.12737608540039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31.433724261828882</v>
      </c>
      <c r="EB130" s="21">
        <f>EXP(-LN(2)/25)*EB129+(1-EXP(-LN(2)/25))/(LN(2)/25)*Calculateur!DW130*Calculateur!DY130*VLOOKUP('Données projet'!$B$14,Paramètres!$A$1:$I$89,3,0)*0.475*44/12</f>
        <v>15.698207739400251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47.131932001229131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-1.7053025658242404E-13</v>
      </c>
      <c r="EK130" s="17">
        <f>EJ130*VLOOKUP('Données projet'!$B$15,Paramètres!$A$1:$I$89,3,0)*VLOOKUP('Données projet'!$B$15,Paramètres!$A$1:$I$89,5,0)</f>
        <v>-1.1439169611549005E-13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178.09619481964575</v>
      </c>
      <c r="EP130" s="59">
        <f t="shared" si="100"/>
        <v>178.65167777495174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35.28990765879059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2.9574924065972953E-6</v>
      </c>
      <c r="EY130" s="22">
        <f t="shared" si="75"/>
        <v>35.289910616282995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-1.3567387213697657E-13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219.43439115440339</v>
      </c>
      <c r="FK130" s="59">
        <f t="shared" si="102"/>
        <v>217.8880462742099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41.855471874379532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3.5077235520107478E-6</v>
      </c>
      <c r="FT130" s="22">
        <f t="shared" si="78"/>
        <v>41.855475382103087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191.77102466144095</v>
      </c>
      <c r="GF130" s="59">
        <f t="shared" si="104"/>
        <v>205.57161411620217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30.834275437098277</v>
      </c>
      <c r="GM130" s="21">
        <f>EXP(-LN(2)/25)*GM129+(1-EXP(-LN(2)/25))/(LN(2)/25)*Calculateur!GH130*Calculateur!GJ130*VLOOKUP('Données projet'!$B$17,Paramètres!$A$1:$I$89,3,0)*0.475*44/12</f>
        <v>3.7935693534852524</v>
      </c>
      <c r="GN130" s="21">
        <f>EXP(-LN(2)/2)*GN129+(1-EXP(-LN(2)/2))/(LN(2)/2)*GH130*GK130*VLOOKUP('Données projet'!$B$17,Paramètres!$A$1:$I$89,3,0)*0.475*44/12</f>
        <v>3.5366769722998712E-9</v>
      </c>
      <c r="GO130" s="21">
        <f t="shared" si="81"/>
        <v>34.627844794120207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84.31577618130467</v>
      </c>
      <c r="T131" s="59">
        <f t="shared" si="88"/>
        <v>527.2140904310653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17.557971244933597</v>
      </c>
      <c r="AA131" s="21">
        <f>EXP(-LN(2)/25)*AA130+(1-EXP(-LN(2)/25))/(LN(2)/25)*Calculateur!V131*Calculateur!X131*VLOOKUP('Données projet'!$B$9,Paramètres!$A$1:$I$89,3,0)*0.475*44/12</f>
        <v>2.328536874454981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19.88650811938858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5.75</v>
      </c>
      <c r="AI131" s="13">
        <f>IF('Données projet'!$A$62&gt;35,AI130+AH131-AQ130,IF(A131&lt;'Données projet'!$A$62,$AF$205^A131,IF(A131='Données projet'!$A$62,'Données projet'!$B$62,AI130+AH131-AQ130)))</f>
        <v>288.74999999999972</v>
      </c>
      <c r="AJ131" s="13">
        <f>AI131*VLOOKUP('Données projet'!$B$10,Paramètres!$A$1:$I$89,3,0)*VLOOKUP('Données projet'!$B$10,Paramètres!$A$1:$I$89,5,0)</f>
        <v>261.26099999999974</v>
      </c>
      <c r="AK131" s="13">
        <f t="shared" si="89"/>
        <v>62.991096462035962</v>
      </c>
      <c r="AL131" s="20">
        <f t="shared" si="58"/>
        <v>564.73906800471207</v>
      </c>
      <c r="AM131" s="59">
        <f t="shared" si="59"/>
        <v>858.07240133804544</v>
      </c>
      <c r="AN131" s="59">
        <f ca="1">AVERAGE(OFFSET($AM$3,0,0,'Données projet'!$E$10+1,1))-AVERAGE(OFFSET($H$3,0,0,'Données projet'!$E$10+1,1))</f>
        <v>297.90790572649428</v>
      </c>
      <c r="AO131" s="59">
        <f t="shared" si="90"/>
        <v>142.96889776844506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28.829113385492231</v>
      </c>
      <c r="AV131" s="21">
        <f>EXP(-LN(2)/25)*AV130+(1-EXP(-LN(2)/25))/(LN(2)/25)*Calculateur!AQ131*Calculateur!AS131*VLOOKUP('Données projet'!$B$10,Paramètres!$A$1:$I$89,3,0)*0.475*44/12</f>
        <v>14.283846557218418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43.112959942710646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5.75</v>
      </c>
      <c r="BD131" s="12">
        <f>IF('Données projet'!$A$88&gt;35,BD130+BC131-BL130,IF(A131&lt;'Données projet'!$A$88,$BA$205^A131,IF(A131='Données projet'!$A$88,'Données projet'!$B$88,BD130+BC131-BL130)))</f>
        <v>288.74999999999972</v>
      </c>
      <c r="BE131" s="13">
        <f>BD131*VLOOKUP('Données projet'!$B$11,Paramètres!$A$1:$I$89,3,0)*VLOOKUP('Données projet'!$B$11,Paramètres!$A$1:$I$89,5,0)</f>
        <v>292.79249999999973</v>
      </c>
      <c r="BF131" s="13">
        <f t="shared" si="91"/>
        <v>69.663362780278746</v>
      </c>
      <c r="BG131" s="20">
        <f t="shared" si="61"/>
        <v>631.27729434231833</v>
      </c>
      <c r="BH131" s="59">
        <f t="shared" si="62"/>
        <v>924.61062767565159</v>
      </c>
      <c r="BI131" s="59">
        <f ca="1">AVERAGE(OFFSET($BH$3,0,0,'Données projet'!$E$11+1,1))-AVERAGE(OFFSET($H$3,0,0,'Données projet'!$E$11+1,1))</f>
        <v>345.3294887586967</v>
      </c>
      <c r="BJ131" s="59">
        <f t="shared" si="92"/>
        <v>164.23448598618114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32.308489138913714</v>
      </c>
      <c r="BQ131" s="21">
        <f>EXP(-LN(2)/25)*BQ130+(1-EXP(-LN(2)/25))/(LN(2)/25)*Calculateur!BL131*Calculateur!BN131*VLOOKUP('Données projet'!$B$11,Paramètres!$A$1:$I$89,3,0)*0.475*44/12</f>
        <v>16.007759072744783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48.316248211658497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289.07218105343333</v>
      </c>
      <c r="CE131" s="59">
        <f t="shared" si="94"/>
        <v>217.57508587672368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64.176221821866022</v>
      </c>
      <c r="CL131" s="21">
        <f>EXP(-LN(2)/25)*CL130+(1-EXP(-LN(2)/25))/(LN(2)/25)*Calculateur!CG131*Calculateur!CI131*VLOOKUP('Données projet'!$B$12,Paramètres!$A$1:$I$89,3,0)*0.475*44/12</f>
        <v>19.690000933036188</v>
      </c>
      <c r="CM131" s="21">
        <f>EXP(-LN(2)/2)*CM130+(1-EXP(-LN(2)/2))/(LN(2)/2)*CG131*CJ131*VLOOKUP('Données projet'!$B$12,Paramètres!$A$1:$I$89,3,0)*0.475*44/12</f>
        <v>4.6204329746636599E-6</v>
      </c>
      <c r="CN131" s="22">
        <f t="shared" si="66"/>
        <v>83.866227375335185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1.7053025658242404E-13</v>
      </c>
      <c r="CU131" s="17">
        <f>CT131*VLOOKUP('Données projet'!$B$13,Paramètres!$A$1:$I$89,3,0)*VLOOKUP('Données projet'!$B$13,Paramètres!$A$1:$I$89,5,0)</f>
        <v>1.4897523215040567E-13</v>
      </c>
      <c r="CV131" s="13">
        <f t="shared" si="95"/>
        <v>2.136562777003313E-12</v>
      </c>
      <c r="CW131" s="20">
        <f t="shared" si="67"/>
        <v>3.9806453659427267E-12</v>
      </c>
      <c r="CX131" s="59">
        <f t="shared" si="68"/>
        <v>293.33333333333729</v>
      </c>
      <c r="CY131" s="59">
        <f ca="1">AVERAGE(OFFSET($CX$3,0,0,'Données projet'!$E$13+1,1))-AVERAGE(OFFSET($H$3,0,0,'Données projet'!$E$13+1,1))</f>
        <v>237.8483058552178</v>
      </c>
      <c r="CZ131" s="59">
        <f t="shared" si="96"/>
        <v>313.36201272119723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27.794825127593331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7.6723487984609558E-8</v>
      </c>
      <c r="DI131" s="22">
        <f t="shared" si="69"/>
        <v>27.794825204316819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5.75</v>
      </c>
      <c r="DO131" s="12">
        <f>IF('Données projet'!$A$166&gt;35,DO130+DN131-DW130,IF(A131&lt;'Données projet'!$A$166,$DL$205^A131,IF(A131='Données projet'!$A$166,'Données projet'!$B$166,DO130+DN131-DW130)))</f>
        <v>288.74999999999972</v>
      </c>
      <c r="DP131" s="17">
        <f>DO131*VLOOKUP('Données projet'!$B$14,Paramètres!$A$1:$I$89,3,0)*VLOOKUP('Données projet'!$B$14,Paramètres!$A$1:$I$89,5,0)</f>
        <v>279.27899999999977</v>
      </c>
      <c r="DQ131" s="13">
        <f t="shared" si="97"/>
        <v>66.814617998265732</v>
      </c>
      <c r="DR131" s="20">
        <f t="shared" si="70"/>
        <v>602.77971801364561</v>
      </c>
      <c r="DS131" s="59">
        <f t="shared" si="71"/>
        <v>896.11305134697886</v>
      </c>
      <c r="DT131" s="59">
        <f ca="1">AVERAGE(OFFSET($DS$3,0,0,'Données projet'!$E$14+1,1))-AVERAGE(OFFSET($H$3,0,0,'Données projet'!$E$14+1,1))</f>
        <v>325.01961068962373</v>
      </c>
      <c r="DU131" s="59">
        <f t="shared" si="98"/>
        <v>155.12737608540039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30.817328101733072</v>
      </c>
      <c r="EB131" s="21">
        <f>EXP(-LN(2)/25)*EB130+(1-EXP(-LN(2)/25))/(LN(2)/25)*Calculateur!DW131*Calculateur!DY131*VLOOKUP('Données projet'!$B$14,Paramètres!$A$1:$I$89,3,0)*0.475*44/12</f>
        <v>15.268939423233485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46.086267524966559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-1.7053025658242404E-13</v>
      </c>
      <c r="EK131" s="17">
        <f>EJ131*VLOOKUP('Données projet'!$B$15,Paramètres!$A$1:$I$89,3,0)*VLOOKUP('Données projet'!$B$15,Paramètres!$A$1:$I$89,5,0)</f>
        <v>-1.1439169611549005E-13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178.09619481964575</v>
      </c>
      <c r="EP131" s="59">
        <f t="shared" si="100"/>
        <v>178.65167777495174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34.59789409431999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2.0912629360126695E-6</v>
      </c>
      <c r="EY131" s="22">
        <f t="shared" si="75"/>
        <v>34.597896185582925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-1.3567387213697657E-13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219.43439115440339</v>
      </c>
      <c r="FK131" s="59">
        <f t="shared" si="102"/>
        <v>217.8880462742099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41.03471160023998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2.4803351101545631E-6</v>
      </c>
      <c r="FT131" s="22">
        <f t="shared" si="78"/>
        <v>41.034714080575093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191.77102466144095</v>
      </c>
      <c r="GF131" s="59">
        <f t="shared" si="104"/>
        <v>205.57161411620217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30.229634102827756</v>
      </c>
      <c r="GM131" s="21">
        <f>EXP(-LN(2)/25)*GM130+(1-EXP(-LN(2)/25))/(LN(2)/25)*Calculateur!GH131*Calculateur!GJ131*VLOOKUP('Données projet'!$B$17,Paramètres!$A$1:$I$89,3,0)*0.475*44/12</f>
        <v>3.6898340000190561</v>
      </c>
      <c r="GN131" s="21">
        <f>EXP(-LN(2)/2)*GN130+(1-EXP(-LN(2)/2))/(LN(2)/2)*GH131*GK131*VLOOKUP('Données projet'!$B$17,Paramètres!$A$1:$I$89,3,0)*0.475*44/12</f>
        <v>2.5008082699795464E-9</v>
      </c>
      <c r="GO131" s="21">
        <f t="shared" si="81"/>
        <v>33.919468105347619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84.31577618130467</v>
      </c>
      <c r="T132" s="59">
        <f t="shared" si="88"/>
        <v>527.2140904310653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17.213670138125451</v>
      </c>
      <c r="AA132" s="21">
        <f>EXP(-LN(2)/25)*AA131+(1-EXP(-LN(2)/25))/(LN(2)/25)*Calculateur!V132*Calculateur!X132*VLOOKUP('Données projet'!$B$9,Paramètres!$A$1:$I$89,3,0)*0.475*44/12</f>
        <v>2.2648629111705771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19.478533049296029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5.75</v>
      </c>
      <c r="AI132" s="13">
        <f>IF('Données projet'!$A$62&gt;35,AI131+AH132-AQ131,IF(A132&lt;'Données projet'!$A$62,$AF$205^A132,IF(A132='Données projet'!$A$62,'Données projet'!$B$62,AI131+AH132-AQ131)))</f>
        <v>294.49999999999972</v>
      </c>
      <c r="AJ132" s="13">
        <f>AI132*VLOOKUP('Données projet'!$B$10,Paramètres!$A$1:$I$89,3,0)*VLOOKUP('Données projet'!$B$10,Paramètres!$A$1:$I$89,5,0)</f>
        <v>266.46359999999976</v>
      </c>
      <c r="AK132" s="13">
        <f t="shared" si="89"/>
        <v>64.098181037770004</v>
      </c>
      <c r="AL132" s="20">
        <f t="shared" ref="AL132:AL153" si="112">(AJ132+AK132)*0.475*44/12</f>
        <v>575.72843530744899</v>
      </c>
      <c r="AM132" s="59">
        <f t="shared" ref="AM132:AM195" si="113">AL132+(AD132+AE132)*44/12</f>
        <v>869.06176864078225</v>
      </c>
      <c r="AN132" s="59">
        <f ca="1">AVERAGE(OFFSET($AM$3,0,0,'Données projet'!$E$10+1,1))-AVERAGE(OFFSET($H$3,0,0,'Données projet'!$E$10+1,1))</f>
        <v>297.90790572649428</v>
      </c>
      <c r="AO132" s="59">
        <f t="shared" si="90"/>
        <v>142.96889776844506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28.263792056025615</v>
      </c>
      <c r="AV132" s="21">
        <f>EXP(-LN(2)/25)*AV131+(1-EXP(-LN(2)/25))/(LN(2)/25)*Calculateur!AQ132*Calculateur!AS132*VLOOKUP('Données projet'!$B$10,Paramètres!$A$1:$I$89,3,0)*0.475*44/12</f>
        <v>13.893254021956436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42.157046077982052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5.75</v>
      </c>
      <c r="BD132" s="12">
        <f>IF('Données projet'!$A$88&gt;35,BD131+BC132-BL131,IF(A132&lt;'Données projet'!$A$88,$BA$205^A132,IF(A132='Données projet'!$A$88,'Données projet'!$B$88,BD131+BC132-BL131)))</f>
        <v>294.49999999999972</v>
      </c>
      <c r="BE132" s="13">
        <f>BD132*VLOOKUP('Données projet'!$B$11,Paramètres!$A$1:$I$89,3,0)*VLOOKUP('Données projet'!$B$11,Paramètres!$A$1:$I$89,5,0)</f>
        <v>298.62299999999971</v>
      </c>
      <c r="BF132" s="13">
        <f t="shared" si="91"/>
        <v>70.887714137208832</v>
      </c>
      <c r="BG132" s="20">
        <f t="shared" ref="BG132:BG153" si="115">(BE132+BF132)*0.475*44/12</f>
        <v>643.5644937889715</v>
      </c>
      <c r="BH132" s="59">
        <f t="shared" ref="BH132:BH195" si="116">BG132+(AY132+AZ132)*44/12</f>
        <v>936.89782712230476</v>
      </c>
      <c r="BI132" s="59">
        <f ca="1">AVERAGE(OFFSET($BH$3,0,0,'Données projet'!$E$11+1,1))-AVERAGE(OFFSET($H$3,0,0,'Données projet'!$E$11+1,1))</f>
        <v>345.3294887586967</v>
      </c>
      <c r="BJ132" s="59">
        <f t="shared" si="92"/>
        <v>164.23448598618114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31.674939373132162</v>
      </c>
      <c r="BQ132" s="21">
        <f>EXP(-LN(2)/25)*BQ131+(1-EXP(-LN(2)/25))/(LN(2)/25)*Calculateur!BL132*Calculateur!BN132*VLOOKUP('Données projet'!$B$11,Paramètres!$A$1:$I$89,3,0)*0.475*44/12</f>
        <v>15.570026059089113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47.244965432221278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289.07218105343333</v>
      </c>
      <c r="CE132" s="59">
        <f t="shared" si="94"/>
        <v>217.57508587672368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62.917765255569428</v>
      </c>
      <c r="CL132" s="21">
        <f>EXP(-LN(2)/25)*CL131+(1-EXP(-LN(2)/25))/(LN(2)/25)*Calculateur!CG132*Calculateur!CI132*VLOOKUP('Données projet'!$B$12,Paramètres!$A$1:$I$89,3,0)*0.475*44/12</f>
        <v>19.151576822070165</v>
      </c>
      <c r="CM132" s="21">
        <f>EXP(-LN(2)/2)*CM131+(1-EXP(-LN(2)/2))/(LN(2)/2)*CG132*CJ132*VLOOKUP('Données projet'!$B$12,Paramètres!$A$1:$I$89,3,0)*0.475*44/12</f>
        <v>3.2671394884026055E-6</v>
      </c>
      <c r="CN132" s="22">
        <f t="shared" ref="CN132:CN153" si="120">SUM(CK132:CM132)</f>
        <v>82.06934534477908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1.7053025658242404E-13</v>
      </c>
      <c r="CU132" s="17">
        <f>CT132*VLOOKUP('Données projet'!$B$13,Paramètres!$A$1:$I$89,3,0)*VLOOKUP('Données projet'!$B$13,Paramètres!$A$1:$I$89,5,0)</f>
        <v>1.4897523215040567E-13</v>
      </c>
      <c r="CV132" s="13">
        <f t="shared" si="95"/>
        <v>2.136562777003313E-12</v>
      </c>
      <c r="CW132" s="20">
        <f t="shared" ref="CW132:CW153" si="121">(CU132+CV132)*0.475*44/12</f>
        <v>3.9806453659427267E-12</v>
      </c>
      <c r="CX132" s="59">
        <f t="shared" ref="CX132:CX195" si="122">CW132+(CO132+CP132)*44/12</f>
        <v>293.33333333333729</v>
      </c>
      <c r="CY132" s="59">
        <f ca="1">AVERAGE(OFFSET($CX$3,0,0,'Données projet'!$E$13+1,1))-AVERAGE(OFFSET($H$3,0,0,'Données projet'!$E$13+1,1))</f>
        <v>237.8483058552178</v>
      </c>
      <c r="CZ132" s="59">
        <f t="shared" si="96"/>
        <v>313.36201272119723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27.249785560010569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5.425169863020202E-8</v>
      </c>
      <c r="DI132" s="22">
        <f t="shared" ref="DI132:DI153" si="123">SUM(DF132:DH132)</f>
        <v>27.249785614262269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5.75</v>
      </c>
      <c r="DO132" s="12">
        <f>IF('Données projet'!$A$166&gt;35,DO131+DN132-DW131,IF(A132&lt;'Données projet'!$A$166,$DL$205^A132,IF(A132='Données projet'!$A$166,'Données projet'!$B$166,DO131+DN132-DW131)))</f>
        <v>294.49999999999972</v>
      </c>
      <c r="DP132" s="17">
        <f>DO132*VLOOKUP('Données projet'!$B$14,Paramètres!$A$1:$I$89,3,0)*VLOOKUP('Données projet'!$B$14,Paramètres!$A$1:$I$89,5,0)</f>
        <v>284.84039999999976</v>
      </c>
      <c r="DQ132" s="13">
        <f t="shared" si="97"/>
        <v>67.988901939552932</v>
      </c>
      <c r="DR132" s="20">
        <f t="shared" ref="DR132:DR153" si="124">(DP132+DQ132)*0.475*44/12</f>
        <v>614.5110342113876</v>
      </c>
      <c r="DS132" s="59">
        <f t="shared" ref="DS132:DS195" si="125">DR132+(DJ132+DK132)*44/12</f>
        <v>907.84436754472085</v>
      </c>
      <c r="DT132" s="59">
        <f ca="1">AVERAGE(OFFSET($DS$3,0,0,'Données projet'!$E$14+1,1))-AVERAGE(OFFSET($H$3,0,0,'Données projet'!$E$14+1,1))</f>
        <v>325.01961068962373</v>
      </c>
      <c r="DU132" s="59">
        <f t="shared" si="98"/>
        <v>155.12737608540039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30.213019094372207</v>
      </c>
      <c r="EB132" s="21">
        <f>EXP(-LN(2)/25)*EB131+(1-EXP(-LN(2)/25))/(LN(2)/25)*Calculateur!DW132*Calculateur!DY132*VLOOKUP('Données projet'!$B$14,Paramètres!$A$1:$I$89,3,0)*0.475*44/12</f>
        <v>14.851409471746539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45.06442856611875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-1.7053025658242404E-13</v>
      </c>
      <c r="EK132" s="17">
        <f>EJ132*VLOOKUP('Données projet'!$B$15,Paramètres!$A$1:$I$89,3,0)*VLOOKUP('Données projet'!$B$15,Paramètres!$A$1:$I$89,5,0)</f>
        <v>-1.1439169611549005E-13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178.09619481964575</v>
      </c>
      <c r="EP132" s="59">
        <f t="shared" si="100"/>
        <v>178.65167777495174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33.919450493762064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1.4787462032986476E-6</v>
      </c>
      <c r="EY132" s="22">
        <f t="shared" ref="EY132:EY153" si="129">SUM(EV132:EX132)</f>
        <v>33.91945197250827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-1.3567387213697657E-13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219.43439115440339</v>
      </c>
      <c r="FK132" s="59">
        <f t="shared" si="102"/>
        <v>217.8880462742099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40.23004593446197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1.7538617760053739E-6</v>
      </c>
      <c r="FT132" s="22">
        <f t="shared" ref="FT132:FT153" si="132">SUM(FQ132:FS132)</f>
        <v>40.230047688323744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191.77102466144095</v>
      </c>
      <c r="GF132" s="59">
        <f t="shared" si="104"/>
        <v>205.57161411620217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29.636849416327479</v>
      </c>
      <c r="GM132" s="21">
        <f>EXP(-LN(2)/25)*GM131+(1-EXP(-LN(2)/25))/(LN(2)/25)*Calculateur!GH132*Calculateur!GJ132*VLOOKUP('Données projet'!$B$17,Paramètres!$A$1:$I$89,3,0)*0.475*44/12</f>
        <v>3.5889352952485982</v>
      </c>
      <c r="GN132" s="21">
        <f>EXP(-LN(2)/2)*GN131+(1-EXP(-LN(2)/2))/(LN(2)/2)*GH132*GK132*VLOOKUP('Données projet'!$B$17,Paramètres!$A$1:$I$89,3,0)*0.475*44/12</f>
        <v>1.7683384861499356E-9</v>
      </c>
      <c r="GO132" s="21">
        <f t="shared" ref="GO132:GO153" si="135">SUM(GL132:GN132)</f>
        <v>33.225784713344417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84.31577618130467</v>
      </c>
      <c r="T133" s="59">
        <f t="shared" ref="T133:T196" si="142">$T$3</f>
        <v>527.2140904310653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16.876120566018876</v>
      </c>
      <c r="AA133" s="21">
        <f>EXP(-LN(2)/25)*AA132+(1-EXP(-LN(2)/25))/(LN(2)/25)*Calculateur!V133*Calculateur!X133*VLOOKUP('Données projet'!$B$9,Paramètres!$A$1:$I$89,3,0)*0.475*44/12</f>
        <v>2.2029301157606538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19.079050681779531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5.75</v>
      </c>
      <c r="AI133" s="13">
        <f>IF('Données projet'!$A$62&gt;35,AI132+AH133-AQ132,IF(A133&lt;'Données projet'!$A$62,$AF$205^A133,IF(A133='Données projet'!$A$62,'Données projet'!$B$62,AI132+AH133-AQ132)))</f>
        <v>300.24999999999972</v>
      </c>
      <c r="AJ133" s="13">
        <f>AI133*VLOOKUP('Données projet'!$B$10,Paramètres!$A$1:$I$89,3,0)*VLOOKUP('Données projet'!$B$10,Paramètres!$A$1:$I$89,5,0)</f>
        <v>271.66619999999972</v>
      </c>
      <c r="AK133" s="13">
        <f t="shared" ref="AK133:AK153" si="143">EXP(-1.0587+0.8836*LN(AJ133)+0.284)</f>
        <v>65.202752268627663</v>
      </c>
      <c r="AL133" s="20">
        <f t="shared" si="112"/>
        <v>586.71342520119254</v>
      </c>
      <c r="AM133" s="59">
        <f t="shared" si="113"/>
        <v>880.04675853452591</v>
      </c>
      <c r="AN133" s="59">
        <f ca="1">AVERAGE(OFFSET($AM$3,0,0,'Données projet'!$E$10+1,1))-AVERAGE(OFFSET($H$3,0,0,'Données projet'!$E$10+1,1))</f>
        <v>297.90790572649428</v>
      </c>
      <c r="AO133" s="59">
        <f t="shared" ref="AO133:AO196" si="144">$AO$3</f>
        <v>142.96889776844506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27.709556333017876</v>
      </c>
      <c r="AV133" s="21">
        <f>EXP(-LN(2)/25)*AV132+(1-EXP(-LN(2)/25))/(LN(2)/25)*Calculateur!AQ133*Calculateur!AS133*VLOOKUP('Données projet'!$B$10,Paramètres!$A$1:$I$89,3,0)*0.475*44/12</f>
        <v>13.51334226011156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41.222898593129436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5.75</v>
      </c>
      <c r="BD133" s="12">
        <f>IF('Données projet'!$A$88&gt;35,BD132+BC133-BL132,IF(A133&lt;'Données projet'!$A$88,$BA$205^A133,IF(A133='Données projet'!$A$88,'Données projet'!$B$88,BD132+BC133-BL132)))</f>
        <v>300.24999999999972</v>
      </c>
      <c r="BE133" s="13">
        <f>BD133*VLOOKUP('Données projet'!$B$11,Paramètres!$A$1:$I$89,3,0)*VLOOKUP('Données projet'!$B$11,Paramètres!$A$1:$I$89,5,0)</f>
        <v>304.45349999999974</v>
      </c>
      <c r="BF133" s="13">
        <f t="shared" ref="BF133:BF153" si="145">EXP(-1.0587+0.8836*LN(BE133)+0.284)</f>
        <v>72.109285925822974</v>
      </c>
      <c r="BG133" s="20">
        <f t="shared" si="115"/>
        <v>655.84685215414117</v>
      </c>
      <c r="BH133" s="59">
        <f t="shared" si="116"/>
        <v>949.18018548747455</v>
      </c>
      <c r="BI133" s="59">
        <f ca="1">AVERAGE(OFFSET($BH$3,0,0,'Données projet'!$E$11+1,1))-AVERAGE(OFFSET($H$3,0,0,'Données projet'!$E$11+1,1))</f>
        <v>345.3294887586967</v>
      </c>
      <c r="BJ133" s="59">
        <f t="shared" ref="BJ133:BJ196" si="146">$BJ$3</f>
        <v>164.23448598618114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31.053813131830385</v>
      </c>
      <c r="BQ133" s="21">
        <f>EXP(-LN(2)/25)*BQ132+(1-EXP(-LN(2)/25))/(LN(2)/25)*Calculateur!BL133*Calculateur!BN133*VLOOKUP('Données projet'!$B$11,Paramètres!$A$1:$I$89,3,0)*0.475*44/12</f>
        <v>15.144262877711236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46.198076009541623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289.07218105343333</v>
      </c>
      <c r="CE133" s="59">
        <f t="shared" ref="CE133:CE196" si="148">$CE$3</f>
        <v>217.57508587672368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61.683986254955201</v>
      </c>
      <c r="CL133" s="21">
        <f>EXP(-LN(2)/25)*CL132+(1-EXP(-LN(2)/25))/(LN(2)/25)*Calculateur!CG133*Calculateur!CI133*VLOOKUP('Données projet'!$B$12,Paramètres!$A$1:$I$89,3,0)*0.475*44/12</f>
        <v>18.627875946733003</v>
      </c>
      <c r="CM133" s="21">
        <f>EXP(-LN(2)/2)*CM132+(1-EXP(-LN(2)/2))/(LN(2)/2)*CG133*CJ133*VLOOKUP('Données projet'!$B$12,Paramètres!$A$1:$I$89,3,0)*0.475*44/12</f>
        <v>2.3102164873318299E-6</v>
      </c>
      <c r="CN133" s="22">
        <f t="shared" si="120"/>
        <v>80.311864511904687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1.7053025658242404E-13</v>
      </c>
      <c r="CU133" s="17">
        <f>CT133*VLOOKUP('Données projet'!$B$13,Paramètres!$A$1:$I$89,3,0)*VLOOKUP('Données projet'!$B$13,Paramètres!$A$1:$I$89,5,0)</f>
        <v>1.4897523215040567E-13</v>
      </c>
      <c r="CV133" s="13">
        <f t="shared" ref="CV133:CV153" si="149">EXP(-1.0587+0.8836*LN(CU133)+0.284)</f>
        <v>2.136562777003313E-12</v>
      </c>
      <c r="CW133" s="20">
        <f t="shared" si="121"/>
        <v>3.9806453659427267E-12</v>
      </c>
      <c r="CX133" s="59">
        <f t="shared" si="122"/>
        <v>293.33333333333729</v>
      </c>
      <c r="CY133" s="59">
        <f ca="1">AVERAGE(OFFSET($CX$3,0,0,'Données projet'!$E$13+1,1))-AVERAGE(OFFSET($H$3,0,0,'Données projet'!$E$13+1,1))</f>
        <v>237.8483058552178</v>
      </c>
      <c r="CZ133" s="59">
        <f t="shared" ref="CZ133:CZ196" si="150">$CZ$3</f>
        <v>313.36201272119723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26.715433885906794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3.8361743992304779E-8</v>
      </c>
      <c r="DI133" s="22">
        <f t="shared" si="123"/>
        <v>26.715433924268538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5.75</v>
      </c>
      <c r="DO133" s="12">
        <f>IF('Données projet'!$A$166&gt;35,DO132+DN133-DW132,IF(A133&lt;'Données projet'!$A$166,$DL$205^A133,IF(A133='Données projet'!$A$166,'Données projet'!$B$166,DO132+DN133-DW132)))</f>
        <v>300.24999999999972</v>
      </c>
      <c r="DP133" s="17">
        <f>DO133*VLOOKUP('Données projet'!$B$14,Paramètres!$A$1:$I$89,3,0)*VLOOKUP('Données projet'!$B$14,Paramètres!$A$1:$I$89,5,0)</f>
        <v>290.40179999999975</v>
      </c>
      <c r="DQ133" s="13">
        <f t="shared" ref="DQ133:DQ153" si="151">EXP(-1.0587+0.8836*LN(DP133)+0.284)</f>
        <v>69.160519977446782</v>
      </c>
      <c r="DR133" s="20">
        <f t="shared" si="124"/>
        <v>626.23770729405271</v>
      </c>
      <c r="DS133" s="59">
        <f t="shared" si="125"/>
        <v>919.57104062738608</v>
      </c>
      <c r="DT133" s="59">
        <f ca="1">AVERAGE(OFFSET($DS$3,0,0,'Données projet'!$E$14+1,1))-AVERAGE(OFFSET($H$3,0,0,'Données projet'!$E$14+1,1))</f>
        <v>325.01961068962373</v>
      </c>
      <c r="DU133" s="59">
        <f t="shared" ref="DU133:DU196" si="152">$DU$3</f>
        <v>155.12737608540039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29.620560218053591</v>
      </c>
      <c r="EB133" s="21">
        <f>EXP(-LN(2)/25)*EB132+(1-EXP(-LN(2)/25))/(LN(2)/25)*Calculateur!DW133*Calculateur!DY133*VLOOKUP('Données projet'!$B$14,Paramètres!$A$1:$I$89,3,0)*0.475*44/12</f>
        <v>14.445296898739949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44.065857116793538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-1.7053025658242404E-13</v>
      </c>
      <c r="EK133" s="17">
        <f>EJ133*VLOOKUP('Données projet'!$B$15,Paramètres!$A$1:$I$89,3,0)*VLOOKUP('Données projet'!$B$15,Paramètres!$A$1:$I$89,5,0)</f>
        <v>-1.1439169611549005E-13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178.09619481964575</v>
      </c>
      <c r="EP133" s="59">
        <f t="shared" ref="EP133:EP196" si="154">$EP$3</f>
        <v>178.65167777495174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33.254310758401338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1.0456314680063348E-6</v>
      </c>
      <c r="EY133" s="22">
        <f t="shared" si="129"/>
        <v>33.25431180403281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-1.3567387213697657E-13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219.43439115440339</v>
      </c>
      <c r="FK133" s="59">
        <f t="shared" ref="FK133:FK196" si="156">$FK$3</f>
        <v>217.8880462742099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39.441159271592277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1.2401675550772815E-6</v>
      </c>
      <c r="FT133" s="22">
        <f t="shared" si="132"/>
        <v>39.441160511759833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191.77102466144095</v>
      </c>
      <c r="GF133" s="59">
        <f t="shared" ref="GF133:GF196" si="158">$GF$3</f>
        <v>205.57161411620217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29.055688875966517</v>
      </c>
      <c r="GM133" s="21">
        <f>EXP(-LN(2)/25)*GM132+(1-EXP(-LN(2)/25))/(LN(2)/25)*Calculateur!GH133*Calculateur!GJ133*VLOOKUP('Données projet'!$B$17,Paramètres!$A$1:$I$89,3,0)*0.475*44/12</f>
        <v>3.4907956708661207</v>
      </c>
      <c r="GN133" s="21">
        <f>EXP(-LN(2)/2)*GN132+(1-EXP(-LN(2)/2))/(LN(2)/2)*GH133*GK133*VLOOKUP('Données projet'!$B$17,Paramètres!$A$1:$I$89,3,0)*0.475*44/12</f>
        <v>1.2504041349897732E-9</v>
      </c>
      <c r="GO133" s="21">
        <f t="shared" si="135"/>
        <v>32.546484548083043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84.31577618130467</v>
      </c>
      <c r="T134" s="59">
        <f t="shared" si="142"/>
        <v>527.2140904310653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16.545190135136401</v>
      </c>
      <c r="AA134" s="21">
        <f>EXP(-LN(2)/25)*AA133+(1-EXP(-LN(2)/25))/(LN(2)/25)*Calculateur!V134*Calculateur!X134*VLOOKUP('Données projet'!$B$9,Paramètres!$A$1:$I$89,3,0)*0.475*44/12</f>
        <v>2.1426908758981189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18.68788101103452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5.75</v>
      </c>
      <c r="AI134" s="13">
        <f>IF('Données projet'!$A$62&gt;35,AI133+AH134-AQ133,IF(A134&lt;'Données projet'!$A$62,$AF$205^A134,IF(A134='Données projet'!$A$62,'Données projet'!$B$62,AI133+AH134-AQ133)))</f>
        <v>305.99999999999972</v>
      </c>
      <c r="AJ134" s="13">
        <f>AI134*VLOOKUP('Données projet'!$B$10,Paramètres!$A$1:$I$89,3,0)*VLOOKUP('Données projet'!$B$10,Paramètres!$A$1:$I$89,5,0)</f>
        <v>276.86879999999974</v>
      </c>
      <c r="AK134" s="13">
        <f t="shared" si="143"/>
        <v>66.304863836318603</v>
      </c>
      <c r="AL134" s="20">
        <f t="shared" si="112"/>
        <v>597.69413118158775</v>
      </c>
      <c r="AM134" s="59">
        <f t="shared" si="113"/>
        <v>891.02746451492112</v>
      </c>
      <c r="AN134" s="59">
        <f ca="1">AVERAGE(OFFSET($AM$3,0,0,'Données projet'!$E$10+1,1))-AVERAGE(OFFSET($H$3,0,0,'Données projet'!$E$10+1,1))</f>
        <v>297.90790572649428</v>
      </c>
      <c r="AO134" s="59">
        <f t="shared" si="144"/>
        <v>142.96889776844506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27.166188834487908</v>
      </c>
      <c r="AV134" s="21">
        <f>EXP(-LN(2)/25)*AV133+(1-EXP(-LN(2)/25))/(LN(2)/25)*Calculateur!AQ134*Calculateur!AS134*VLOOKUP('Données projet'!$B$10,Paramètres!$A$1:$I$89,3,0)*0.475*44/12</f>
        <v>13.143819205373026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40.310008039860932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5.75</v>
      </c>
      <c r="BD134" s="12">
        <f>IF('Données projet'!$A$88&gt;35,BD133+BC134-BL133,IF(A134&lt;'Données projet'!$A$88,$BA$205^A134,IF(A134='Données projet'!$A$88,'Données projet'!$B$88,BD133+BC134-BL133)))</f>
        <v>305.99999999999972</v>
      </c>
      <c r="BE134" s="13">
        <f>BD134*VLOOKUP('Données projet'!$B$11,Paramètres!$A$1:$I$89,3,0)*VLOOKUP('Données projet'!$B$11,Paramètres!$A$1:$I$89,5,0)</f>
        <v>310.28399999999976</v>
      </c>
      <c r="BF134" s="13">
        <f t="shared" si="145"/>
        <v>73.328137514010095</v>
      </c>
      <c r="BG134" s="20">
        <f t="shared" si="115"/>
        <v>668.12447283690051</v>
      </c>
      <c r="BH134" s="59">
        <f t="shared" si="116"/>
        <v>961.45780617023388</v>
      </c>
      <c r="BI134" s="59">
        <f ca="1">AVERAGE(OFFSET($BH$3,0,0,'Données projet'!$E$11+1,1))-AVERAGE(OFFSET($H$3,0,0,'Données projet'!$E$11+1,1))</f>
        <v>345.3294887586967</v>
      </c>
      <c r="BJ134" s="59">
        <f t="shared" si="146"/>
        <v>164.23448598618114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30.444866797270937</v>
      </c>
      <c r="BQ134" s="21">
        <f>EXP(-LN(2)/25)*BQ133+(1-EXP(-LN(2)/25))/(LN(2)/25)*Calculateur!BL134*Calculateur!BN134*VLOOKUP('Données projet'!$B$11,Paramètres!$A$1:$I$89,3,0)*0.475*44/12</f>
        <v>14.73014221291805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45.175009010188987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289.07218105343333</v>
      </c>
      <c r="CE134" s="59">
        <f t="shared" si="148"/>
        <v>217.57508587672368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60.474400908012129</v>
      </c>
      <c r="CL134" s="21">
        <f>EXP(-LN(2)/25)*CL133+(1-EXP(-LN(2)/25))/(LN(2)/25)*Calculateur!CG134*Calculateur!CI134*VLOOKUP('Données projet'!$B$12,Paramètres!$A$1:$I$89,3,0)*0.475*44/12</f>
        <v>18.118495699372168</v>
      </c>
      <c r="CM134" s="21">
        <f>EXP(-LN(2)/2)*CM133+(1-EXP(-LN(2)/2))/(LN(2)/2)*CG134*CJ134*VLOOKUP('Données projet'!$B$12,Paramètres!$A$1:$I$89,3,0)*0.475*44/12</f>
        <v>1.6335697442013027E-6</v>
      </c>
      <c r="CN134" s="22">
        <f t="shared" si="120"/>
        <v>78.592898240954028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1.7053025658242404E-13</v>
      </c>
      <c r="CU134" s="17">
        <f>CT134*VLOOKUP('Données projet'!$B$13,Paramètres!$A$1:$I$89,3,0)*VLOOKUP('Données projet'!$B$13,Paramètres!$A$1:$I$89,5,0)</f>
        <v>1.4897523215040567E-13</v>
      </c>
      <c r="CV134" s="13">
        <f t="shared" si="149"/>
        <v>2.136562777003313E-12</v>
      </c>
      <c r="CW134" s="20">
        <f t="shared" si="121"/>
        <v>3.9806453659427267E-12</v>
      </c>
      <c r="CX134" s="59">
        <f t="shared" si="122"/>
        <v>293.33333333333729</v>
      </c>
      <c r="CY134" s="59">
        <f ca="1">AVERAGE(OFFSET($CX$3,0,0,'Données projet'!$E$13+1,1))-AVERAGE(OFFSET($H$3,0,0,'Données projet'!$E$13+1,1))</f>
        <v>237.8483058552178</v>
      </c>
      <c r="CZ134" s="59">
        <f t="shared" si="150"/>
        <v>313.36201272119723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26.191560522209855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2.712584931510101E-8</v>
      </c>
      <c r="DI134" s="22">
        <f t="shared" si="123"/>
        <v>26.191560549335705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5.75</v>
      </c>
      <c r="DO134" s="12">
        <f>IF('Données projet'!$A$166&gt;35,DO133+DN134-DW133,IF(A134&lt;'Données projet'!$A$166,$DL$205^A134,IF(A134='Données projet'!$A$166,'Données projet'!$B$166,DO133+DN134-DW133)))</f>
        <v>305.99999999999972</v>
      </c>
      <c r="DP134" s="17">
        <f>DO134*VLOOKUP('Données projet'!$B$14,Paramètres!$A$1:$I$89,3,0)*VLOOKUP('Données projet'!$B$14,Paramètres!$A$1:$I$89,5,0)</f>
        <v>295.96319999999974</v>
      </c>
      <c r="DQ134" s="13">
        <f t="shared" si="151"/>
        <v>70.329529052104192</v>
      </c>
      <c r="DR134" s="20">
        <f t="shared" si="124"/>
        <v>637.95983643241436</v>
      </c>
      <c r="DS134" s="59">
        <f t="shared" si="125"/>
        <v>931.29316976574773</v>
      </c>
      <c r="DT134" s="59">
        <f ca="1">AVERAGE(OFFSET($DS$3,0,0,'Données projet'!$E$14+1,1))-AVERAGE(OFFSET($H$3,0,0,'Données projet'!$E$14+1,1))</f>
        <v>325.01961068962373</v>
      </c>
      <c r="DU134" s="59">
        <f t="shared" si="152"/>
        <v>155.12737608540039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29.039719098935347</v>
      </c>
      <c r="EB134" s="21">
        <f>EXP(-LN(2)/25)*EB133+(1-EXP(-LN(2)/25))/(LN(2)/25)*Calculateur!DW134*Calculateur!DY134*VLOOKUP('Données projet'!$B$14,Paramètres!$A$1:$I$89,3,0)*0.475*44/12</f>
        <v>14.050289495398756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43.090008594334101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-1.7053025658242404E-13</v>
      </c>
      <c r="EK134" s="17">
        <f>EJ134*VLOOKUP('Données projet'!$B$15,Paramètres!$A$1:$I$89,3,0)*VLOOKUP('Données projet'!$B$15,Paramètres!$A$1:$I$89,5,0)</f>
        <v>-1.1439169611549005E-13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178.09619481964575</v>
      </c>
      <c r="EP134" s="59">
        <f t="shared" si="154"/>
        <v>178.65167777495174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32.602214007555858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7.3937310164932382E-7</v>
      </c>
      <c r="EY134" s="22">
        <f t="shared" si="129"/>
        <v>32.602214746928958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-1.3567387213697657E-13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219.43439115440339</v>
      </c>
      <c r="FK134" s="59">
        <f t="shared" si="156"/>
        <v>217.8880462742099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38.667742195008103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8.7693088800268694E-7</v>
      </c>
      <c r="FT134" s="22">
        <f t="shared" si="132"/>
        <v>38.667743071938993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191.77102466144095</v>
      </c>
      <c r="GF134" s="59">
        <f t="shared" si="158"/>
        <v>205.57161411620217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28.485924539329105</v>
      </c>
      <c r="GM134" s="21">
        <f>EXP(-LN(2)/25)*GM133+(1-EXP(-LN(2)/25))/(LN(2)/25)*Calculateur!GH134*Calculateur!GJ134*VLOOKUP('Données projet'!$B$17,Paramètres!$A$1:$I$89,3,0)*0.475*44/12</f>
        <v>3.3953396796733206</v>
      </c>
      <c r="GN134" s="21">
        <f>EXP(-LN(2)/2)*GN133+(1-EXP(-LN(2)/2))/(LN(2)/2)*GH134*GK134*VLOOKUP('Données projet'!$B$17,Paramètres!$A$1:$I$89,3,0)*0.475*44/12</f>
        <v>8.8416924307496781E-10</v>
      </c>
      <c r="GO134" s="21">
        <f t="shared" si="135"/>
        <v>31.881264219886596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84.31577618130467</v>
      </c>
      <c r="T135" s="59">
        <f t="shared" si="142"/>
        <v>527.2140904310653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16.220749048155898</v>
      </c>
      <c r="AA135" s="21">
        <f>EXP(-LN(2)/25)*AA134+(1-EXP(-LN(2)/25))/(LN(2)/25)*Calculateur!V135*Calculateur!X135*VLOOKUP('Données projet'!$B$9,Paramètres!$A$1:$I$89,3,0)*0.475*44/12</f>
        <v>2.0840988812174688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18.304847929373366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5.75</v>
      </c>
      <c r="AI135" s="13">
        <f>IF('Données projet'!$A$62&gt;35,AI134+AH135-AQ134,IF(A135&lt;'Données projet'!$A$62,$AF$205^A135,IF(A135='Données projet'!$A$62,'Données projet'!$B$62,AI134+AH135-AQ134)))</f>
        <v>311.74999999999972</v>
      </c>
      <c r="AJ135" s="13">
        <f>AI135*VLOOKUP('Données projet'!$B$10,Paramètres!$A$1:$I$89,3,0)*VLOOKUP('Données projet'!$B$10,Paramètres!$A$1:$I$89,5,0)</f>
        <v>282.07139999999976</v>
      </c>
      <c r="AK135" s="13">
        <f t="shared" si="143"/>
        <v>67.404567289644092</v>
      </c>
      <c r="AL135" s="20">
        <f t="shared" si="112"/>
        <v>608.67064302946301</v>
      </c>
      <c r="AM135" s="59">
        <f t="shared" si="113"/>
        <v>902.00397636279627</v>
      </c>
      <c r="AN135" s="59">
        <f ca="1">AVERAGE(OFFSET($AM$3,0,0,'Données projet'!$E$10+1,1))-AVERAGE(OFFSET($H$3,0,0,'Données projet'!$E$10+1,1))</f>
        <v>297.90790572649428</v>
      </c>
      <c r="AO135" s="59">
        <f t="shared" si="144"/>
        <v>142.96889776844506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26.633476441182662</v>
      </c>
      <c r="AV135" s="21">
        <f>EXP(-LN(2)/25)*AV134+(1-EXP(-LN(2)/25))/(LN(2)/25)*Calculateur!AQ135*Calculateur!AS135*VLOOKUP('Données projet'!$B$10,Paramètres!$A$1:$I$89,3,0)*0.475*44/12</f>
        <v>12.784400777998689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39.417877219181349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5.75</v>
      </c>
      <c r="BD135" s="12">
        <f>IF('Données projet'!$A$88&gt;35,BD134+BC135-BL134,IF(A135&lt;'Données projet'!$A$88,$BA$205^A135,IF(A135='Données projet'!$A$88,'Données projet'!$B$88,BD134+BC135-BL134)))</f>
        <v>311.74999999999972</v>
      </c>
      <c r="BE135" s="13">
        <f>BD135*VLOOKUP('Données projet'!$B$11,Paramètres!$A$1:$I$89,3,0)*VLOOKUP('Données projet'!$B$11,Paramètres!$A$1:$I$89,5,0)</f>
        <v>316.11449999999974</v>
      </c>
      <c r="BF135" s="13">
        <f t="shared" si="145"/>
        <v>74.544325910824341</v>
      </c>
      <c r="BG135" s="20">
        <f t="shared" si="115"/>
        <v>680.39745512801858</v>
      </c>
      <c r="BH135" s="59">
        <f t="shared" si="116"/>
        <v>973.73078846135195</v>
      </c>
      <c r="BI135" s="59">
        <f ca="1">AVERAGE(OFFSET($BH$3,0,0,'Données projet'!$E$11+1,1))-AVERAGE(OFFSET($H$3,0,0,'Données projet'!$E$11+1,1))</f>
        <v>345.3294887586967</v>
      </c>
      <c r="BJ135" s="59">
        <f t="shared" si="146"/>
        <v>164.23448598618114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29.847861528911611</v>
      </c>
      <c r="BQ135" s="21">
        <f>EXP(-LN(2)/25)*BQ134+(1-EXP(-LN(2)/25))/(LN(2)/25)*Calculateur!BL135*Calculateur!BN135*VLOOKUP('Données projet'!$B$11,Paramètres!$A$1:$I$89,3,0)*0.475*44/12</f>
        <v>14.327345699481294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44.175207228392907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289.07218105343333</v>
      </c>
      <c r="CE135" s="59">
        <f t="shared" si="148"/>
        <v>217.57508587672368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59.2885347919484</v>
      </c>
      <c r="CL135" s="21">
        <f>EXP(-LN(2)/25)*CL134+(1-EXP(-LN(2)/25))/(LN(2)/25)*Calculateur!CG135*Calculateur!CI135*VLOOKUP('Données projet'!$B$12,Paramètres!$A$1:$I$89,3,0)*0.475*44/12</f>
        <v>17.623044481662557</v>
      </c>
      <c r="CM135" s="21">
        <f>EXP(-LN(2)/2)*CM134+(1-EXP(-LN(2)/2))/(LN(2)/2)*CG135*CJ135*VLOOKUP('Données projet'!$B$12,Paramètres!$A$1:$I$89,3,0)*0.475*44/12</f>
        <v>1.155108243665915E-6</v>
      </c>
      <c r="CN135" s="22">
        <f t="shared" si="120"/>
        <v>76.911580428719191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1.7053025658242404E-13</v>
      </c>
      <c r="CU135" s="17">
        <f>CT135*VLOOKUP('Données projet'!$B$13,Paramètres!$A$1:$I$89,3,0)*VLOOKUP('Données projet'!$B$13,Paramètres!$A$1:$I$89,5,0)</f>
        <v>1.4897523215040567E-13</v>
      </c>
      <c r="CV135" s="13">
        <f t="shared" si="149"/>
        <v>2.136562777003313E-12</v>
      </c>
      <c r="CW135" s="20">
        <f t="shared" si="121"/>
        <v>3.9806453659427267E-12</v>
      </c>
      <c r="CX135" s="59">
        <f t="shared" si="122"/>
        <v>293.33333333333729</v>
      </c>
      <c r="CY135" s="59">
        <f ca="1">AVERAGE(OFFSET($CX$3,0,0,'Données projet'!$E$13+1,1))-AVERAGE(OFFSET($H$3,0,0,'Données projet'!$E$13+1,1))</f>
        <v>237.8483058552178</v>
      </c>
      <c r="CZ135" s="59">
        <f t="shared" si="150"/>
        <v>313.36201272119723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25.67795999564381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1.918087199615239E-8</v>
      </c>
      <c r="DI135" s="22">
        <f t="shared" si="123"/>
        <v>25.677960014824681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5.75</v>
      </c>
      <c r="DO135" s="12">
        <f>IF('Données projet'!$A$166&gt;35,DO134+DN135-DW134,IF(A135&lt;'Données projet'!$A$166,$DL$205^A135,IF(A135='Données projet'!$A$166,'Données projet'!$B$166,DO134+DN135-DW134)))</f>
        <v>311.74999999999972</v>
      </c>
      <c r="DP135" s="17">
        <f>DO135*VLOOKUP('Données projet'!$B$14,Paramètres!$A$1:$I$89,3,0)*VLOOKUP('Données projet'!$B$14,Paramètres!$A$1:$I$89,5,0)</f>
        <v>301.52459999999974</v>
      </c>
      <c r="DQ135" s="13">
        <f t="shared" si="151"/>
        <v>71.495983841307549</v>
      </c>
      <c r="DR135" s="20">
        <f t="shared" si="124"/>
        <v>649.6775168569435</v>
      </c>
      <c r="DS135" s="59">
        <f t="shared" si="125"/>
        <v>943.01085019027687</v>
      </c>
      <c r="DT135" s="59">
        <f ca="1">AVERAGE(OFFSET($DS$3,0,0,'Données projet'!$E$14+1,1))-AVERAGE(OFFSET($H$3,0,0,'Données projet'!$E$14+1,1))</f>
        <v>325.01961068962373</v>
      </c>
      <c r="DU135" s="59">
        <f t="shared" si="152"/>
        <v>155.12737608540039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28.470267919884915</v>
      </c>
      <c r="EB135" s="21">
        <f>EXP(-LN(2)/25)*EB134+(1-EXP(-LN(2)/25))/(LN(2)/25)*Calculateur!DW135*Calculateur!DY135*VLOOKUP('Données projet'!$B$14,Paramètres!$A$1:$I$89,3,0)*0.475*44/12</f>
        <v>13.666083590274464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42.136351510159379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-1.7053025658242404E-13</v>
      </c>
      <c r="EK135" s="17">
        <f>EJ135*VLOOKUP('Données projet'!$B$15,Paramètres!$A$1:$I$89,3,0)*VLOOKUP('Données projet'!$B$15,Paramètres!$A$1:$I$89,5,0)</f>
        <v>-1.1439169611549005E-13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178.09619481964575</v>
      </c>
      <c r="EP135" s="59">
        <f t="shared" si="154"/>
        <v>178.65167777495174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31.962904476254714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5.2281573400316738E-7</v>
      </c>
      <c r="EY135" s="22">
        <f t="shared" si="129"/>
        <v>31.962904999070449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-1.3567387213697657E-13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219.43439115440339</v>
      </c>
      <c r="FK135" s="59">
        <f t="shared" si="156"/>
        <v>217.8880462742099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37.909491355557911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6.2008377753864077E-7</v>
      </c>
      <c r="FT135" s="22">
        <f t="shared" si="132"/>
        <v>37.909491975641686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191.77102466144095</v>
      </c>
      <c r="GF135" s="59">
        <f t="shared" si="158"/>
        <v>205.57161411620217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27.927332933811222</v>
      </c>
      <c r="GM135" s="21">
        <f>EXP(-LN(2)/25)*GM134+(1-EXP(-LN(2)/25))/(LN(2)/25)*Calculateur!GH135*Calculateur!GJ135*VLOOKUP('Données projet'!$B$17,Paramètres!$A$1:$I$89,3,0)*0.475*44/12</f>
        <v>3.3024939375794999</v>
      </c>
      <c r="GN135" s="21">
        <f>EXP(-LN(2)/2)*GN134+(1-EXP(-LN(2)/2))/(LN(2)/2)*GH135*GK135*VLOOKUP('Données projet'!$B$17,Paramètres!$A$1:$I$89,3,0)*0.475*44/12</f>
        <v>6.2520206749488661E-10</v>
      </c>
      <c r="GO135" s="21">
        <f t="shared" si="135"/>
        <v>31.229826872015924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84.31577618130467</v>
      </c>
      <c r="T136" s="59">
        <f t="shared" si="142"/>
        <v>527.2140904310653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15.902670053001561</v>
      </c>
      <c r="AA136" s="21">
        <f>EXP(-LN(2)/25)*AA135+(1-EXP(-LN(2)/25))/(LN(2)/25)*Calculateur!V136*Calculateur!X136*VLOOKUP('Données projet'!$B$9,Paramètres!$A$1:$I$89,3,0)*0.475*44/12</f>
        <v>2.0271090877125801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17.929779140714142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5.75</v>
      </c>
      <c r="AI136" s="13">
        <f>IF('Données projet'!$A$62&gt;35,AI135+AH136-AQ135,IF(A136&lt;'Données projet'!$A$62,$AF$205^A136,IF(A136='Données projet'!$A$62,'Données projet'!$B$62,AI135+AH136-AQ135)))</f>
        <v>317.49999999999972</v>
      </c>
      <c r="AJ136" s="13">
        <f>AI136*VLOOKUP('Données projet'!$B$10,Paramètres!$A$1:$I$89,3,0)*VLOOKUP('Données projet'!$B$10,Paramètres!$A$1:$I$89,5,0)</f>
        <v>287.27399999999977</v>
      </c>
      <c r="AK136" s="13">
        <f t="shared" si="143"/>
        <v>68.501912166991971</v>
      </c>
      <c r="AL136" s="20">
        <f t="shared" si="112"/>
        <v>619.64304702417724</v>
      </c>
      <c r="AM136" s="59">
        <f t="shared" si="113"/>
        <v>912.97638035751061</v>
      </c>
      <c r="AN136" s="59">
        <f ca="1">AVERAGE(OFFSET($AM$3,0,0,'Données projet'!$E$10+1,1))-AVERAGE(OFFSET($H$3,0,0,'Données projet'!$E$10+1,1))</f>
        <v>297.90790572649428</v>
      </c>
      <c r="AO136" s="59">
        <f t="shared" si="144"/>
        <v>142.96889776844506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26.111210212987658</v>
      </c>
      <c r="AV136" s="21">
        <f>EXP(-LN(2)/25)*AV135+(1-EXP(-LN(2)/25))/(LN(2)/25)*Calculateur!AQ136*Calculateur!AS136*VLOOKUP('Données projet'!$B$10,Paramètres!$A$1:$I$89,3,0)*0.475*44/12</f>
        <v>12.434810666421898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38.546020879409554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5.75</v>
      </c>
      <c r="BD136" s="12">
        <f>IF('Données projet'!$A$88&gt;35,BD135+BC136-BL135,IF(A136&lt;'Données projet'!$A$88,$BA$205^A136,IF(A136='Données projet'!$A$88,'Données projet'!$B$88,BD135+BC136-BL135)))</f>
        <v>317.49999999999972</v>
      </c>
      <c r="BE136" s="13">
        <f>BD136*VLOOKUP('Données projet'!$B$11,Paramètres!$A$1:$I$89,3,0)*VLOOKUP('Données projet'!$B$11,Paramètres!$A$1:$I$89,5,0)</f>
        <v>321.94499999999977</v>
      </c>
      <c r="BF136" s="13">
        <f t="shared" si="145"/>
        <v>75.757905901955908</v>
      </c>
      <c r="BG136" s="20">
        <f t="shared" si="115"/>
        <v>692.66589444590602</v>
      </c>
      <c r="BH136" s="59">
        <f t="shared" si="116"/>
        <v>985.99922777923939</v>
      </c>
      <c r="BI136" s="59">
        <f ca="1">AVERAGE(OFFSET($BH$3,0,0,'Données projet'!$E$11+1,1))-AVERAGE(OFFSET($H$3,0,0,'Données projet'!$E$11+1,1))</f>
        <v>345.3294887586967</v>
      </c>
      <c r="BJ136" s="59">
        <f t="shared" si="146"/>
        <v>164.23448598618114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29.262563169727553</v>
      </c>
      <c r="BQ136" s="21">
        <f>EXP(-LN(2)/25)*BQ135+(1-EXP(-LN(2)/25))/(LN(2)/25)*Calculateur!BL136*Calculateur!BN136*VLOOKUP('Données projet'!$B$11,Paramètres!$A$1:$I$89,3,0)*0.475*44/12</f>
        <v>13.935563677886613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43.198126847614162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289.07218105343333</v>
      </c>
      <c r="CE136" s="59">
        <f t="shared" si="148"/>
        <v>217.57508587672368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58.125922787113772</v>
      </c>
      <c r="CL136" s="21">
        <f>EXP(-LN(2)/25)*CL135+(1-EXP(-LN(2)/25))/(LN(2)/25)*Calculateur!CG136*Calculateur!CI136*VLOOKUP('Données projet'!$B$12,Paramètres!$A$1:$I$89,3,0)*0.475*44/12</f>
        <v>17.141141403555864</v>
      </c>
      <c r="CM136" s="21">
        <f>EXP(-LN(2)/2)*CM135+(1-EXP(-LN(2)/2))/(LN(2)/2)*CG136*CJ136*VLOOKUP('Données projet'!$B$12,Paramètres!$A$1:$I$89,3,0)*0.475*44/12</f>
        <v>8.1678487210065137E-7</v>
      </c>
      <c r="CN136" s="22">
        <f t="shared" si="120"/>
        <v>75.267065007454505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1.7053025658242404E-13</v>
      </c>
      <c r="CU136" s="17">
        <f>CT136*VLOOKUP('Données projet'!$B$13,Paramètres!$A$1:$I$89,3,0)*VLOOKUP('Données projet'!$B$13,Paramètres!$A$1:$I$89,5,0)</f>
        <v>1.4897523215040567E-13</v>
      </c>
      <c r="CV136" s="13">
        <f t="shared" si="149"/>
        <v>2.136562777003313E-12</v>
      </c>
      <c r="CW136" s="20">
        <f t="shared" si="121"/>
        <v>3.9806453659427267E-12</v>
      </c>
      <c r="CX136" s="59">
        <f t="shared" si="122"/>
        <v>293.33333333333729</v>
      </c>
      <c r="CY136" s="59">
        <f ca="1">AVERAGE(OFFSET($CX$3,0,0,'Données projet'!$E$13+1,1))-AVERAGE(OFFSET($H$3,0,0,'Données projet'!$E$13+1,1))</f>
        <v>237.8483058552178</v>
      </c>
      <c r="CZ136" s="59">
        <f t="shared" si="150"/>
        <v>313.36201272119723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25.174430862138337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1.3562924657550505E-8</v>
      </c>
      <c r="DI136" s="22">
        <f t="shared" si="123"/>
        <v>25.174430875701262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5.75</v>
      </c>
      <c r="DO136" s="12">
        <f>IF('Données projet'!$A$166&gt;35,DO135+DN136-DW135,IF(A136&lt;'Données projet'!$A$166,$DL$205^A136,IF(A136='Données projet'!$A$166,'Données projet'!$B$166,DO135+DN136-DW135)))</f>
        <v>317.49999999999972</v>
      </c>
      <c r="DP136" s="17">
        <f>DO136*VLOOKUP('Données projet'!$B$14,Paramètres!$A$1:$I$89,3,0)*VLOOKUP('Données projet'!$B$14,Paramètres!$A$1:$I$89,5,0)</f>
        <v>307.08599999999973</v>
      </c>
      <c r="DQ136" s="13">
        <f t="shared" si="151"/>
        <v>72.659936890395116</v>
      </c>
      <c r="DR136" s="20">
        <f t="shared" si="124"/>
        <v>661.3908400841043</v>
      </c>
      <c r="DS136" s="59">
        <f t="shared" si="125"/>
        <v>954.72417341743767</v>
      </c>
      <c r="DT136" s="59">
        <f ca="1">AVERAGE(OFFSET($DS$3,0,0,'Données projet'!$E$14+1,1))-AVERAGE(OFFSET($H$3,0,0,'Données projet'!$E$14+1,1))</f>
        <v>325.01961068962373</v>
      </c>
      <c r="DU136" s="59">
        <f t="shared" si="152"/>
        <v>155.12737608540039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27.911983331124738</v>
      </c>
      <c r="EB136" s="21">
        <f>EXP(-LN(2)/25)*EB135+(1-EXP(-LN(2)/25))/(LN(2)/25)*Calculateur!DW136*Calculateur!DY136*VLOOKUP('Données projet'!$B$14,Paramètres!$A$1:$I$89,3,0)*0.475*44/12</f>
        <v>13.292383815830307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41.204367146955043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-1.7053025658242404E-13</v>
      </c>
      <c r="EK136" s="17">
        <f>EJ136*VLOOKUP('Données projet'!$B$15,Paramètres!$A$1:$I$89,3,0)*VLOOKUP('Données projet'!$B$15,Paramètres!$A$1:$I$89,5,0)</f>
        <v>-1.1439169611549005E-13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178.09619481964575</v>
      </c>
      <c r="EP136" s="59">
        <f t="shared" si="154"/>
        <v>178.65167777495174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31.336131414922075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3.6968655082466191E-7</v>
      </c>
      <c r="EY136" s="22">
        <f t="shared" si="129"/>
        <v>31.336131784608625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-1.3567387213697657E-13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219.43439115440339</v>
      </c>
      <c r="FK136" s="59">
        <f t="shared" si="156"/>
        <v>217.8880462742099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37.166109352581991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4.3846544400134347E-7</v>
      </c>
      <c r="FT136" s="22">
        <f t="shared" si="132"/>
        <v>37.166109791047433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191.77102466144095</v>
      </c>
      <c r="GF136" s="59">
        <f t="shared" si="158"/>
        <v>205.57161411620217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27.379694968970306</v>
      </c>
      <c r="GM136" s="21">
        <f>EXP(-LN(2)/25)*GM135+(1-EXP(-LN(2)/25))/(LN(2)/25)*Calculateur!GH136*Calculateur!GJ136*VLOOKUP('Données projet'!$B$17,Paramètres!$A$1:$I$89,3,0)*0.475*44/12</f>
        <v>3.2121870671857802</v>
      </c>
      <c r="GN136" s="21">
        <f>EXP(-LN(2)/2)*GN135+(1-EXP(-LN(2)/2))/(LN(2)/2)*GH136*GK136*VLOOKUP('Données projet'!$B$17,Paramètres!$A$1:$I$89,3,0)*0.475*44/12</f>
        <v>4.420846215374839E-10</v>
      </c>
      <c r="GO136" s="21">
        <f t="shared" si="135"/>
        <v>30.591882036598172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84.31577618130467</v>
      </c>
      <c r="T137" s="59">
        <f t="shared" si="142"/>
        <v>527.2140904310653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15.590828392933171</v>
      </c>
      <c r="AA137" s="21">
        <f>EXP(-LN(2)/25)*AA136+(1-EXP(-LN(2)/25))/(LN(2)/25)*Calculateur!V137*Calculateur!X137*VLOOKUP('Données projet'!$B$9,Paramètres!$A$1:$I$89,3,0)*0.475*44/12</f>
        <v>1.9716776831080458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17.562506076041217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5.75</v>
      </c>
      <c r="AI137" s="13">
        <f>IF('Données projet'!$A$62&gt;35,AI136+AH137-AQ136,IF(A137&lt;'Données projet'!$A$62,$AF$205^A137,IF(A137='Données projet'!$A$62,'Données projet'!$B$62,AI136+AH137-AQ136)))</f>
        <v>323.24999999999972</v>
      </c>
      <c r="AJ137" s="13">
        <f>AI137*VLOOKUP('Données projet'!$B$10,Paramètres!$A$1:$I$89,3,0)*VLOOKUP('Données projet'!$B$10,Paramètres!$A$1:$I$89,5,0)</f>
        <v>292.47659999999973</v>
      </c>
      <c r="AK137" s="13">
        <f t="shared" si="143"/>
        <v>69.596946109707375</v>
      </c>
      <c r="AL137" s="20">
        <f t="shared" si="112"/>
        <v>630.61142614107314</v>
      </c>
      <c r="AM137" s="59">
        <f t="shared" si="113"/>
        <v>923.94475947440651</v>
      </c>
      <c r="AN137" s="59">
        <f ca="1">AVERAGE(OFFSET($AM$3,0,0,'Données projet'!$E$10+1,1))-AVERAGE(OFFSET($H$3,0,0,'Données projet'!$E$10+1,1))</f>
        <v>297.90790572649428</v>
      </c>
      <c r="AO137" s="59">
        <f t="shared" si="144"/>
        <v>142.96889776844506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25.599185306976612</v>
      </c>
      <c r="AV137" s="21">
        <f>EXP(-LN(2)/25)*AV136+(1-EXP(-LN(2)/25))/(LN(2)/25)*Calculateur!AQ137*Calculateur!AS137*VLOOKUP('Données projet'!$B$10,Paramètres!$A$1:$I$89,3,0)*0.475*44/12</f>
        <v>12.094780114830318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37.693965421806929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5.75</v>
      </c>
      <c r="BD137" s="12">
        <f>IF('Données projet'!$A$88&gt;35,BD136+BC137-BL136,IF(A137&lt;'Données projet'!$A$88,$BA$205^A137,IF(A137='Données projet'!$A$88,'Données projet'!$B$88,BD136+BC137-BL136)))</f>
        <v>323.24999999999972</v>
      </c>
      <c r="BE137" s="13">
        <f>BD137*VLOOKUP('Données projet'!$B$11,Paramètres!$A$1:$I$89,3,0)*VLOOKUP('Données projet'!$B$11,Paramètres!$A$1:$I$89,5,0)</f>
        <v>327.77549999999974</v>
      </c>
      <c r="BF137" s="13">
        <f t="shared" si="145"/>
        <v>76.968930175109847</v>
      </c>
      <c r="BG137" s="20">
        <f t="shared" si="115"/>
        <v>704.92988255498256</v>
      </c>
      <c r="BH137" s="59">
        <f t="shared" si="116"/>
        <v>998.26321588831593</v>
      </c>
      <c r="BI137" s="59">
        <f ca="1">AVERAGE(OFFSET($BH$3,0,0,'Données projet'!$E$11+1,1))-AVERAGE(OFFSET($H$3,0,0,'Données projet'!$E$11+1,1))</f>
        <v>345.3294887586967</v>
      </c>
      <c r="BJ137" s="59">
        <f t="shared" si="146"/>
        <v>164.23448598618114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28.688742154370345</v>
      </c>
      <c r="BQ137" s="21">
        <f>EXP(-LN(2)/25)*BQ136+(1-EXP(-LN(2)/25))/(LN(2)/25)*Calculateur!BL137*Calculateur!BN137*VLOOKUP('Données projet'!$B$11,Paramètres!$A$1:$I$89,3,0)*0.475*44/12</f>
        <v>13.554494956275359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42.243237110645708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289.07218105343333</v>
      </c>
      <c r="CE137" s="59">
        <f t="shared" si="148"/>
        <v>217.57508587672368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56.986108894570648</v>
      </c>
      <c r="CL137" s="21">
        <f>EXP(-LN(2)/25)*CL136+(1-EXP(-LN(2)/25))/(LN(2)/25)*Calculateur!CG137*Calculateur!CI137*VLOOKUP('Données projet'!$B$12,Paramètres!$A$1:$I$89,3,0)*0.475*44/12</f>
        <v>16.672415990462177</v>
      </c>
      <c r="CM137" s="21">
        <f>EXP(-LN(2)/2)*CM136+(1-EXP(-LN(2)/2))/(LN(2)/2)*CG137*CJ137*VLOOKUP('Données projet'!$B$12,Paramètres!$A$1:$I$89,3,0)*0.475*44/12</f>
        <v>5.7755412183295748E-7</v>
      </c>
      <c r="CN137" s="22">
        <f t="shared" si="120"/>
        <v>73.658525462586937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1.7053025658242404E-13</v>
      </c>
      <c r="CU137" s="17">
        <f>CT137*VLOOKUP('Données projet'!$B$13,Paramètres!$A$1:$I$89,3,0)*VLOOKUP('Données projet'!$B$13,Paramètres!$A$1:$I$89,5,0)</f>
        <v>1.4897523215040567E-13</v>
      </c>
      <c r="CV137" s="13">
        <f t="shared" si="149"/>
        <v>2.136562777003313E-12</v>
      </c>
      <c r="CW137" s="20">
        <f t="shared" si="121"/>
        <v>3.9806453659427267E-12</v>
      </c>
      <c r="CX137" s="59">
        <f t="shared" si="122"/>
        <v>293.33333333333729</v>
      </c>
      <c r="CY137" s="59">
        <f ca="1">AVERAGE(OFFSET($CX$3,0,0,'Données projet'!$E$13+1,1))-AVERAGE(OFFSET($H$3,0,0,'Données projet'!$E$13+1,1))</f>
        <v>237.8483058552178</v>
      </c>
      <c r="CZ137" s="59">
        <f t="shared" si="150"/>
        <v>313.36201272119723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24.680775627818459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9.5904359980761948E-9</v>
      </c>
      <c r="DI137" s="22">
        <f t="shared" si="123"/>
        <v>24.680775637408896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5.75</v>
      </c>
      <c r="DO137" s="12">
        <f>IF('Données projet'!$A$166&gt;35,DO136+DN137-DW136,IF(A137&lt;'Données projet'!$A$166,$DL$205^A137,IF(A137='Données projet'!$A$166,'Données projet'!$B$166,DO136+DN137-DW136)))</f>
        <v>323.24999999999972</v>
      </c>
      <c r="DP137" s="17">
        <f>DO137*VLOOKUP('Données projet'!$B$14,Paramètres!$A$1:$I$89,3,0)*VLOOKUP('Données projet'!$B$14,Paramètres!$A$1:$I$89,5,0)</f>
        <v>312.64739999999972</v>
      </c>
      <c r="DQ137" s="13">
        <f t="shared" si="151"/>
        <v>73.82143873251276</v>
      </c>
      <c r="DR137" s="20">
        <f t="shared" si="124"/>
        <v>673.0998941257925</v>
      </c>
      <c r="DS137" s="59">
        <f t="shared" si="125"/>
        <v>966.43322745912587</v>
      </c>
      <c r="DT137" s="59">
        <f ca="1">AVERAGE(OFFSET($DS$3,0,0,'Données projet'!$E$14+1,1))-AVERAGE(OFFSET($H$3,0,0,'Données projet'!$E$14+1,1))</f>
        <v>325.01961068962373</v>
      </c>
      <c r="DU137" s="59">
        <f t="shared" si="152"/>
        <v>155.12737608540039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27.364646362630172</v>
      </c>
      <c r="EB137" s="21">
        <f>EXP(-LN(2)/25)*EB136+(1-EXP(-LN(2)/25))/(LN(2)/25)*Calculateur!DW137*Calculateur!DY137*VLOOKUP('Données projet'!$B$14,Paramètres!$A$1:$I$89,3,0)*0.475*44/12</f>
        <v>12.928902881370343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40.293549244000516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-1.7053025658242404E-13</v>
      </c>
      <c r="EK137" s="17">
        <f>EJ137*VLOOKUP('Données projet'!$B$15,Paramètres!$A$1:$I$89,3,0)*VLOOKUP('Données projet'!$B$15,Paramètres!$A$1:$I$89,5,0)</f>
        <v>-1.1439169611549005E-13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178.09619481964575</v>
      </c>
      <c r="EP137" s="59">
        <f t="shared" si="154"/>
        <v>178.65167777495174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30.721648991028349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2.6140786700158369E-7</v>
      </c>
      <c r="EY137" s="22">
        <f t="shared" si="129"/>
        <v>30.721649252436215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-1.3567387213697657E-13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219.43439115440339</v>
      </c>
      <c r="FK137" s="59">
        <f t="shared" si="156"/>
        <v>217.8880462742099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36.437304617266179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3.1004188876932038E-7</v>
      </c>
      <c r="FT137" s="22">
        <f t="shared" si="132"/>
        <v>36.43730492730807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191.77102466144095</v>
      </c>
      <c r="GF137" s="59">
        <f t="shared" si="158"/>
        <v>205.57161411620217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26.842795850593745</v>
      </c>
      <c r="GM137" s="21">
        <f>EXP(-LN(2)/25)*GM136+(1-EXP(-LN(2)/25))/(LN(2)/25)*Calculateur!GH137*Calculateur!GJ137*VLOOKUP('Données projet'!$B$17,Paramètres!$A$1:$I$89,3,0)*0.475*44/12</f>
        <v>3.1243496429120086</v>
      </c>
      <c r="GN137" s="21">
        <f>EXP(-LN(2)/2)*GN136+(1-EXP(-LN(2)/2))/(LN(2)/2)*GH137*GK137*VLOOKUP('Données projet'!$B$17,Paramètres!$A$1:$I$89,3,0)*0.475*44/12</f>
        <v>3.126010337474433E-10</v>
      </c>
      <c r="GO137" s="21">
        <f t="shared" si="135"/>
        <v>29.967145493818354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84.31577618130467</v>
      </c>
      <c r="T138" s="59">
        <f t="shared" si="142"/>
        <v>527.2140904310653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15.28510175761409</v>
      </c>
      <c r="AA138" s="21">
        <f>EXP(-LN(2)/25)*AA137+(1-EXP(-LN(2)/25))/(LN(2)/25)*Calculateur!V138*Calculateur!X138*VLOOKUP('Données projet'!$B$9,Paramètres!$A$1:$I$89,3,0)*0.475*44/12</f>
        <v>1.9177620531774333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17.202863810791523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>
        <f>VLOOKUP(A138,'Données projet'!$A$61:$I$81,2,0)</f>
        <v>329</v>
      </c>
      <c r="AG138" s="12">
        <f>VLOOKUP(A138,'Données projet'!$A$61:$I$81,9,0)</f>
        <v>5.75</v>
      </c>
      <c r="AH138" s="12">
        <f t="array" ref="AH138">INDEX(AG:AG,MIN(IF(ISNUMBER(AG138:AG334),ROW(AG138:AG334),"")))</f>
        <v>5.75</v>
      </c>
      <c r="AI138" s="13">
        <f>IF('Données projet'!$A$62&gt;35,AI137+AH138-AQ137,IF(A138&lt;'Données projet'!$A$62,$AF$205^A138,IF(A138='Données projet'!$A$62,'Données projet'!$B$62,AI137+AH138-AQ137)))</f>
        <v>328.99999999999972</v>
      </c>
      <c r="AJ138" s="13">
        <f>AI138*VLOOKUP('Données projet'!$B$10,Paramètres!$A$1:$I$89,3,0)*VLOOKUP('Données projet'!$B$10,Paramètres!$A$1:$I$89,5,0)</f>
        <v>297.67919999999975</v>
      </c>
      <c r="AK138" s="13">
        <f t="shared" si="143"/>
        <v>70.689714967168072</v>
      </c>
      <c r="AL138" s="20">
        <f t="shared" si="112"/>
        <v>641.57586023448391</v>
      </c>
      <c r="AM138" s="59">
        <f t="shared" si="113"/>
        <v>934.90919356781728</v>
      </c>
      <c r="AN138" s="59">
        <f ca="1">AVERAGE(OFFSET($AM$3,0,0,'Données projet'!$E$10+1,1))-AVERAGE(OFFSET($H$3,0,0,'Données projet'!$E$10+1,1))</f>
        <v>297.90790572649428</v>
      </c>
      <c r="AO138" s="59">
        <f t="shared" si="144"/>
        <v>142.96889776844506</v>
      </c>
      <c r="AP138" s="15">
        <f>IF(ISNA(VLOOKUP(A138,'Données projet'!$A$61:$I$81,3,0)),0,VLOOKUP(A138,'Données projet'!$A$61:$I$81,3,0))</f>
        <v>11</v>
      </c>
      <c r="AQ138" s="15">
        <f>IF(ISNA(VLOOKUP(A138,'Données projet'!$A$61:$I$81,4,0)),0,VLOOKUP(A138,'Données projet'!$A$61:$I$81,4,0))</f>
        <v>48</v>
      </c>
      <c r="AR138" s="16">
        <f>IF(ISNA(VLOOKUP(A138,'Données projet'!$A$61:$I$81,5,0)),0%,VLOOKUP(A138,'Données projet'!$A$61:$I$81,5,0)*VLOOKUP('Données projet'!$B$10,Paramètres!$A$1:$I$89,7,0))</f>
        <v>0.30099999999999999</v>
      </c>
      <c r="AS138" s="16">
        <f>IF(ISNA(VLOOKUP(A138,'Données projet'!$A$61:$I$81,6,0)),0%,VLOOKUP(A138,'Données projet'!$A$61:$I$81,6,0)*VLOOKUP('Données projet'!$B$10,Paramètres!$A$1:$I$89,7,0))</f>
        <v>4.3000000000000003E-2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39.548518149219703</v>
      </c>
      <c r="AV138" s="21">
        <f>EXP(-LN(2)/25)*AV137+(1-EXP(-LN(2)/25))/(LN(2)/25)*Calculateur!AQ138*Calculateur!AS138*VLOOKUP('Données projet'!$B$10,Paramètres!$A$1:$I$89,3,0)*0.475*44/12</f>
        <v>13.820392989374344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53.368911138594044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>
        <f>VLOOKUP(A138,'Données projet'!$A$87:$I$107,2,0)</f>
        <v>329</v>
      </c>
      <c r="BB138" s="12">
        <f>VLOOKUP(A138,'Données projet'!$A$87:$I$107,9,0)</f>
        <v>5.75</v>
      </c>
      <c r="BC138" s="12">
        <f t="array" ref="BC138">INDEX(BB:BB,MIN(IF(ISNUMBER(BB138:BB334),ROW(BB138:BB334),"")))</f>
        <v>5.75</v>
      </c>
      <c r="BD138" s="12">
        <f>IF('Données projet'!$A$88&gt;35,BD137+BC138-BL137,IF(A138&lt;'Données projet'!$A$88,$BA$205^A138,IF(A138='Données projet'!$A$88,'Données projet'!$B$88,BD137+BC138-BL137)))</f>
        <v>328.99999999999972</v>
      </c>
      <c r="BE138" s="13">
        <f>BD138*VLOOKUP('Données projet'!$B$11,Paramètres!$A$1:$I$89,3,0)*VLOOKUP('Données projet'!$B$11,Paramètres!$A$1:$I$89,5,0)</f>
        <v>333.60599999999971</v>
      </c>
      <c r="BF138" s="13">
        <f t="shared" si="145"/>
        <v>78.177449436211305</v>
      </c>
      <c r="BG138" s="20">
        <f t="shared" si="115"/>
        <v>717.18950776806741</v>
      </c>
      <c r="BH138" s="59">
        <f t="shared" si="116"/>
        <v>1010.5228411014007</v>
      </c>
      <c r="BI138" s="59">
        <f ca="1">AVERAGE(OFFSET($BH$3,0,0,'Données projet'!$E$11+1,1))-AVERAGE(OFFSET($H$3,0,0,'Données projet'!$E$11+1,1))</f>
        <v>345.3294887586967</v>
      </c>
      <c r="BJ138" s="59">
        <f t="shared" si="146"/>
        <v>164.23448598618114</v>
      </c>
      <c r="BK138" s="15">
        <f>IF(ISNA(VLOOKUP(A138,'Données projet'!$A$87:$I$107,3,0)),0,VLOOKUP(A138,'Données projet'!$A$87:$I$107,3,0))</f>
        <v>11</v>
      </c>
      <c r="BL138" s="15">
        <f>IF(ISNA(VLOOKUP(A138,'Données projet'!$A$87:$I$107,4,0)),0,VLOOKUP(A138,'Données projet'!$A$87:$I$107,4,0))</f>
        <v>48</v>
      </c>
      <c r="BM138" s="16">
        <f>IF(ISNA(VLOOKUP(A138,'Données projet'!$A$87:$I$107,5,0)),0%,VLOOKUP(A138,'Données projet'!$A$87:$I$107,5,0)*VLOOKUP('Données projet'!$B$11,Paramètres!$A$1:$I$89,7,0))</f>
        <v>0.30099999999999999</v>
      </c>
      <c r="BN138" s="16">
        <f>IF(ISNA(VLOOKUP(A138,'Données projet'!$A$87:$I$107,6,0)),0%,VLOOKUP(A138,'Données projet'!$A$87:$I$107,6,0)*VLOOKUP('Données projet'!$B$11,Paramètres!$A$1:$I$89,7,0))</f>
        <v>4.3000000000000003E-2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44.321615167228991</v>
      </c>
      <c r="BQ138" s="21">
        <f>EXP(-LN(2)/25)*BQ137+(1-EXP(-LN(2)/25))/(LN(2)/25)*Calculateur!BL138*Calculateur!BN138*VLOOKUP('Données projet'!$B$11,Paramètres!$A$1:$I$89,3,0)*0.475*44/12</f>
        <v>15.488371453609183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59.809986620838174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289.07218105343333</v>
      </c>
      <c r="CE138" s="59">
        <f t="shared" si="148"/>
        <v>217.57508587672368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55.868646057242465</v>
      </c>
      <c r="CL138" s="21">
        <f>EXP(-LN(2)/25)*CL137+(1-EXP(-LN(2)/25))/(LN(2)/25)*Calculateur!CG138*Calculateur!CI138*VLOOKUP('Données projet'!$B$12,Paramètres!$A$1:$I$89,3,0)*0.475*44/12</f>
        <v>16.216507898438739</v>
      </c>
      <c r="CM138" s="21">
        <f>EXP(-LN(2)/2)*CM137+(1-EXP(-LN(2)/2))/(LN(2)/2)*CG138*CJ138*VLOOKUP('Données projet'!$B$12,Paramètres!$A$1:$I$89,3,0)*0.475*44/12</f>
        <v>4.0839243605032568E-7</v>
      </c>
      <c r="CN138" s="22">
        <f t="shared" si="120"/>
        <v>72.085154364073645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1.7053025658242404E-13</v>
      </c>
      <c r="CU138" s="17">
        <f>CT138*VLOOKUP('Données projet'!$B$13,Paramètres!$A$1:$I$89,3,0)*VLOOKUP('Données projet'!$B$13,Paramètres!$A$1:$I$89,5,0)</f>
        <v>1.4897523215040567E-13</v>
      </c>
      <c r="CV138" s="13">
        <f t="shared" si="149"/>
        <v>2.136562777003313E-12</v>
      </c>
      <c r="CW138" s="20">
        <f t="shared" si="121"/>
        <v>3.9806453659427267E-12</v>
      </c>
      <c r="CX138" s="59">
        <f t="shared" si="122"/>
        <v>293.33333333333729</v>
      </c>
      <c r="CY138" s="59">
        <f ca="1">AVERAGE(OFFSET($CX$3,0,0,'Données projet'!$E$13+1,1))-AVERAGE(OFFSET($H$3,0,0,'Données projet'!$E$13+1,1))</f>
        <v>237.8483058552178</v>
      </c>
      <c r="CZ138" s="59">
        <f t="shared" si="150"/>
        <v>313.36201272119723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24.196800671543635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6.7814623287752525E-9</v>
      </c>
      <c r="DI138" s="22">
        <f t="shared" si="123"/>
        <v>24.196800678325097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>
        <f>VLOOKUP(A138,'Données projet'!$A$165:$I$185,2,0)</f>
        <v>329</v>
      </c>
      <c r="DM138" s="12">
        <f>VLOOKUP(A138,'Données projet'!$A$165:$I$185,9,0)</f>
        <v>5.75</v>
      </c>
      <c r="DN138" s="12">
        <f t="array" ref="DN138">INDEX(DM:DM,MIN(IF(ISNUMBER(DM138:DM334),ROW(DM138:DM334),"")))</f>
        <v>5.75</v>
      </c>
      <c r="DO138" s="12">
        <f>IF('Données projet'!$A$166&gt;35,DO137+DN138-DW137,IF(A138&lt;'Données projet'!$A$166,$DL$205^A138,IF(A138='Données projet'!$A$166,'Données projet'!$B$166,DO137+DN138-DW137)))</f>
        <v>328.99999999999972</v>
      </c>
      <c r="DP138" s="17">
        <f>DO138*VLOOKUP('Données projet'!$B$14,Paramètres!$A$1:$I$89,3,0)*VLOOKUP('Données projet'!$B$14,Paramètres!$A$1:$I$89,5,0)</f>
        <v>318.20879999999971</v>
      </c>
      <c r="DQ138" s="13">
        <f t="shared" si="151"/>
        <v>74.980538000067781</v>
      </c>
      <c r="DR138" s="20">
        <f t="shared" si="124"/>
        <v>684.8047636834508</v>
      </c>
      <c r="DS138" s="59">
        <f t="shared" si="125"/>
        <v>978.13809701678406</v>
      </c>
      <c r="DT138" s="59">
        <f ca="1">AVERAGE(OFFSET($DS$3,0,0,'Données projet'!$E$14+1,1))-AVERAGE(OFFSET($H$3,0,0,'Données projet'!$E$14+1,1))</f>
        <v>325.01961068962373</v>
      </c>
      <c r="DU138" s="59">
        <f t="shared" si="152"/>
        <v>155.12737608540039</v>
      </c>
      <c r="DV138" s="15">
        <f>IF(ISNA(VLOOKUP(A138,'Données projet'!$A$165:$I$185,3,0)),0,VLOOKUP(A138,'Données projet'!$A$165:$I$185,3,0))</f>
        <v>11</v>
      </c>
      <c r="DW138" s="15">
        <f>IF(ISNA(VLOOKUP(A138,'Données projet'!$A$165:$I$185,4,0)),0,VLOOKUP(A138,'Données projet'!$A$165:$I$185,4,0))</f>
        <v>48</v>
      </c>
      <c r="DX138" s="16">
        <f>IF(ISNA(VLOOKUP(A138,'Données projet'!$A$165:$I$185,5,0)),0%,VLOOKUP(A138,'Données projet'!$A$165:$I$185,5,0)*VLOOKUP('Données projet'!$B$14,Paramètres!$A$1:$I$89,7,0))</f>
        <v>0.30099999999999999</v>
      </c>
      <c r="DY138" s="16">
        <f>IF(ISNA(VLOOKUP(A138,'Données projet'!$A$165:$I$185,6,0)),0%,VLOOKUP(A138,'Données projet'!$A$165:$I$185,6,0)*VLOOKUP('Données projet'!$B$14,Paramètres!$A$1:$I$89,7,0))</f>
        <v>4.3000000000000003E-2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42.276002159510725</v>
      </c>
      <c r="EB138" s="21">
        <f>EXP(-LN(2)/25)*EB137+(1-EXP(-LN(2)/25))/(LN(2)/25)*Calculateur!DW138*Calculateur!DY138*VLOOKUP('Données projet'!$B$14,Paramètres!$A$1:$I$89,3,0)*0.475*44/12</f>
        <v>14.773523540365682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57.049525699876405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-1.7053025658242404E-13</v>
      </c>
      <c r="EK138" s="17">
        <f>EJ138*VLOOKUP('Données projet'!$B$15,Paramètres!$A$1:$I$89,3,0)*VLOOKUP('Données projet'!$B$15,Paramètres!$A$1:$I$89,5,0)</f>
        <v>-1.1439169611549005E-13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178.09619481964575</v>
      </c>
      <c r="EP138" s="59">
        <f t="shared" si="154"/>
        <v>178.65167777495174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30.11921619266991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1.8484327541233095E-7</v>
      </c>
      <c r="EY138" s="22">
        <f t="shared" si="129"/>
        <v>30.119216377513187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-1.3567387213697657E-13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219.43439115440339</v>
      </c>
      <c r="FK138" s="59">
        <f t="shared" si="156"/>
        <v>217.8880462742099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35.722791298282914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2.1923272200067174E-7</v>
      </c>
      <c r="FT138" s="22">
        <f t="shared" si="132"/>
        <v>35.722791517515638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191.77102466144095</v>
      </c>
      <c r="GF138" s="59">
        <f t="shared" si="158"/>
        <v>205.57161411620217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26.316424996452422</v>
      </c>
      <c r="GM138" s="21">
        <f>EXP(-LN(2)/25)*GM137+(1-EXP(-LN(2)/25))/(LN(2)/25)*Calculateur!GH138*Calculateur!GJ138*VLOOKUP('Données projet'!$B$17,Paramètres!$A$1:$I$89,3,0)*0.475*44/12</f>
        <v>3.0389141376241726</v>
      </c>
      <c r="GN138" s="21">
        <f>EXP(-LN(2)/2)*GN137+(1-EXP(-LN(2)/2))/(LN(2)/2)*GH138*GK138*VLOOKUP('Données projet'!$B$17,Paramètres!$A$1:$I$89,3,0)*0.475*44/12</f>
        <v>2.2104231076874195E-10</v>
      </c>
      <c r="GO138" s="21">
        <f t="shared" si="135"/>
        <v>29.355339134297637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84.31577618130467</v>
      </c>
      <c r="T139" s="59">
        <f t="shared" si="142"/>
        <v>527.2140904310653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14.985370235138781</v>
      </c>
      <c r="AA139" s="21">
        <f>EXP(-LN(2)/25)*AA138+(1-EXP(-LN(2)/25))/(LN(2)/25)*Calculateur!V139*Calculateur!X139*VLOOKUP('Données projet'!$B$9,Paramètres!$A$1:$I$89,3,0)*0.475*44/12</f>
        <v>1.8653207489825732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16.850690984121353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5.833333333333333</v>
      </c>
      <c r="AI139" s="13">
        <f>IF('Données projet'!$A$62&gt;35,AI138+AH139-AQ138,IF(A139&lt;'Données projet'!$A$62,$AF$205^A139,IF(A139='Données projet'!$A$62,'Données projet'!$B$62,AI138+AH139-AQ138)))</f>
        <v>286.83333333333303</v>
      </c>
      <c r="AJ139" s="13">
        <f>AI139*VLOOKUP('Données projet'!$B$10,Paramètres!$A$1:$I$89,3,0)*VLOOKUP('Données projet'!$B$10,Paramètres!$A$1:$I$89,5,0)</f>
        <v>259.5267999999997</v>
      </c>
      <c r="AK139" s="13">
        <f t="shared" si="143"/>
        <v>62.621500147115839</v>
      </c>
      <c r="AL139" s="20">
        <f t="shared" si="112"/>
        <v>561.07495608955958</v>
      </c>
      <c r="AM139" s="59">
        <f t="shared" si="113"/>
        <v>854.40828942289295</v>
      </c>
      <c r="AN139" s="59">
        <f ca="1">AVERAGE(OFFSET($AM$3,0,0,'Données projet'!$E$10+1,1))-AVERAGE(OFFSET($H$3,0,0,'Données projet'!$E$10+1,1))</f>
        <v>297.90790572649428</v>
      </c>
      <c r="AO139" s="59">
        <f t="shared" si="144"/>
        <v>142.96889776844506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38.772995830527705</v>
      </c>
      <c r="AV139" s="21">
        <f>EXP(-LN(2)/25)*AV138+(1-EXP(-LN(2)/25))/(LN(2)/25)*Calculateur!AQ139*Calculateur!AS139*VLOOKUP('Données projet'!$B$10,Paramètres!$A$1:$I$89,3,0)*0.475*44/12</f>
        <v>13.442473616297022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52.215469446824727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5.833333333333333</v>
      </c>
      <c r="BD139" s="12">
        <f>IF('Données projet'!$A$88&gt;35,BD138+BC139-BL138,IF(A139&lt;'Données projet'!$A$88,$BA$205^A139,IF(A139='Données projet'!$A$88,'Données projet'!$B$88,BD138+BC139-BL138)))</f>
        <v>286.83333333333303</v>
      </c>
      <c r="BE139" s="13">
        <f>BD139*VLOOKUP('Données projet'!$B$11,Paramètres!$A$1:$I$89,3,0)*VLOOKUP('Données projet'!$B$11,Paramètres!$A$1:$I$89,5,0)</f>
        <v>290.84899999999971</v>
      </c>
      <c r="BF139" s="13">
        <f t="shared" si="145"/>
        <v>69.254617360454972</v>
      </c>
      <c r="BG139" s="20">
        <f t="shared" si="115"/>
        <v>627.18046690279186</v>
      </c>
      <c r="BH139" s="59">
        <f t="shared" si="116"/>
        <v>920.51380023612523</v>
      </c>
      <c r="BI139" s="59">
        <f ca="1">AVERAGE(OFFSET($BH$3,0,0,'Données projet'!$E$11+1,1))-AVERAGE(OFFSET($H$3,0,0,'Données projet'!$E$11+1,1))</f>
        <v>345.3294887586967</v>
      </c>
      <c r="BJ139" s="59">
        <f t="shared" si="146"/>
        <v>164.23448598618114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43.452495327315546</v>
      </c>
      <c r="BQ139" s="21">
        <f>EXP(-LN(2)/25)*BQ138+(1-EXP(-LN(2)/25))/(LN(2)/25)*Calculateur!BL139*Calculateur!BN139*VLOOKUP('Données projet'!$B$11,Paramètres!$A$1:$I$89,3,0)*0.475*44/12</f>
        <v>15.064841121712185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58.517336449027731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289.07218105343333</v>
      </c>
      <c r="CE139" s="59">
        <f t="shared" si="148"/>
        <v>217.57508587672368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54.77309598456926</v>
      </c>
      <c r="CL139" s="21">
        <f>EXP(-LN(2)/25)*CL138+(1-EXP(-LN(2)/25))/(LN(2)/25)*Calculateur!CG139*Calculateur!CI139*VLOOKUP('Données projet'!$B$12,Paramètres!$A$1:$I$89,3,0)*0.475*44/12</f>
        <v>15.773066637166844</v>
      </c>
      <c r="CM139" s="21">
        <f>EXP(-LN(2)/2)*CM138+(1-EXP(-LN(2)/2))/(LN(2)/2)*CG139*CJ139*VLOOKUP('Données projet'!$B$12,Paramètres!$A$1:$I$89,3,0)*0.475*44/12</f>
        <v>2.8877706091647874E-7</v>
      </c>
      <c r="CN139" s="22">
        <f t="shared" si="120"/>
        <v>70.546162910513161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1.7053025658242404E-13</v>
      </c>
      <c r="CU139" s="17">
        <f>CT139*VLOOKUP('Données projet'!$B$13,Paramètres!$A$1:$I$89,3,0)*VLOOKUP('Données projet'!$B$13,Paramètres!$A$1:$I$89,5,0)</f>
        <v>1.4897523215040567E-13</v>
      </c>
      <c r="CV139" s="13">
        <f t="shared" si="149"/>
        <v>2.136562777003313E-12</v>
      </c>
      <c r="CW139" s="20">
        <f t="shared" si="121"/>
        <v>3.9806453659427267E-12</v>
      </c>
      <c r="CX139" s="59">
        <f t="shared" si="122"/>
        <v>293.33333333333729</v>
      </c>
      <c r="CY139" s="59">
        <f ca="1">AVERAGE(OFFSET($CX$3,0,0,'Données projet'!$E$13+1,1))-AVERAGE(OFFSET($H$3,0,0,'Données projet'!$E$13+1,1))</f>
        <v>237.8483058552178</v>
      </c>
      <c r="CZ139" s="59">
        <f t="shared" si="150"/>
        <v>313.36201272119723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23.722316168965783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4.7952179990380974E-9</v>
      </c>
      <c r="DI139" s="22">
        <f t="shared" si="123"/>
        <v>23.722316173761001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5.833333333333333</v>
      </c>
      <c r="DO139" s="12">
        <f>IF('Données projet'!$A$166&gt;35,DO138+DN139-DW138,IF(A139&lt;'Données projet'!$A$166,$DL$205^A139,IF(A139='Données projet'!$A$166,'Données projet'!$B$166,DO138+DN139-DW138)))</f>
        <v>286.83333333333303</v>
      </c>
      <c r="DP139" s="17">
        <f>DO139*VLOOKUP('Données projet'!$B$14,Paramètres!$A$1:$I$89,3,0)*VLOOKUP('Données projet'!$B$14,Paramètres!$A$1:$I$89,5,0)</f>
        <v>277.42519999999973</v>
      </c>
      <c r="DQ139" s="13">
        <f t="shared" si="151"/>
        <v>66.422587410104214</v>
      </c>
      <c r="DR139" s="20">
        <f t="shared" si="124"/>
        <v>598.86822973926428</v>
      </c>
      <c r="DS139" s="59">
        <f t="shared" si="125"/>
        <v>892.20156307259754</v>
      </c>
      <c r="DT139" s="59">
        <f ca="1">AVERAGE(OFFSET($DS$3,0,0,'Données projet'!$E$14+1,1))-AVERAGE(OFFSET($H$3,0,0,'Données projet'!$E$14+1,1))</f>
        <v>325.01961068962373</v>
      </c>
      <c r="DU139" s="59">
        <f t="shared" si="152"/>
        <v>155.12737608540039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41.446995542977902</v>
      </c>
      <c r="EB139" s="21">
        <f>EXP(-LN(2)/25)*EB138+(1-EXP(-LN(2)/25))/(LN(2)/25)*Calculateur!DW139*Calculateur!DY139*VLOOKUP('Données projet'!$B$14,Paramètres!$A$1:$I$89,3,0)*0.475*44/12</f>
        <v>14.369540762248544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55.81653630522645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-1.7053025658242404E-13</v>
      </c>
      <c r="EK139" s="17">
        <f>EJ139*VLOOKUP('Données projet'!$B$15,Paramètres!$A$1:$I$89,3,0)*VLOOKUP('Données projet'!$B$15,Paramètres!$A$1:$I$89,5,0)</f>
        <v>-1.1439169611549005E-13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178.09619481964575</v>
      </c>
      <c r="EP139" s="59">
        <f t="shared" si="154"/>
        <v>178.65167777495174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29.528596734039553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1.3070393350079184E-7</v>
      </c>
      <c r="EY139" s="22">
        <f t="shared" si="129"/>
        <v>29.528596864743488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-1.3567387213697657E-13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219.43439115440339</v>
      </c>
      <c r="FK139" s="59">
        <f t="shared" si="156"/>
        <v>217.8880462742099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35.022289149674819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1.5502094438466019E-7</v>
      </c>
      <c r="FT139" s="22">
        <f t="shared" si="132"/>
        <v>35.022289304695761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191.77102466144095</v>
      </c>
      <c r="GF139" s="59">
        <f t="shared" si="158"/>
        <v>205.57161411620217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25.80037595370629</v>
      </c>
      <c r="GM139" s="21">
        <f>EXP(-LN(2)/25)*GM138+(1-EXP(-LN(2)/25))/(LN(2)/25)*Calculateur!GH139*Calculateur!GJ139*VLOOKUP('Données projet'!$B$17,Paramètres!$A$1:$I$89,3,0)*0.475*44/12</f>
        <v>2.9558148707212908</v>
      </c>
      <c r="GN139" s="21">
        <f>EXP(-LN(2)/2)*GN138+(1-EXP(-LN(2)/2))/(LN(2)/2)*GH139*GK139*VLOOKUP('Données projet'!$B$17,Paramètres!$A$1:$I$89,3,0)*0.475*44/12</f>
        <v>1.5630051687372165E-10</v>
      </c>
      <c r="GO139" s="21">
        <f t="shared" si="135"/>
        <v>28.756190824583882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84.31577618130467</v>
      </c>
      <c r="T140" s="59">
        <f t="shared" si="142"/>
        <v>527.2140904310653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14.691516265001036</v>
      </c>
      <c r="AA140" s="21">
        <f>EXP(-LN(2)/25)*AA139+(1-EXP(-LN(2)/25))/(LN(2)/25)*Calculateur!V140*Calculateur!X140*VLOOKUP('Données projet'!$B$9,Paramètres!$A$1:$I$89,3,0)*0.475*44/12</f>
        <v>1.8143134550086897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16.505829720009725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5.833333333333333</v>
      </c>
      <c r="AI140" s="13">
        <f>IF('Données projet'!$A$62&gt;35,AI139+AH140-AQ139,IF(A140&lt;'Données projet'!$A$62,$AF$205^A140,IF(A140='Données projet'!$A$62,'Données projet'!$B$62,AI139+AH140-AQ139)))</f>
        <v>292.66666666666634</v>
      </c>
      <c r="AJ140" s="13">
        <f>AI140*VLOOKUP('Données projet'!$B$10,Paramètres!$A$1:$I$89,3,0)*VLOOKUP('Données projet'!$B$10,Paramètres!$A$1:$I$89,5,0)</f>
        <v>264.80479999999972</v>
      </c>
      <c r="AK140" s="13">
        <f t="shared" si="143"/>
        <v>63.745473099622942</v>
      </c>
      <c r="AL140" s="20">
        <f t="shared" si="112"/>
        <v>572.22505898184272</v>
      </c>
      <c r="AM140" s="59">
        <f t="shared" si="113"/>
        <v>865.55839231517598</v>
      </c>
      <c r="AN140" s="59">
        <f ca="1">AVERAGE(OFFSET($AM$3,0,0,'Données projet'!$E$10+1,1))-AVERAGE(OFFSET($H$3,0,0,'Données projet'!$E$10+1,1))</f>
        <v>297.90790572649428</v>
      </c>
      <c r="AO140" s="59">
        <f t="shared" si="144"/>
        <v>142.96889776844506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38.012681031483346</v>
      </c>
      <c r="AV140" s="21">
        <f>EXP(-LN(2)/25)*AV139+(1-EXP(-LN(2)/25))/(LN(2)/25)*Calculateur!AQ140*Calculateur!AS140*VLOOKUP('Données projet'!$B$10,Paramètres!$A$1:$I$89,3,0)*0.475*44/12</f>
        <v>13.074888468350416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51.087569499833762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5.833333333333333</v>
      </c>
      <c r="BD140" s="12">
        <f>IF('Données projet'!$A$88&gt;35,BD139+BC140-BL139,IF(A140&lt;'Données projet'!$A$88,$BA$205^A140,IF(A140='Données projet'!$A$88,'Données projet'!$B$88,BD139+BC140-BL139)))</f>
        <v>292.66666666666634</v>
      </c>
      <c r="BE140" s="13">
        <f>BD140*VLOOKUP('Données projet'!$B$11,Paramètres!$A$1:$I$89,3,0)*VLOOKUP('Données projet'!$B$11,Paramètres!$A$1:$I$89,5,0)</f>
        <v>296.76399999999967</v>
      </c>
      <c r="BF140" s="13">
        <f t="shared" si="145"/>
        <v>70.497645977886805</v>
      </c>
      <c r="BG140" s="20">
        <f t="shared" si="115"/>
        <v>639.6473667448189</v>
      </c>
      <c r="BH140" s="59">
        <f t="shared" si="116"/>
        <v>932.98070007815227</v>
      </c>
      <c r="BI140" s="59">
        <f ca="1">AVERAGE(OFFSET($BH$3,0,0,'Données projet'!$E$11+1,1))-AVERAGE(OFFSET($H$3,0,0,'Données projet'!$E$11+1,1))</f>
        <v>345.3294887586967</v>
      </c>
      <c r="BJ140" s="59">
        <f t="shared" si="146"/>
        <v>164.23448598618114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42.600418397352044</v>
      </c>
      <c r="BQ140" s="21">
        <f>EXP(-LN(2)/25)*BQ139+(1-EXP(-LN(2)/25))/(LN(2)/25)*Calculateur!BL140*Calculateur!BN140*VLOOKUP('Données projet'!$B$11,Paramètres!$A$1:$I$89,3,0)*0.475*44/12</f>
        <v>14.652892249013401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57.253310646365449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289.07218105343333</v>
      </c>
      <c r="CE140" s="59">
        <f t="shared" si="148"/>
        <v>217.57508587672368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53.699028980601611</v>
      </c>
      <c r="CL140" s="21">
        <f>EXP(-LN(2)/25)*CL139+(1-EXP(-LN(2)/25))/(LN(2)/25)*Calculateur!CG140*Calculateur!CI140*VLOOKUP('Données projet'!$B$12,Paramètres!$A$1:$I$89,3,0)*0.475*44/12</f>
        <v>15.341751300503992</v>
      </c>
      <c r="CM140" s="21">
        <f>EXP(-LN(2)/2)*CM139+(1-EXP(-LN(2)/2))/(LN(2)/2)*CG140*CJ140*VLOOKUP('Données projet'!$B$12,Paramètres!$A$1:$I$89,3,0)*0.475*44/12</f>
        <v>2.0419621802516284E-7</v>
      </c>
      <c r="CN140" s="22">
        <f t="shared" si="120"/>
        <v>69.040780485301809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1.7053025658242404E-13</v>
      </c>
      <c r="CU140" s="17">
        <f>CT140*VLOOKUP('Données projet'!$B$13,Paramètres!$A$1:$I$89,3,0)*VLOOKUP('Données projet'!$B$13,Paramètres!$A$1:$I$89,5,0)</f>
        <v>1.4897523215040567E-13</v>
      </c>
      <c r="CV140" s="13">
        <f t="shared" si="149"/>
        <v>2.136562777003313E-12</v>
      </c>
      <c r="CW140" s="20">
        <f t="shared" si="121"/>
        <v>3.9806453659427267E-12</v>
      </c>
      <c r="CX140" s="59">
        <f t="shared" si="122"/>
        <v>293.33333333333729</v>
      </c>
      <c r="CY140" s="59">
        <f ca="1">AVERAGE(OFFSET($CX$3,0,0,'Données projet'!$E$13+1,1))-AVERAGE(OFFSET($H$3,0,0,'Données projet'!$E$13+1,1))</f>
        <v>237.8483058552178</v>
      </c>
      <c r="CZ140" s="59">
        <f t="shared" si="150"/>
        <v>313.36201272119723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23.257136018076515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3.3907311643876263E-9</v>
      </c>
      <c r="DI140" s="22">
        <f t="shared" si="123"/>
        <v>23.257136021467247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5.833333333333333</v>
      </c>
      <c r="DO140" s="12">
        <f>IF('Données projet'!$A$166&gt;35,DO139+DN140-DW139,IF(A140&lt;'Données projet'!$A$166,$DL$205^A140,IF(A140='Données projet'!$A$166,'Données projet'!$B$166,DO139+DN140-DW139)))</f>
        <v>292.66666666666634</v>
      </c>
      <c r="DP140" s="17">
        <f>DO140*VLOOKUP('Données projet'!$B$14,Paramètres!$A$1:$I$89,3,0)*VLOOKUP('Données projet'!$B$14,Paramètres!$A$1:$I$89,5,0)</f>
        <v>283.06719999999967</v>
      </c>
      <c r="DQ140" s="13">
        <f t="shared" si="151"/>
        <v>67.614784842441367</v>
      </c>
      <c r="DR140" s="20">
        <f t="shared" si="124"/>
        <v>610.7711236005847</v>
      </c>
      <c r="DS140" s="59">
        <f t="shared" si="125"/>
        <v>904.10445693391807</v>
      </c>
      <c r="DT140" s="59">
        <f ca="1">AVERAGE(OFFSET($DS$3,0,0,'Données projet'!$E$14+1,1))-AVERAGE(OFFSET($H$3,0,0,'Données projet'!$E$14+1,1))</f>
        <v>325.01961068962373</v>
      </c>
      <c r="DU140" s="59">
        <f t="shared" si="152"/>
        <v>155.12737608540039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40.634245240551174</v>
      </c>
      <c r="EB140" s="21">
        <f>EXP(-LN(2)/25)*EB139+(1-EXP(-LN(2)/25))/(LN(2)/25)*Calculateur!DW140*Calculateur!DY140*VLOOKUP('Données projet'!$B$14,Paramètres!$A$1:$I$89,3,0)*0.475*44/12</f>
        <v>13.97660491444355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54.610850154994722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-1.7053025658242404E-13</v>
      </c>
      <c r="EK140" s="17">
        <f>EJ140*VLOOKUP('Données projet'!$B$15,Paramètres!$A$1:$I$89,3,0)*VLOOKUP('Données projet'!$B$15,Paramètres!$A$1:$I$89,5,0)</f>
        <v>-1.1439169611549005E-13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178.09619481964575</v>
      </c>
      <c r="EP140" s="59">
        <f t="shared" si="154"/>
        <v>178.65167777495174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28.94955896275064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9.2421637706165477E-8</v>
      </c>
      <c r="EY140" s="22">
        <f t="shared" si="129"/>
        <v>28.949559055172276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-1.3567387213697657E-13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219.43439115440339</v>
      </c>
      <c r="FK140" s="59">
        <f t="shared" si="156"/>
        <v>217.8880462742099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34.335523420936802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1.0961636100033587E-7</v>
      </c>
      <c r="FT140" s="22">
        <f t="shared" si="132"/>
        <v>34.335523530553161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191.77102466144095</v>
      </c>
      <c r="GF140" s="59">
        <f t="shared" si="158"/>
        <v>205.57161411620217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25.294446317929573</v>
      </c>
      <c r="GM140" s="21">
        <f>EXP(-LN(2)/25)*GM139+(1-EXP(-LN(2)/25))/(LN(2)/25)*Calculateur!GH140*Calculateur!GJ140*VLOOKUP('Données projet'!$B$17,Paramètres!$A$1:$I$89,3,0)*0.475*44/12</f>
        <v>2.8749879576418684</v>
      </c>
      <c r="GN140" s="21">
        <f>EXP(-LN(2)/2)*GN139+(1-EXP(-LN(2)/2))/(LN(2)/2)*GH140*GK140*VLOOKUP('Données projet'!$B$17,Paramètres!$A$1:$I$89,3,0)*0.475*44/12</f>
        <v>1.1052115538437098E-10</v>
      </c>
      <c r="GO140" s="21">
        <f t="shared" si="135"/>
        <v>28.169434275681962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84.31577618130467</v>
      </c>
      <c r="T141" s="59">
        <f t="shared" si="142"/>
        <v>527.2140904310653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14.403424591984468</v>
      </c>
      <c r="AA141" s="21">
        <f>EXP(-LN(2)/25)*AA140+(1-EXP(-LN(2)/25))/(LN(2)/25)*Calculateur!V141*Calculateur!X141*VLOOKUP('Données projet'!$B$9,Paramètres!$A$1:$I$89,3,0)*0.475*44/12</f>
        <v>1.7647009581708792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16.168125550155349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5.833333333333333</v>
      </c>
      <c r="AI141" s="13">
        <f>IF('Données projet'!$A$62&gt;35,AI140+AH141-AQ140,IF(A141&lt;'Données projet'!$A$62,$AF$205^A141,IF(A141='Données projet'!$A$62,'Données projet'!$B$62,AI140+AH141-AQ140)))</f>
        <v>298.49999999999966</v>
      </c>
      <c r="AJ141" s="13">
        <f>AI141*VLOOKUP('Données projet'!$B$10,Paramètres!$A$1:$I$89,3,0)*VLOOKUP('Données projet'!$B$10,Paramètres!$A$1:$I$89,5,0)</f>
        <v>270.08279999999968</v>
      </c>
      <c r="AK141" s="13">
        <f t="shared" si="143"/>
        <v>64.866841223976678</v>
      </c>
      <c r="AL141" s="20">
        <f t="shared" si="112"/>
        <v>583.37062513175886</v>
      </c>
      <c r="AM141" s="59">
        <f t="shared" si="113"/>
        <v>876.70395846509223</v>
      </c>
      <c r="AN141" s="59">
        <f ca="1">AVERAGE(OFFSET($AM$3,0,0,'Données projet'!$E$10+1,1))-AVERAGE(OFFSET($H$3,0,0,'Données projet'!$E$10+1,1))</f>
        <v>297.90790572649428</v>
      </c>
      <c r="AO141" s="59">
        <f t="shared" si="144"/>
        <v>142.96889776844506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37.267275541902016</v>
      </c>
      <c r="AV141" s="21">
        <f>EXP(-LN(2)/25)*AV140+(1-EXP(-LN(2)/25))/(LN(2)/25)*Calculateur!AQ141*Calculateur!AS141*VLOOKUP('Données projet'!$B$10,Paramètres!$A$1:$I$89,3,0)*0.475*44/12</f>
        <v>12.717354955604872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49.984630497506885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5.833333333333333</v>
      </c>
      <c r="BD141" s="12">
        <f>IF('Données projet'!$A$88&gt;35,BD140+BC141-BL140,IF(A141&lt;'Données projet'!$A$88,$BA$205^A141,IF(A141='Données projet'!$A$88,'Données projet'!$B$88,BD140+BC141-BL140)))</f>
        <v>298.49999999999966</v>
      </c>
      <c r="BE141" s="13">
        <f>BD141*VLOOKUP('Données projet'!$B$11,Paramètres!$A$1:$I$89,3,0)*VLOOKUP('Données projet'!$B$11,Paramètres!$A$1:$I$89,5,0)</f>
        <v>302.67899999999969</v>
      </c>
      <c r="BF141" s="13">
        <f t="shared" si="145"/>
        <v>71.737793853454903</v>
      </c>
      <c r="BG141" s="20">
        <f t="shared" si="115"/>
        <v>652.10924929476664</v>
      </c>
      <c r="BH141" s="59">
        <f t="shared" si="116"/>
        <v>945.4425826280999</v>
      </c>
      <c r="BI141" s="59">
        <f ca="1">AVERAGE(OFFSET($BH$3,0,0,'Données projet'!$E$11+1,1))-AVERAGE(OFFSET($H$3,0,0,'Données projet'!$E$11+1,1))</f>
        <v>345.3294887586967</v>
      </c>
      <c r="BJ141" s="59">
        <f t="shared" si="146"/>
        <v>164.23448598618114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41.765050176269519</v>
      </c>
      <c r="BQ141" s="21">
        <f>EXP(-LN(2)/25)*BQ140+(1-EXP(-LN(2)/25))/(LN(2)/25)*Calculateur!BL141*Calculateur!BN141*VLOOKUP('Données projet'!$B$11,Paramètres!$A$1:$I$89,3,0)*0.475*44/12</f>
        <v>14.252208139902017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56.017258316171535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289.07218105343333</v>
      </c>
      <c r="CE141" s="59">
        <f t="shared" si="148"/>
        <v>217.57508587672368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52.646023775465586</v>
      </c>
      <c r="CL141" s="21">
        <f>EXP(-LN(2)/25)*CL140+(1-EXP(-LN(2)/25))/(LN(2)/25)*Calculateur!CG141*Calculateur!CI141*VLOOKUP('Données projet'!$B$12,Paramètres!$A$1:$I$89,3,0)*0.475*44/12</f>
        <v>14.922230304404072</v>
      </c>
      <c r="CM141" s="21">
        <f>EXP(-LN(2)/2)*CM140+(1-EXP(-LN(2)/2))/(LN(2)/2)*CG141*CJ141*VLOOKUP('Données projet'!$B$12,Paramètres!$A$1:$I$89,3,0)*0.475*44/12</f>
        <v>1.4438853045823937E-7</v>
      </c>
      <c r="CN141" s="22">
        <f t="shared" si="120"/>
        <v>67.568254224258197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1.7053025658242404E-13</v>
      </c>
      <c r="CU141" s="17">
        <f>CT141*VLOOKUP('Données projet'!$B$13,Paramètres!$A$1:$I$89,3,0)*VLOOKUP('Données projet'!$B$13,Paramètres!$A$1:$I$89,5,0)</f>
        <v>1.4897523215040567E-13</v>
      </c>
      <c r="CV141" s="13">
        <f t="shared" si="149"/>
        <v>2.136562777003313E-12</v>
      </c>
      <c r="CW141" s="20">
        <f t="shared" si="121"/>
        <v>3.9806453659427267E-12</v>
      </c>
      <c r="CX141" s="59">
        <f t="shared" si="122"/>
        <v>293.33333333333729</v>
      </c>
      <c r="CY141" s="59">
        <f ca="1">AVERAGE(OFFSET($CX$3,0,0,'Données projet'!$E$13+1,1))-AVERAGE(OFFSET($H$3,0,0,'Données projet'!$E$13+1,1))</f>
        <v>237.8483058552178</v>
      </c>
      <c r="CZ141" s="59">
        <f t="shared" si="150"/>
        <v>313.36201272119723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22.801077766214309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2.3976089995190487E-9</v>
      </c>
      <c r="DI141" s="22">
        <f t="shared" si="123"/>
        <v>22.801077768611918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5.833333333333333</v>
      </c>
      <c r="DO141" s="12">
        <f>IF('Données projet'!$A$166&gt;35,DO140+DN141-DW140,IF(A141&lt;'Données projet'!$A$166,$DL$205^A141,IF(A141='Données projet'!$A$166,'Données projet'!$B$166,DO140+DN141-DW140)))</f>
        <v>298.49999999999966</v>
      </c>
      <c r="DP141" s="17">
        <f>DO141*VLOOKUP('Données projet'!$B$14,Paramètres!$A$1:$I$89,3,0)*VLOOKUP('Données projet'!$B$14,Paramètres!$A$1:$I$89,5,0)</f>
        <v>288.70919999999967</v>
      </c>
      <c r="DQ141" s="13">
        <f t="shared" si="151"/>
        <v>68.804219335128479</v>
      </c>
      <c r="DR141" s="20">
        <f t="shared" si="124"/>
        <v>622.66920534201483</v>
      </c>
      <c r="DS141" s="59">
        <f t="shared" si="125"/>
        <v>916.00253867534821</v>
      </c>
      <c r="DT141" s="59">
        <f ca="1">AVERAGE(OFFSET($DS$3,0,0,'Données projet'!$E$14+1,1))-AVERAGE(OFFSET($H$3,0,0,'Données projet'!$E$14+1,1))</f>
        <v>325.01961068962373</v>
      </c>
      <c r="DU141" s="59">
        <f t="shared" si="152"/>
        <v>155.12737608540039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39.837432475826304</v>
      </c>
      <c r="EB141" s="21">
        <f>EXP(-LN(2)/25)*EB140+(1-EXP(-LN(2)/25))/(LN(2)/25)*Calculateur!DW141*Calculateur!DY141*VLOOKUP('Données projet'!$B$14,Paramètres!$A$1:$I$89,3,0)*0.475*44/12</f>
        <v>13.594413918060383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53.431846393886687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-1.7053025658242404E-13</v>
      </c>
      <c r="EK141" s="17">
        <f>EJ141*VLOOKUP('Données projet'!$B$15,Paramètres!$A$1:$I$89,3,0)*VLOOKUP('Données projet'!$B$15,Paramètres!$A$1:$I$89,5,0)</f>
        <v>-1.1439169611549005E-13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178.09619481964575</v>
      </c>
      <c r="EP141" s="59">
        <f t="shared" si="154"/>
        <v>178.65167777495174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28.381875768978535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6.5351966750395922E-8</v>
      </c>
      <c r="EY141" s="22">
        <f t="shared" si="129"/>
        <v>28.381875834330501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-1.3567387213697657E-13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219.43439115440339</v>
      </c>
      <c r="FK141" s="59">
        <f t="shared" si="156"/>
        <v>217.8880462742099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33.66222474925361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7.7510472192330096E-8</v>
      </c>
      <c r="FT141" s="22">
        <f t="shared" si="132"/>
        <v>33.662224826764081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191.77102466144095</v>
      </c>
      <c r="GF141" s="59">
        <f t="shared" si="158"/>
        <v>205.57161411620217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24.79843765372383</v>
      </c>
      <c r="GM141" s="21">
        <f>EXP(-LN(2)/25)*GM140+(1-EXP(-LN(2)/25))/(LN(2)/25)*Calculateur!GH141*Calculateur!GJ141*VLOOKUP('Données projet'!$B$17,Paramètres!$A$1:$I$89,3,0)*0.475*44/12</f>
        <v>2.7963712607511058</v>
      </c>
      <c r="GN141" s="21">
        <f>EXP(-LN(2)/2)*GN140+(1-EXP(-LN(2)/2))/(LN(2)/2)*GH141*GK141*VLOOKUP('Données projet'!$B$17,Paramètres!$A$1:$I$89,3,0)*0.475*44/12</f>
        <v>7.8150258436860826E-11</v>
      </c>
      <c r="GO141" s="21">
        <f t="shared" si="135"/>
        <v>27.594808914553084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84.31577618130467</v>
      </c>
      <c r="T142" s="59">
        <f t="shared" si="142"/>
        <v>527.2140904310653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14.120982220957185</v>
      </c>
      <c r="AA142" s="21">
        <f>EXP(-LN(2)/25)*AA141+(1-EXP(-LN(2)/25))/(LN(2)/25)*Calculateur!V142*Calculateur!X142*VLOOKUP('Données projet'!$B$9,Paramètres!$A$1:$I$89,3,0)*0.475*44/12</f>
        <v>1.7164451176681064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15.837427338625291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5.833333333333333</v>
      </c>
      <c r="AI142" s="13">
        <f>IF('Données projet'!$A$62&gt;35,AI141+AH142-AQ141,IF(A142&lt;'Données projet'!$A$62,$AF$205^A142,IF(A142='Données projet'!$A$62,'Données projet'!$B$62,AI141+AH142-AQ141)))</f>
        <v>304.33333333333297</v>
      </c>
      <c r="AJ142" s="13">
        <f>AI142*VLOOKUP('Données projet'!$B$10,Paramètres!$A$1:$I$89,3,0)*VLOOKUP('Données projet'!$B$10,Paramètres!$A$1:$I$89,5,0)</f>
        <v>275.3607999999997</v>
      </c>
      <c r="AK142" s="13">
        <f t="shared" si="143"/>
        <v>65.985661292059262</v>
      </c>
      <c r="AL142" s="20">
        <f t="shared" si="112"/>
        <v>594.51175341700264</v>
      </c>
      <c r="AM142" s="59">
        <f t="shared" si="113"/>
        <v>887.84508675033589</v>
      </c>
      <c r="AN142" s="59">
        <f ca="1">AVERAGE(OFFSET($AM$3,0,0,'Données projet'!$E$10+1,1))-AVERAGE(OFFSET($H$3,0,0,'Données projet'!$E$10+1,1))</f>
        <v>297.90790572649428</v>
      </c>
      <c r="AO142" s="59">
        <f t="shared" si="144"/>
        <v>142.96889776844506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36.536486999318917</v>
      </c>
      <c r="AV142" s="21">
        <f>EXP(-LN(2)/25)*AV141+(1-EXP(-LN(2)/25))/(LN(2)/25)*Calculateur!AQ142*Calculateur!AS142*VLOOKUP('Données projet'!$B$10,Paramètres!$A$1:$I$89,3,0)*0.475*44/12</f>
        <v>12.369598215567226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48.906085214886147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5.833333333333333</v>
      </c>
      <c r="BD142" s="12">
        <f>IF('Données projet'!$A$88&gt;35,BD141+BC142-BL141,IF(A142&lt;'Données projet'!$A$88,$BA$205^A142,IF(A142='Données projet'!$A$88,'Données projet'!$B$88,BD141+BC142-BL141)))</f>
        <v>304.33333333333297</v>
      </c>
      <c r="BE142" s="13">
        <f>BD142*VLOOKUP('Données projet'!$B$11,Paramètres!$A$1:$I$89,3,0)*VLOOKUP('Données projet'!$B$11,Paramètres!$A$1:$I$89,5,0)</f>
        <v>308.59399999999965</v>
      </c>
      <c r="BF142" s="13">
        <f t="shared" si="145"/>
        <v>72.975123772543753</v>
      </c>
      <c r="BG142" s="20">
        <f t="shared" si="115"/>
        <v>664.56622390384643</v>
      </c>
      <c r="BH142" s="59">
        <f t="shared" si="116"/>
        <v>957.89955723717981</v>
      </c>
      <c r="BI142" s="59">
        <f ca="1">AVERAGE(OFFSET($BH$3,0,0,'Données projet'!$E$11+1,1))-AVERAGE(OFFSET($H$3,0,0,'Données projet'!$E$11+1,1))</f>
        <v>345.3294887586967</v>
      </c>
      <c r="BJ142" s="59">
        <f t="shared" si="146"/>
        <v>164.23448598618114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40.946063016478114</v>
      </c>
      <c r="BQ142" s="21">
        <f>EXP(-LN(2)/25)*BQ141+(1-EXP(-LN(2)/25))/(LN(2)/25)*Calculateur!BL142*Calculateur!BN142*VLOOKUP('Données projet'!$B$11,Paramètres!$A$1:$I$89,3,0)*0.475*44/12</f>
        <v>13.862480758825344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54.808543775303455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289.07218105343333</v>
      </c>
      <c r="CE142" s="59">
        <f t="shared" si="148"/>
        <v>217.57508587672368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51.613667360132524</v>
      </c>
      <c r="CL142" s="21">
        <f>EXP(-LN(2)/25)*CL141+(1-EXP(-LN(2)/25))/(LN(2)/25)*Calculateur!CG142*Calculateur!CI142*VLOOKUP('Données projet'!$B$12,Paramètres!$A$1:$I$89,3,0)*0.475*44/12</f>
        <v>14.514181132004156</v>
      </c>
      <c r="CM142" s="21">
        <f>EXP(-LN(2)/2)*CM141+(1-EXP(-LN(2)/2))/(LN(2)/2)*CG142*CJ142*VLOOKUP('Données projet'!$B$12,Paramètres!$A$1:$I$89,3,0)*0.475*44/12</f>
        <v>1.0209810901258142E-7</v>
      </c>
      <c r="CN142" s="22">
        <f t="shared" si="120"/>
        <v>66.127848594234791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1.7053025658242404E-13</v>
      </c>
      <c r="CU142" s="17">
        <f>CT142*VLOOKUP('Données projet'!$B$13,Paramètres!$A$1:$I$89,3,0)*VLOOKUP('Données projet'!$B$13,Paramètres!$A$1:$I$89,5,0)</f>
        <v>1.4897523215040567E-13</v>
      </c>
      <c r="CV142" s="13">
        <f t="shared" si="149"/>
        <v>2.136562777003313E-12</v>
      </c>
      <c r="CW142" s="20">
        <f t="shared" si="121"/>
        <v>3.9806453659427267E-12</v>
      </c>
      <c r="CX142" s="59">
        <f t="shared" si="122"/>
        <v>293.33333333333729</v>
      </c>
      <c r="CY142" s="59">
        <f ca="1">AVERAGE(OFFSET($CX$3,0,0,'Données projet'!$E$13+1,1))-AVERAGE(OFFSET($H$3,0,0,'Données projet'!$E$13+1,1))</f>
        <v>237.8483058552178</v>
      </c>
      <c r="CZ142" s="59">
        <f t="shared" si="150"/>
        <v>313.36201272119723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22.353962538503055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1.6953655821938131E-9</v>
      </c>
      <c r="DI142" s="22">
        <f t="shared" si="123"/>
        <v>22.35396254019842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5.833333333333333</v>
      </c>
      <c r="DO142" s="12">
        <f>IF('Données projet'!$A$166&gt;35,DO141+DN142-DW141,IF(A142&lt;'Données projet'!$A$166,$DL$205^A142,IF(A142='Données projet'!$A$166,'Données projet'!$B$166,DO141+DN142-DW141)))</f>
        <v>304.33333333333297</v>
      </c>
      <c r="DP142" s="17">
        <f>DO142*VLOOKUP('Données projet'!$B$14,Paramètres!$A$1:$I$89,3,0)*VLOOKUP('Données projet'!$B$14,Paramètres!$A$1:$I$89,5,0)</f>
        <v>294.35119999999966</v>
      </c>
      <c r="DQ142" s="13">
        <f t="shared" si="151"/>
        <v>69.990951106066632</v>
      </c>
      <c r="DR142" s="20">
        <f t="shared" si="124"/>
        <v>634.56257984306546</v>
      </c>
      <c r="DS142" s="59">
        <f t="shared" si="125"/>
        <v>927.89591317639884</v>
      </c>
      <c r="DT142" s="59">
        <f ca="1">AVERAGE(OFFSET($DS$3,0,0,'Données projet'!$E$14+1,1))-AVERAGE(OFFSET($H$3,0,0,'Données projet'!$E$14+1,1))</f>
        <v>325.01961068962373</v>
      </c>
      <c r="DU142" s="59">
        <f t="shared" si="152"/>
        <v>155.12737608540039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39.05624472340989</v>
      </c>
      <c r="EB142" s="21">
        <f>EXP(-LN(2)/25)*EB141+(1-EXP(-LN(2)/25))/(LN(2)/25)*Calculateur!DW142*Calculateur!DY142*VLOOKUP('Données projet'!$B$14,Paramètres!$A$1:$I$89,3,0)*0.475*44/12</f>
        <v>13.222673954571864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52.27891867798175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-1.7053025658242404E-13</v>
      </c>
      <c r="EK142" s="17">
        <f>EJ142*VLOOKUP('Données projet'!$B$15,Paramètres!$A$1:$I$89,3,0)*VLOOKUP('Données projet'!$B$15,Paramètres!$A$1:$I$89,5,0)</f>
        <v>-1.1439169611549005E-13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178.09619481964575</v>
      </c>
      <c r="EP142" s="59">
        <f t="shared" si="154"/>
        <v>178.65167777495174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27.825324496383743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4.6210818853082739E-8</v>
      </c>
      <c r="EY142" s="22">
        <f t="shared" si="129"/>
        <v>27.825324542594561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-1.3567387213697657E-13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219.43439115440339</v>
      </c>
      <c r="FK142" s="59">
        <f t="shared" si="156"/>
        <v>217.8880462742099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33.002129053850481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5.4808180500167934E-8</v>
      </c>
      <c r="FT142" s="22">
        <f t="shared" si="132"/>
        <v>33.002129108658664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191.77102466144095</v>
      </c>
      <c r="GF142" s="59">
        <f t="shared" si="158"/>
        <v>205.57161411620217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24.312155416887752</v>
      </c>
      <c r="GM142" s="21">
        <f>EXP(-LN(2)/25)*GM141+(1-EXP(-LN(2)/25))/(LN(2)/25)*Calculateur!GH142*Calculateur!GJ142*VLOOKUP('Données projet'!$B$17,Paramètres!$A$1:$I$89,3,0)*0.475*44/12</f>
        <v>2.7199043415710933</v>
      </c>
      <c r="GN142" s="21">
        <f>EXP(-LN(2)/2)*GN141+(1-EXP(-LN(2)/2))/(LN(2)/2)*GH142*GK142*VLOOKUP('Données projet'!$B$17,Paramètres!$A$1:$I$89,3,0)*0.475*44/12</f>
        <v>5.5260577692185488E-11</v>
      </c>
      <c r="GO142" s="21">
        <f t="shared" si="135"/>
        <v>27.032059758514105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84.31577618130467</v>
      </c>
      <c r="T143" s="59">
        <f t="shared" si="142"/>
        <v>527.2140904310653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13.844078372552911</v>
      </c>
      <c r="AA143" s="21">
        <f>EXP(-LN(2)/25)*AA142+(1-EXP(-LN(2)/25))/(LN(2)/25)*Calculateur!V143*Calculateur!X143*VLOOKUP('Données projet'!$B$9,Paramètres!$A$1:$I$89,3,0)*0.475*44/12</f>
        <v>1.6695088356615462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15.513587208214457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5.833333333333333</v>
      </c>
      <c r="AI143" s="13">
        <f>IF('Données projet'!$A$62&gt;35,AI142+AH143-AQ142,IF(A143&lt;'Données projet'!$A$62,$AF$205^A143,IF(A143='Données projet'!$A$62,'Données projet'!$B$62,AI142+AH143-AQ142)))</f>
        <v>310.16666666666629</v>
      </c>
      <c r="AJ143" s="13">
        <f>AI143*VLOOKUP('Données projet'!$B$10,Paramètres!$A$1:$I$89,3,0)*VLOOKUP('Données projet'!$B$10,Paramètres!$A$1:$I$89,5,0)</f>
        <v>280.63879999999966</v>
      </c>
      <c r="AK143" s="13">
        <f t="shared" si="143"/>
        <v>67.101987774874374</v>
      </c>
      <c r="AL143" s="20">
        <f t="shared" si="112"/>
        <v>605.64853870790557</v>
      </c>
      <c r="AM143" s="59">
        <f t="shared" si="113"/>
        <v>898.98187204123883</v>
      </c>
      <c r="AN143" s="59">
        <f ca="1">AVERAGE(OFFSET($AM$3,0,0,'Données projet'!$E$10+1,1))-AVERAGE(OFFSET($H$3,0,0,'Données projet'!$E$10+1,1))</f>
        <v>297.90790572649428</v>
      </c>
      <c r="AO143" s="59">
        <f t="shared" si="144"/>
        <v>142.96889776844506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35.820028774318878</v>
      </c>
      <c r="AV143" s="21">
        <f>EXP(-LN(2)/25)*AV142+(1-EXP(-LN(2)/25))/(LN(2)/25)*Calculateur!AQ143*Calculateur!AS143*VLOOKUP('Données projet'!$B$10,Paramètres!$A$1:$I$89,3,0)*0.475*44/12</f>
        <v>12.03135090187364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47.851379676192522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5.833333333333333</v>
      </c>
      <c r="BD143" s="12">
        <f>IF('Données projet'!$A$88&gt;35,BD142+BC143-BL142,IF(A143&lt;'Données projet'!$A$88,$BA$205^A143,IF(A143='Données projet'!$A$88,'Données projet'!$B$88,BD142+BC143-BL142)))</f>
        <v>310.16666666666629</v>
      </c>
      <c r="BE143" s="13">
        <f>BD143*VLOOKUP('Données projet'!$B$11,Paramètres!$A$1:$I$89,3,0)*VLOOKUP('Données projet'!$B$11,Paramètres!$A$1:$I$89,5,0)</f>
        <v>314.50899999999962</v>
      </c>
      <c r="BF143" s="13">
        <f t="shared" si="145"/>
        <v>74.209695975941599</v>
      </c>
      <c r="BG143" s="20">
        <f t="shared" si="115"/>
        <v>677.01839549143097</v>
      </c>
      <c r="BH143" s="59">
        <f t="shared" si="116"/>
        <v>970.35172882476422</v>
      </c>
      <c r="BI143" s="59">
        <f ca="1">AVERAGE(OFFSET($BH$3,0,0,'Données projet'!$E$11+1,1))-AVERAGE(OFFSET($H$3,0,0,'Données projet'!$E$11+1,1))</f>
        <v>345.3294887586967</v>
      </c>
      <c r="BJ143" s="59">
        <f t="shared" si="146"/>
        <v>164.23448598618114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40.14313569535738</v>
      </c>
      <c r="BQ143" s="21">
        <f>EXP(-LN(2)/25)*BQ142+(1-EXP(-LN(2)/25))/(LN(2)/25)*Calculateur!BL143*Calculateur!BN143*VLOOKUP('Données projet'!$B$11,Paramètres!$A$1:$I$89,3,0)*0.475*44/12</f>
        <v>13.483410493479084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53.626546188836464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289.07218105343333</v>
      </c>
      <c r="CE143" s="59">
        <f t="shared" si="148"/>
        <v>217.57508587672368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50.601554824428902</v>
      </c>
      <c r="CL143" s="21">
        <f>EXP(-LN(2)/25)*CL142+(1-EXP(-LN(2)/25))/(LN(2)/25)*Calculateur!CG143*Calculateur!CI143*VLOOKUP('Données projet'!$B$12,Paramètres!$A$1:$I$89,3,0)*0.475*44/12</f>
        <v>14.117290085681889</v>
      </c>
      <c r="CM143" s="21">
        <f>EXP(-LN(2)/2)*CM142+(1-EXP(-LN(2)/2))/(LN(2)/2)*CG143*CJ143*VLOOKUP('Données projet'!$B$12,Paramètres!$A$1:$I$89,3,0)*0.475*44/12</f>
        <v>7.2194265229119685E-8</v>
      </c>
      <c r="CN143" s="22">
        <f t="shared" si="120"/>
        <v>64.718844982305058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1.7053025658242404E-13</v>
      </c>
      <c r="CU143" s="17">
        <f>CT143*VLOOKUP('Données projet'!$B$13,Paramètres!$A$1:$I$89,3,0)*VLOOKUP('Données projet'!$B$13,Paramètres!$A$1:$I$89,5,0)</f>
        <v>1.4897523215040567E-13</v>
      </c>
      <c r="CV143" s="13">
        <f t="shared" si="149"/>
        <v>2.136562777003313E-12</v>
      </c>
      <c r="CW143" s="20">
        <f t="shared" si="121"/>
        <v>3.9806453659427267E-12</v>
      </c>
      <c r="CX143" s="59">
        <f t="shared" si="122"/>
        <v>293.33333333333729</v>
      </c>
      <c r="CY143" s="59">
        <f ca="1">AVERAGE(OFFSET($CX$3,0,0,'Données projet'!$E$13+1,1))-AVERAGE(OFFSET($H$3,0,0,'Données projet'!$E$13+1,1))</f>
        <v>237.8483058552178</v>
      </c>
      <c r="CZ143" s="59">
        <f t="shared" si="150"/>
        <v>313.36201272119723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21.915614967693855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1.1988044997595244E-9</v>
      </c>
      <c r="DI143" s="22">
        <f t="shared" si="123"/>
        <v>21.915614968892658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5.833333333333333</v>
      </c>
      <c r="DO143" s="12">
        <f>IF('Données projet'!$A$166&gt;35,DO142+DN143-DW142,IF(A143&lt;'Données projet'!$A$166,$DL$205^A143,IF(A143='Données projet'!$A$166,'Données projet'!$B$166,DO142+DN143-DW142)))</f>
        <v>310.16666666666629</v>
      </c>
      <c r="DP143" s="17">
        <f>DO143*VLOOKUP('Données projet'!$B$14,Paramètres!$A$1:$I$89,3,0)*VLOOKUP('Données projet'!$B$14,Paramètres!$A$1:$I$89,5,0)</f>
        <v>299.9931999999996</v>
      </c>
      <c r="DQ143" s="13">
        <f t="shared" si="151"/>
        <v>71.175037932616732</v>
      </c>
      <c r="DR143" s="20">
        <f t="shared" si="124"/>
        <v>646.45134773263999</v>
      </c>
      <c r="DS143" s="59">
        <f t="shared" si="125"/>
        <v>939.78468106597325</v>
      </c>
      <c r="DT143" s="59">
        <f ca="1">AVERAGE(OFFSET($DS$3,0,0,'Données projet'!$E$14+1,1))-AVERAGE(OFFSET($H$3,0,0,'Données projet'!$E$14+1,1))</f>
        <v>325.01961068962373</v>
      </c>
      <c r="DU143" s="59">
        <f t="shared" si="152"/>
        <v>155.12737608540039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38.290375586340879</v>
      </c>
      <c r="EB143" s="21">
        <f>EXP(-LN(2)/25)*EB142+(1-EXP(-LN(2)/25))/(LN(2)/25)*Calculateur!DW143*Calculateur!DY143*VLOOKUP('Données projet'!$B$14,Paramètres!$A$1:$I$89,3,0)*0.475*44/12</f>
        <v>12.861099239933894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51.151474826274772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-1.7053025658242404E-13</v>
      </c>
      <c r="EK143" s="17">
        <f>EJ143*VLOOKUP('Données projet'!$B$15,Paramètres!$A$1:$I$89,3,0)*VLOOKUP('Données projet'!$B$15,Paramètres!$A$1:$I$89,5,0)</f>
        <v>-1.1439169611549005E-13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178.09619481964575</v>
      </c>
      <c r="EP143" s="59">
        <f t="shared" si="154"/>
        <v>178.65167777495174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27.279686854781776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3.2675983375197961E-8</v>
      </c>
      <c r="EY143" s="22">
        <f t="shared" si="129"/>
        <v>27.27968688745776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-1.3567387213697657E-13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219.43439115440339</v>
      </c>
      <c r="FK143" s="59">
        <f t="shared" si="156"/>
        <v>217.8880462742099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32.354977432415595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3.8755236096165048E-8</v>
      </c>
      <c r="FT143" s="22">
        <f t="shared" si="132"/>
        <v>32.354977471170834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191.77102466144095</v>
      </c>
      <c r="GF143" s="59">
        <f t="shared" si="158"/>
        <v>205.57161411620217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23.835408878113149</v>
      </c>
      <c r="GM143" s="21">
        <f>EXP(-LN(2)/25)*GM142+(1-EXP(-LN(2)/25))/(LN(2)/25)*Calculateur!GH143*Calculateur!GJ143*VLOOKUP('Données projet'!$B$17,Paramètres!$A$1:$I$89,3,0)*0.475*44/12</f>
        <v>2.6455284143172788</v>
      </c>
      <c r="GN143" s="21">
        <f>EXP(-LN(2)/2)*GN142+(1-EXP(-LN(2)/2))/(LN(2)/2)*GH143*GK143*VLOOKUP('Données projet'!$B$17,Paramètres!$A$1:$I$89,3,0)*0.475*44/12</f>
        <v>3.9075129218430413E-11</v>
      </c>
      <c r="GO143" s="21">
        <f t="shared" si="135"/>
        <v>26.480937292469505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84.31577618130467</v>
      </c>
      <c r="T144" s="59">
        <f t="shared" si="142"/>
        <v>527.2140904310653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13.572604439721175</v>
      </c>
      <c r="AA144" s="21">
        <f>EXP(-LN(2)/25)*AA143+(1-EXP(-LN(2)/25))/(LN(2)/25)*Calculateur!V144*Calculateur!X144*VLOOKUP('Données projet'!$B$9,Paramètres!$A$1:$I$89,3,0)*0.475*44/12</f>
        <v>1.6238560287547272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15.196460468475902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5.833333333333333</v>
      </c>
      <c r="AI144" s="13">
        <f>IF('Données projet'!$A$62&gt;35,AI143+AH144-AQ143,IF(A144&lt;'Données projet'!$A$62,$AF$205^A144,IF(A144='Données projet'!$A$62,'Données projet'!$B$62,AI143+AH144-AQ143)))</f>
        <v>315.9999999999996</v>
      </c>
      <c r="AJ144" s="13">
        <f>AI144*VLOOKUP('Données projet'!$B$10,Paramètres!$A$1:$I$89,3,0)*VLOOKUP('Données projet'!$B$10,Paramètres!$A$1:$I$89,5,0)</f>
        <v>285.91679999999963</v>
      </c>
      <c r="AK144" s="13">
        <f t="shared" si="143"/>
        <v>68.215872977287475</v>
      </c>
      <c r="AL144" s="20">
        <f t="shared" si="112"/>
        <v>616.78107210210828</v>
      </c>
      <c r="AM144" s="59">
        <f t="shared" si="113"/>
        <v>910.11440543544154</v>
      </c>
      <c r="AN144" s="59">
        <f ca="1">AVERAGE(OFFSET($AM$3,0,0,'Données projet'!$E$10+1,1))-AVERAGE(OFFSET($H$3,0,0,'Données projet'!$E$10+1,1))</f>
        <v>297.90790572649428</v>
      </c>
      <c r="AO144" s="59">
        <f t="shared" si="144"/>
        <v>142.96889776844506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35.117619858114722</v>
      </c>
      <c r="AV144" s="21">
        <f>EXP(-LN(2)/25)*AV143+(1-EXP(-LN(2)/25))/(LN(2)/25)*Calculateur!AQ144*Calculateur!AS144*VLOOKUP('Données projet'!$B$10,Paramètres!$A$1:$I$89,3,0)*0.475*44/12</f>
        <v>11.702352978760659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46.81997283687538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5.833333333333333</v>
      </c>
      <c r="BD144" s="12">
        <f>IF('Données projet'!$A$88&gt;35,BD143+BC144-BL143,IF(A144&lt;'Données projet'!$A$88,$BA$205^A144,IF(A144='Données projet'!$A$88,'Données projet'!$B$88,BD143+BC144-BL143)))</f>
        <v>315.9999999999996</v>
      </c>
      <c r="BE144" s="13">
        <f>BD144*VLOOKUP('Données projet'!$B$11,Paramètres!$A$1:$I$89,3,0)*VLOOKUP('Données projet'!$B$11,Paramètres!$A$1:$I$89,5,0)</f>
        <v>320.42399999999964</v>
      </c>
      <c r="BF144" s="13">
        <f t="shared" si="145"/>
        <v>75.441568308852254</v>
      </c>
      <c r="BG144" s="20">
        <f t="shared" si="115"/>
        <v>689.4658648045837</v>
      </c>
      <c r="BH144" s="59">
        <f t="shared" si="116"/>
        <v>982.79919813791707</v>
      </c>
      <c r="BI144" s="59">
        <f ca="1">AVERAGE(OFFSET($BH$3,0,0,'Données projet'!$E$11+1,1))-AVERAGE(OFFSET($H$3,0,0,'Données projet'!$E$11+1,1))</f>
        <v>345.3294887586967</v>
      </c>
      <c r="BJ144" s="59">
        <f t="shared" si="146"/>
        <v>164.23448598618114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39.355953289266516</v>
      </c>
      <c r="BQ144" s="21">
        <f>EXP(-LN(2)/25)*BQ143+(1-EXP(-LN(2)/25))/(LN(2)/25)*Calculateur!BL144*Calculateur!BN144*VLOOKUP('Données projet'!$B$11,Paramètres!$A$1:$I$89,3,0)*0.475*44/12</f>
        <v>13.114705924473158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52.470659213739673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289.07218105343333</v>
      </c>
      <c r="CE144" s="59">
        <f t="shared" si="148"/>
        <v>217.57508587672368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49.60928919822274</v>
      </c>
      <c r="CL144" s="21">
        <f>EXP(-LN(2)/25)*CL143+(1-EXP(-LN(2)/25))/(LN(2)/25)*Calculateur!CG144*Calculateur!CI144*VLOOKUP('Données projet'!$B$12,Paramètres!$A$1:$I$89,3,0)*0.475*44/12</f>
        <v>13.731252045892898</v>
      </c>
      <c r="CM144" s="21">
        <f>EXP(-LN(2)/2)*CM143+(1-EXP(-LN(2)/2))/(LN(2)/2)*CG144*CJ144*VLOOKUP('Données projet'!$B$12,Paramètres!$A$1:$I$89,3,0)*0.475*44/12</f>
        <v>5.104905450629071E-8</v>
      </c>
      <c r="CN144" s="22">
        <f t="shared" si="120"/>
        <v>63.340541295164698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1.7053025658242404E-13</v>
      </c>
      <c r="CU144" s="17">
        <f>CT144*VLOOKUP('Données projet'!$B$13,Paramètres!$A$1:$I$89,3,0)*VLOOKUP('Données projet'!$B$13,Paramètres!$A$1:$I$89,5,0)</f>
        <v>1.4897523215040567E-13</v>
      </c>
      <c r="CV144" s="13">
        <f t="shared" si="149"/>
        <v>2.136562777003313E-12</v>
      </c>
      <c r="CW144" s="20">
        <f t="shared" si="121"/>
        <v>3.9806453659427267E-12</v>
      </c>
      <c r="CX144" s="59">
        <f t="shared" si="122"/>
        <v>293.33333333333729</v>
      </c>
      <c r="CY144" s="59">
        <f ca="1">AVERAGE(OFFSET($CX$3,0,0,'Données projet'!$E$13+1,1))-AVERAGE(OFFSET($H$3,0,0,'Données projet'!$E$13+1,1))</f>
        <v>237.8483058552178</v>
      </c>
      <c r="CZ144" s="59">
        <f t="shared" si="150"/>
        <v>313.36201272119723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21.485863125382608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8.4768279109690656E-10</v>
      </c>
      <c r="DI144" s="22">
        <f t="shared" si="123"/>
        <v>21.485863126230289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5.833333333333333</v>
      </c>
      <c r="DO144" s="12">
        <f>IF('Données projet'!$A$166&gt;35,DO143+DN144-DW143,IF(A144&lt;'Données projet'!$A$166,$DL$205^A144,IF(A144='Données projet'!$A$166,'Données projet'!$B$166,DO143+DN144-DW143)))</f>
        <v>315.9999999999996</v>
      </c>
      <c r="DP144" s="17">
        <f>DO144*VLOOKUP('Données projet'!$B$14,Paramètres!$A$1:$I$89,3,0)*VLOOKUP('Données projet'!$B$14,Paramètres!$A$1:$I$89,5,0)</f>
        <v>305.63519999999966</v>
      </c>
      <c r="DQ144" s="13">
        <f t="shared" si="151"/>
        <v>72.356535294517755</v>
      </c>
      <c r="DR144" s="20">
        <f t="shared" si="124"/>
        <v>658.33560563795118</v>
      </c>
      <c r="DS144" s="59">
        <f t="shared" si="125"/>
        <v>951.66893897128443</v>
      </c>
      <c r="DT144" s="59">
        <f ca="1">AVERAGE(OFFSET($DS$3,0,0,'Données projet'!$E$14+1,1))-AVERAGE(OFFSET($H$3,0,0,'Données projet'!$E$14+1,1))</f>
        <v>325.01961068962373</v>
      </c>
      <c r="DU144" s="59">
        <f t="shared" si="152"/>
        <v>155.12737608540039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37.539524675915743</v>
      </c>
      <c r="EB144" s="21">
        <f>EXP(-LN(2)/25)*EB143+(1-EXP(-LN(2)/25))/(LN(2)/25)*Calculateur!DW144*Calculateur!DY144*VLOOKUP('Données projet'!$B$14,Paramètres!$A$1:$I$89,3,0)*0.475*44/12</f>
        <v>12.509411804882088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50.048936480797835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-1.7053025658242404E-13</v>
      </c>
      <c r="EK144" s="17">
        <f>EJ144*VLOOKUP('Données projet'!$B$15,Paramètres!$A$1:$I$89,3,0)*VLOOKUP('Données projet'!$B$15,Paramètres!$A$1:$I$89,5,0)</f>
        <v>-1.1439169611549005E-13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178.09619481964575</v>
      </c>
      <c r="EP144" s="59">
        <f t="shared" si="154"/>
        <v>178.65167777495174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26.744748834525524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2.3105409426541369E-8</v>
      </c>
      <c r="EY144" s="22">
        <f t="shared" si="129"/>
        <v>26.744748857630935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-1.3567387213697657E-13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219.43439115440339</v>
      </c>
      <c r="FK144" s="59">
        <f t="shared" si="156"/>
        <v>217.8880462742099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31.720516059553532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2.7404090250083967E-8</v>
      </c>
      <c r="FT144" s="22">
        <f t="shared" si="132"/>
        <v>31.720516086957623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191.77102466144095</v>
      </c>
      <c r="GF144" s="59">
        <f t="shared" si="158"/>
        <v>205.57161411620217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23.368011048177241</v>
      </c>
      <c r="GM144" s="21">
        <f>EXP(-LN(2)/25)*GM143+(1-EXP(-LN(2)/25))/(LN(2)/25)*Calculateur!GH144*Calculateur!GJ144*VLOOKUP('Données projet'!$B$17,Paramètres!$A$1:$I$89,3,0)*0.475*44/12</f>
        <v>2.5731863007054798</v>
      </c>
      <c r="GN144" s="21">
        <f>EXP(-LN(2)/2)*GN143+(1-EXP(-LN(2)/2))/(LN(2)/2)*GH144*GK144*VLOOKUP('Données projet'!$B$17,Paramètres!$A$1:$I$89,3,0)*0.475*44/12</f>
        <v>2.7630288846092744E-11</v>
      </c>
      <c r="GO144" s="21">
        <f t="shared" si="135"/>
        <v>25.94119734891035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84.31577618130467</v>
      </c>
      <c r="T145" s="59">
        <f t="shared" si="142"/>
        <v>527.2140904310653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13.306453945129521</v>
      </c>
      <c r="AA145" s="21">
        <f>EXP(-LN(2)/25)*AA144+(1-EXP(-LN(2)/25))/(LN(2)/25)*Calculateur!V145*Calculateur!X145*VLOOKUP('Données projet'!$B$9,Paramètres!$A$1:$I$89,3,0)*0.475*44/12</f>
        <v>1.5794516002535521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14.885905545383073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5.833333333333333</v>
      </c>
      <c r="AI145" s="13">
        <f>IF('Données projet'!$A$62&gt;35,AI144+AH145-AQ144,IF(A145&lt;'Données projet'!$A$62,$AF$205^A145,IF(A145='Données projet'!$A$62,'Données projet'!$B$62,AI144+AH145-AQ144)))</f>
        <v>321.83333333333292</v>
      </c>
      <c r="AJ145" s="13">
        <f>AI145*VLOOKUP('Données projet'!$B$10,Paramètres!$A$1:$I$89,3,0)*VLOOKUP('Données projet'!$B$10,Paramètres!$A$1:$I$89,5,0)</f>
        <v>291.19479999999959</v>
      </c>
      <c r="AK145" s="13">
        <f t="shared" si="143"/>
        <v>69.327367162534287</v>
      </c>
      <c r="AL145" s="20">
        <f t="shared" si="112"/>
        <v>627.90944114141314</v>
      </c>
      <c r="AM145" s="59">
        <f t="shared" si="113"/>
        <v>921.24277447474651</v>
      </c>
      <c r="AN145" s="59">
        <f ca="1">AVERAGE(OFFSET($AM$3,0,0,'Données projet'!$E$10+1,1))-AVERAGE(OFFSET($H$3,0,0,'Données projet'!$E$10+1,1))</f>
        <v>297.90790572649428</v>
      </c>
      <c r="AO145" s="59">
        <f t="shared" si="144"/>
        <v>142.96889776844506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34.428984752330194</v>
      </c>
      <c r="AV145" s="21">
        <f>EXP(-LN(2)/25)*AV144+(1-EXP(-LN(2)/25))/(LN(2)/25)*Calculateur!AQ145*Calculateur!AS145*VLOOKUP('Données projet'!$B$10,Paramètres!$A$1:$I$89,3,0)*0.475*44/12</f>
        <v>11.382351521156453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45.811336273486646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5.833333333333333</v>
      </c>
      <c r="BD145" s="12">
        <f>IF('Données projet'!$A$88&gt;35,BD144+BC145-BL144,IF(A145&lt;'Données projet'!$A$88,$BA$205^A145,IF(A145='Données projet'!$A$88,'Données projet'!$B$88,BD144+BC145-BL144)))</f>
        <v>321.83333333333292</v>
      </c>
      <c r="BE145" s="13">
        <f>BD145*VLOOKUP('Données projet'!$B$11,Paramètres!$A$1:$I$89,3,0)*VLOOKUP('Données projet'!$B$11,Paramètres!$A$1:$I$89,5,0)</f>
        <v>326.3389999999996</v>
      </c>
      <c r="BF145" s="13">
        <f t="shared" si="145"/>
        <v>76.670796358592341</v>
      </c>
      <c r="BG145" s="20">
        <f t="shared" si="115"/>
        <v>701.90872865788094</v>
      </c>
      <c r="BH145" s="59">
        <f t="shared" si="116"/>
        <v>995.24206199121431</v>
      </c>
      <c r="BI145" s="59">
        <f ca="1">AVERAGE(OFFSET($BH$3,0,0,'Données projet'!$E$11+1,1))-AVERAGE(OFFSET($H$3,0,0,'Données projet'!$E$11+1,1))</f>
        <v>345.3294887586967</v>
      </c>
      <c r="BJ145" s="59">
        <f t="shared" si="146"/>
        <v>164.23448598618114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38.584207050025235</v>
      </c>
      <c r="BQ145" s="21">
        <f>EXP(-LN(2)/25)*BQ144+(1-EXP(-LN(2)/25))/(LN(2)/25)*Calculateur!BL145*Calculateur!BN145*VLOOKUP('Données projet'!$B$11,Paramètres!$A$1:$I$89,3,0)*0.475*44/12</f>
        <v>12.75608360129603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51.340290651321268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289.07218105343333</v>
      </c>
      <c r="CE145" s="59">
        <f t="shared" si="148"/>
        <v>217.57508587672368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48.636481295724209</v>
      </c>
      <c r="CL145" s="21">
        <f>EXP(-LN(2)/25)*CL144+(1-EXP(-LN(2)/25))/(LN(2)/25)*Calculateur!CG145*Calculateur!CI145*VLOOKUP('Données projet'!$B$12,Paramètres!$A$1:$I$89,3,0)*0.475*44/12</f>
        <v>13.355770236602794</v>
      </c>
      <c r="CM145" s="21">
        <f>EXP(-LN(2)/2)*CM144+(1-EXP(-LN(2)/2))/(LN(2)/2)*CG145*CJ145*VLOOKUP('Données projet'!$B$12,Paramètres!$A$1:$I$89,3,0)*0.475*44/12</f>
        <v>3.6097132614559843E-8</v>
      </c>
      <c r="CN145" s="22">
        <f t="shared" si="120"/>
        <v>61.992251568424138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1.7053025658242404E-13</v>
      </c>
      <c r="CU145" s="17">
        <f>CT145*VLOOKUP('Données projet'!$B$13,Paramètres!$A$1:$I$89,3,0)*VLOOKUP('Données projet'!$B$13,Paramètres!$A$1:$I$89,5,0)</f>
        <v>1.4897523215040567E-13</v>
      </c>
      <c r="CV145" s="13">
        <f t="shared" si="149"/>
        <v>2.136562777003313E-12</v>
      </c>
      <c r="CW145" s="20">
        <f t="shared" si="121"/>
        <v>3.9806453659427267E-12</v>
      </c>
      <c r="CX145" s="59">
        <f t="shared" si="122"/>
        <v>293.33333333333729</v>
      </c>
      <c r="CY145" s="59">
        <f ca="1">AVERAGE(OFFSET($CX$3,0,0,'Données projet'!$E$13+1,1))-AVERAGE(OFFSET($H$3,0,0,'Données projet'!$E$13+1,1))</f>
        <v>237.8483058552178</v>
      </c>
      <c r="CZ145" s="59">
        <f t="shared" si="150"/>
        <v>313.36201272119723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21.064538454576343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5.9940224987976218E-10</v>
      </c>
      <c r="DI145" s="22">
        <f t="shared" si="123"/>
        <v>21.064538455175747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5.833333333333333</v>
      </c>
      <c r="DO145" s="12">
        <f>IF('Données projet'!$A$166&gt;35,DO144+DN145-DW144,IF(A145&lt;'Données projet'!$A$166,$DL$205^A145,IF(A145='Données projet'!$A$166,'Données projet'!$B$166,DO144+DN145-DW144)))</f>
        <v>321.83333333333292</v>
      </c>
      <c r="DP145" s="17">
        <f>DO145*VLOOKUP('Données projet'!$B$14,Paramètres!$A$1:$I$89,3,0)*VLOOKUP('Données projet'!$B$14,Paramètres!$A$1:$I$89,5,0)</f>
        <v>311.2771999999996</v>
      </c>
      <c r="DQ145" s="13">
        <f t="shared" si="151"/>
        <v>73.535496505953745</v>
      </c>
      <c r="DR145" s="20">
        <f t="shared" si="124"/>
        <v>670.21544641453545</v>
      </c>
      <c r="DS145" s="59">
        <f t="shared" si="125"/>
        <v>963.54877974786882</v>
      </c>
      <c r="DT145" s="59">
        <f ca="1">AVERAGE(OFFSET($DS$3,0,0,'Données projet'!$E$14+1,1))-AVERAGE(OFFSET($H$3,0,0,'Données projet'!$E$14+1,1))</f>
        <v>325.01961068962373</v>
      </c>
      <c r="DU145" s="59">
        <f t="shared" si="152"/>
        <v>155.12737608540039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36.803397493870214</v>
      </c>
      <c r="EB145" s="21">
        <f>EXP(-LN(2)/25)*EB144+(1-EXP(-LN(2)/25))/(LN(2)/25)*Calculateur!DW145*Calculateur!DY145*VLOOKUP('Données projet'!$B$14,Paramètres!$A$1:$I$89,3,0)*0.475*44/12</f>
        <v>12.167341281236212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48.970738775106426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-1.7053025658242404E-13</v>
      </c>
      <c r="EK145" s="17">
        <f>EJ145*VLOOKUP('Données projet'!$B$15,Paramètres!$A$1:$I$89,3,0)*VLOOKUP('Données projet'!$B$15,Paramètres!$A$1:$I$89,5,0)</f>
        <v>-1.1439169611549005E-13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178.09619481964575</v>
      </c>
      <c r="EP145" s="59">
        <f t="shared" si="154"/>
        <v>178.65167777495174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26.220300622566523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1.6337991687598981E-8</v>
      </c>
      <c r="EY145" s="22">
        <f t="shared" si="129"/>
        <v>26.220300638904515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-1.3567387213697657E-13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219.43439115440339</v>
      </c>
      <c r="FK145" s="59">
        <f t="shared" si="156"/>
        <v>217.8880462742099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31.098496087230068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1.9377618048082524E-8</v>
      </c>
      <c r="FT145" s="22">
        <f t="shared" si="132"/>
        <v>31.098496106607687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191.77102466144095</v>
      </c>
      <c r="GF145" s="59">
        <f t="shared" si="158"/>
        <v>205.57161411620217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22.909778604601851</v>
      </c>
      <c r="GM145" s="21">
        <f>EXP(-LN(2)/25)*GM144+(1-EXP(-LN(2)/25))/(LN(2)/25)*Calculateur!GH145*Calculateur!GJ145*VLOOKUP('Données projet'!$B$17,Paramètres!$A$1:$I$89,3,0)*0.475*44/12</f>
        <v>2.5028223859947021</v>
      </c>
      <c r="GN145" s="21">
        <f>EXP(-LN(2)/2)*GN144+(1-EXP(-LN(2)/2))/(LN(2)/2)*GH145*GK145*VLOOKUP('Données projet'!$B$17,Paramètres!$A$1:$I$89,3,0)*0.475*44/12</f>
        <v>1.9537564609215206E-11</v>
      </c>
      <c r="GO145" s="21">
        <f t="shared" si="135"/>
        <v>25.412600990616088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84.31577618130467</v>
      </c>
      <c r="T146" s="59">
        <f t="shared" si="142"/>
        <v>527.2140904310653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13.045522499401036</v>
      </c>
      <c r="AA146" s="21">
        <f>EXP(-LN(2)/25)*AA145+(1-EXP(-LN(2)/25))/(LN(2)/25)*Calculateur!V146*Calculateur!X146*VLOOKUP('Données projet'!$B$9,Paramètres!$A$1:$I$89,3,0)*0.475*44/12</f>
        <v>1.5362614131848691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14.581783912585905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5.833333333333333</v>
      </c>
      <c r="AI146" s="13">
        <f>IF('Données projet'!$A$62&gt;35,AI145+AH146-AQ145,IF(A146&lt;'Données projet'!$A$62,$AF$205^A146,IF(A146='Données projet'!$A$62,'Données projet'!$B$62,AI145+AH146-AQ145)))</f>
        <v>327.66666666666623</v>
      </c>
      <c r="AJ146" s="13">
        <f>AI146*VLOOKUP('Données projet'!$B$10,Paramètres!$A$1:$I$89,3,0)*VLOOKUP('Données projet'!$B$10,Paramètres!$A$1:$I$89,5,0)</f>
        <v>296.47279999999961</v>
      </c>
      <c r="AK146" s="13">
        <f t="shared" si="143"/>
        <v>70.436518667447842</v>
      </c>
      <c r="AL146" s="20">
        <f t="shared" si="112"/>
        <v>639.03373001247098</v>
      </c>
      <c r="AM146" s="59">
        <f t="shared" si="113"/>
        <v>932.36706334580435</v>
      </c>
      <c r="AN146" s="59">
        <f ca="1">AVERAGE(OFFSET($AM$3,0,0,'Données projet'!$E$10+1,1))-AVERAGE(OFFSET($H$3,0,0,'Données projet'!$E$10+1,1))</f>
        <v>297.90790572649428</v>
      </c>
      <c r="AO146" s="59">
        <f t="shared" si="144"/>
        <v>142.96889776844506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33.753853360944156</v>
      </c>
      <c r="AV146" s="21">
        <f>EXP(-LN(2)/25)*AV145+(1-EXP(-LN(2)/25))/(LN(2)/25)*Calculateur!AQ146*Calculateur!AS146*VLOOKUP('Données projet'!$B$10,Paramètres!$A$1:$I$89,3,0)*0.475*44/12</f>
        <v>11.071100520238579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44.824953881182736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5.833333333333333</v>
      </c>
      <c r="BD146" s="12">
        <f>IF('Données projet'!$A$88&gt;35,BD145+BC146-BL145,IF(A146&lt;'Données projet'!$A$88,$BA$205^A146,IF(A146='Données projet'!$A$88,'Données projet'!$B$88,BD145+BC146-BL145)))</f>
        <v>327.66666666666623</v>
      </c>
      <c r="BE146" s="13">
        <f>BD146*VLOOKUP('Données projet'!$B$11,Paramètres!$A$1:$I$89,3,0)*VLOOKUP('Données projet'!$B$11,Paramètres!$A$1:$I$89,5,0)</f>
        <v>332.25399999999956</v>
      </c>
      <c r="BF146" s="13">
        <f t="shared" si="145"/>
        <v>77.897433582023652</v>
      </c>
      <c r="BG146" s="20">
        <f t="shared" si="115"/>
        <v>714.34708015535705</v>
      </c>
      <c r="BH146" s="59">
        <f t="shared" si="116"/>
        <v>1007.6804134886904</v>
      </c>
      <c r="BI146" s="59">
        <f ca="1">AVERAGE(OFFSET($BH$3,0,0,'Données projet'!$E$11+1,1))-AVERAGE(OFFSET($H$3,0,0,'Données projet'!$E$11+1,1))</f>
        <v>345.3294887586967</v>
      </c>
      <c r="BJ146" s="59">
        <f t="shared" si="146"/>
        <v>164.23448598618114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37.827594283816744</v>
      </c>
      <c r="BQ146" s="21">
        <f>EXP(-LN(2)/25)*BQ145+(1-EXP(-LN(2)/25))/(LN(2)/25)*Calculateur!BL146*Calculateur!BN146*VLOOKUP('Données projet'!$B$11,Paramètres!$A$1:$I$89,3,0)*0.475*44/12</f>
        <v>12.407267824405308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50.234862108222053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289.07218105343333</v>
      </c>
      <c r="CE146" s="59">
        <f t="shared" si="148"/>
        <v>217.57508587672368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47.68274956283944</v>
      </c>
      <c r="CL146" s="21">
        <f>EXP(-LN(2)/25)*CL145+(1-EXP(-LN(2)/25))/(LN(2)/25)*Calculateur!CG146*Calculateur!CI146*VLOOKUP('Données projet'!$B$12,Paramètres!$A$1:$I$89,3,0)*0.475*44/12</f>
        <v>12.990555997133459</v>
      </c>
      <c r="CM146" s="21">
        <f>EXP(-LN(2)/2)*CM145+(1-EXP(-LN(2)/2))/(LN(2)/2)*CG146*CJ146*VLOOKUP('Données projet'!$B$12,Paramètres!$A$1:$I$89,3,0)*0.475*44/12</f>
        <v>2.5524527253145355E-8</v>
      </c>
      <c r="CN146" s="22">
        <f t="shared" si="120"/>
        <v>60.673305585497431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1.7053025658242404E-13</v>
      </c>
      <c r="CU146" s="17">
        <f>CT146*VLOOKUP('Données projet'!$B$13,Paramètres!$A$1:$I$89,3,0)*VLOOKUP('Données projet'!$B$13,Paramètres!$A$1:$I$89,5,0)</f>
        <v>1.4897523215040567E-13</v>
      </c>
      <c r="CV146" s="13">
        <f t="shared" si="149"/>
        <v>2.136562777003313E-12</v>
      </c>
      <c r="CW146" s="20">
        <f t="shared" si="121"/>
        <v>3.9806453659427267E-12</v>
      </c>
      <c r="CX146" s="59">
        <f t="shared" si="122"/>
        <v>293.33333333333729</v>
      </c>
      <c r="CY146" s="59">
        <f ca="1">AVERAGE(OFFSET($CX$3,0,0,'Données projet'!$E$13+1,1))-AVERAGE(OFFSET($H$3,0,0,'Données projet'!$E$13+1,1))</f>
        <v>237.8483058552178</v>
      </c>
      <c r="CZ146" s="59">
        <f t="shared" si="150"/>
        <v>313.36201272119723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20.651475703581916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4.2384139554845328E-10</v>
      </c>
      <c r="DI146" s="22">
        <f t="shared" si="123"/>
        <v>20.651475704005758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5.833333333333333</v>
      </c>
      <c r="DO146" s="12">
        <f>IF('Données projet'!$A$166&gt;35,DO145+DN146-DW145,IF(A146&lt;'Données projet'!$A$166,$DL$205^A146,IF(A146='Données projet'!$A$166,'Données projet'!$B$166,DO145+DN146-DW145)))</f>
        <v>327.66666666666623</v>
      </c>
      <c r="DP146" s="17">
        <f>DO146*VLOOKUP('Données projet'!$B$14,Paramètres!$A$1:$I$89,3,0)*VLOOKUP('Données projet'!$B$14,Paramètres!$A$1:$I$89,5,0)</f>
        <v>316.91919999999959</v>
      </c>
      <c r="DQ146" s="13">
        <f t="shared" si="151"/>
        <v>74.711972837774141</v>
      </c>
      <c r="DR146" s="20">
        <f t="shared" si="124"/>
        <v>682.09095935912262</v>
      </c>
      <c r="DS146" s="59">
        <f t="shared" si="125"/>
        <v>975.42429269245599</v>
      </c>
      <c r="DT146" s="59">
        <f ca="1">AVERAGE(OFFSET($DS$3,0,0,'Données projet'!$E$14+1,1))-AVERAGE(OFFSET($H$3,0,0,'Données projet'!$E$14+1,1))</f>
        <v>325.01961068962373</v>
      </c>
      <c r="DU146" s="59">
        <f t="shared" si="152"/>
        <v>155.12737608540039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36.08170531687135</v>
      </c>
      <c r="EB146" s="21">
        <f>EXP(-LN(2)/25)*EB145+(1-EXP(-LN(2)/25))/(LN(2)/25)*Calculateur!DW146*Calculateur!DY146*VLOOKUP('Données projet'!$B$14,Paramètres!$A$1:$I$89,3,0)*0.475*44/12</f>
        <v>11.834624694048138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47.916330010919488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-1.7053025658242404E-13</v>
      </c>
      <c r="EK146" s="17">
        <f>EJ146*VLOOKUP('Données projet'!$B$15,Paramètres!$A$1:$I$89,3,0)*VLOOKUP('Données projet'!$B$15,Paramètres!$A$1:$I$89,5,0)</f>
        <v>-1.1439169611549005E-13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178.09619481964575</v>
      </c>
      <c r="EP146" s="59">
        <f t="shared" si="154"/>
        <v>178.65167777495174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25.706136520162215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1.1552704713270685E-8</v>
      </c>
      <c r="EY146" s="22">
        <f t="shared" si="129"/>
        <v>25.706136531714918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-1.3567387213697657E-13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219.43439115440339</v>
      </c>
      <c r="FK146" s="59">
        <f t="shared" si="156"/>
        <v>217.8880462742099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30.488673547169142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1.3702045125041984E-8</v>
      </c>
      <c r="FT146" s="22">
        <f t="shared" si="132"/>
        <v>30.488673560871188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191.77102466144095</v>
      </c>
      <c r="GF146" s="59">
        <f t="shared" si="158"/>
        <v>205.57161411620217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22.460531819750781</v>
      </c>
      <c r="GM146" s="21">
        <f>EXP(-LN(2)/25)*GM145+(1-EXP(-LN(2)/25))/(LN(2)/25)*Calculateur!GH146*Calculateur!GJ146*VLOOKUP('Données projet'!$B$17,Paramètres!$A$1:$I$89,3,0)*0.475*44/12</f>
        <v>2.4343825762319677</v>
      </c>
      <c r="GN146" s="21">
        <f>EXP(-LN(2)/2)*GN145+(1-EXP(-LN(2)/2))/(LN(2)/2)*GH146*GK146*VLOOKUP('Données projet'!$B$17,Paramètres!$A$1:$I$89,3,0)*0.475*44/12</f>
        <v>1.3815144423046372E-11</v>
      </c>
      <c r="GO146" s="21">
        <f t="shared" si="135"/>
        <v>24.894914395996565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84.31577618130467</v>
      </c>
      <c r="T147" s="59">
        <f t="shared" si="142"/>
        <v>527.2140904310653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12.78970776017082</v>
      </c>
      <c r="AA147" s="21">
        <f>EXP(-LN(2)/25)*AA146+(1-EXP(-LN(2)/25))/(LN(2)/25)*Calculateur!V147*Calculateur!X147*VLOOKUP('Données projet'!$B$9,Paramètres!$A$1:$I$89,3,0)*0.475*44/12</f>
        <v>1.4942522640528524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14.283960024223672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5.833333333333333</v>
      </c>
      <c r="AI147" s="13">
        <f>IF('Données projet'!$A$62&gt;35,AI146+AH147-AQ146,IF(A147&lt;'Données projet'!$A$62,$AF$205^A147,IF(A147='Données projet'!$A$62,'Données projet'!$B$62,AI146+AH147-AQ146)))</f>
        <v>333.49999999999955</v>
      </c>
      <c r="AJ147" s="13">
        <f>AI147*VLOOKUP('Données projet'!$B$10,Paramètres!$A$1:$I$89,3,0)*VLOOKUP('Données projet'!$B$10,Paramètres!$A$1:$I$89,5,0)</f>
        <v>301.75079999999957</v>
      </c>
      <c r="AK147" s="13">
        <f t="shared" si="143"/>
        <v>71.543374009247273</v>
      </c>
      <c r="AL147" s="20">
        <f t="shared" si="112"/>
        <v>650.15401973277153</v>
      </c>
      <c r="AM147" s="59">
        <f t="shared" si="113"/>
        <v>943.48735306610479</v>
      </c>
      <c r="AN147" s="59">
        <f ca="1">AVERAGE(OFFSET($AM$3,0,0,'Données projet'!$E$10+1,1))-AVERAGE(OFFSET($H$3,0,0,'Données projet'!$E$10+1,1))</f>
        <v>297.90790572649428</v>
      </c>
      <c r="AO147" s="59">
        <f t="shared" si="144"/>
        <v>142.96889776844506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33.091960884353711</v>
      </c>
      <c r="AV147" s="21">
        <f>EXP(-LN(2)/25)*AV146+(1-EXP(-LN(2)/25))/(LN(2)/25)*Calculateur!AQ147*Calculateur!AS147*VLOOKUP('Données projet'!$B$10,Paramètres!$A$1:$I$89,3,0)*0.475*44/12</f>
        <v>10.768360694308782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43.860321578662493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5.833333333333333</v>
      </c>
      <c r="BD147" s="12">
        <f>IF('Données projet'!$A$88&gt;35,BD146+BC147-BL146,IF(A147&lt;'Données projet'!$A$88,$BA$205^A147,IF(A147='Données projet'!$A$88,'Données projet'!$B$88,BD146+BC147-BL146)))</f>
        <v>333.49999999999955</v>
      </c>
      <c r="BE147" s="13">
        <f>BD147*VLOOKUP('Données projet'!$B$11,Paramètres!$A$1:$I$89,3,0)*VLOOKUP('Données projet'!$B$11,Paramètres!$A$1:$I$89,5,0)</f>
        <v>338.16899999999958</v>
      </c>
      <c r="BF147" s="13">
        <f t="shared" si="145"/>
        <v>79.121531423653366</v>
      </c>
      <c r="BG147" s="20">
        <f t="shared" si="115"/>
        <v>726.78100889619554</v>
      </c>
      <c r="BH147" s="59">
        <f t="shared" si="116"/>
        <v>1020.1143422295288</v>
      </c>
      <c r="BI147" s="59">
        <f ca="1">AVERAGE(OFFSET($BH$3,0,0,'Données projet'!$E$11+1,1))-AVERAGE(OFFSET($H$3,0,0,'Données projet'!$E$11+1,1))</f>
        <v>345.3294887586967</v>
      </c>
      <c r="BJ147" s="59">
        <f t="shared" si="146"/>
        <v>164.23448598618114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37.085818232465385</v>
      </c>
      <c r="BQ147" s="21">
        <f>EXP(-LN(2)/25)*BQ146+(1-EXP(-LN(2)/25))/(LN(2)/25)*Calculateur!BL147*Calculateur!BN147*VLOOKUP('Données projet'!$B$11,Paramètres!$A$1:$I$89,3,0)*0.475*44/12</f>
        <v>12.067990433277087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49.153808665742474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289.07218105343333</v>
      </c>
      <c r="CE147" s="59">
        <f t="shared" si="148"/>
        <v>217.57508587672368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46.747719927517622</v>
      </c>
      <c r="CL147" s="21">
        <f>EXP(-LN(2)/25)*CL146+(1-EXP(-LN(2)/25))/(LN(2)/25)*Calculateur!CG147*Calculateur!CI147*VLOOKUP('Données projet'!$B$12,Paramètres!$A$1:$I$89,3,0)*0.475*44/12</f>
        <v>12.635328560248196</v>
      </c>
      <c r="CM147" s="21">
        <f>EXP(-LN(2)/2)*CM146+(1-EXP(-LN(2)/2))/(LN(2)/2)*CG147*CJ147*VLOOKUP('Données projet'!$B$12,Paramètres!$A$1:$I$89,3,0)*0.475*44/12</f>
        <v>1.8048566307279921E-8</v>
      </c>
      <c r="CN147" s="22">
        <f t="shared" si="120"/>
        <v>59.383048505814386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1.7053025658242404E-13</v>
      </c>
      <c r="CU147" s="17">
        <f>CT147*VLOOKUP('Données projet'!$B$13,Paramètres!$A$1:$I$89,3,0)*VLOOKUP('Données projet'!$B$13,Paramètres!$A$1:$I$89,5,0)</f>
        <v>1.4897523215040567E-13</v>
      </c>
      <c r="CV147" s="13">
        <f t="shared" si="149"/>
        <v>2.136562777003313E-12</v>
      </c>
      <c r="CW147" s="20">
        <f t="shared" si="121"/>
        <v>3.9806453659427267E-12</v>
      </c>
      <c r="CX147" s="59">
        <f t="shared" si="122"/>
        <v>293.33333333333729</v>
      </c>
      <c r="CY147" s="59">
        <f ca="1">AVERAGE(OFFSET($CX$3,0,0,'Données projet'!$E$13+1,1))-AVERAGE(OFFSET($H$3,0,0,'Données projet'!$E$13+1,1))</f>
        <v>237.8483058552178</v>
      </c>
      <c r="CZ147" s="59">
        <f t="shared" si="150"/>
        <v>313.36201272119723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20.246512861191086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2.9970112493988109E-10</v>
      </c>
      <c r="DI147" s="22">
        <f t="shared" si="123"/>
        <v>20.246512861490785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5.833333333333333</v>
      </c>
      <c r="DO147" s="12">
        <f>IF('Données projet'!$A$166&gt;35,DO146+DN147-DW146,IF(A147&lt;'Données projet'!$A$166,$DL$205^A147,IF(A147='Données projet'!$A$166,'Données projet'!$B$166,DO146+DN147-DW146)))</f>
        <v>333.49999999999955</v>
      </c>
      <c r="DP147" s="17">
        <f>DO147*VLOOKUP('Données projet'!$B$14,Paramètres!$A$1:$I$89,3,0)*VLOOKUP('Données projet'!$B$14,Paramètres!$A$1:$I$89,5,0)</f>
        <v>322.56119999999959</v>
      </c>
      <c r="DQ147" s="13">
        <f t="shared" si="151"/>
        <v>75.886013630765319</v>
      </c>
      <c r="DR147" s="20">
        <f t="shared" si="124"/>
        <v>693.96223040691564</v>
      </c>
      <c r="DS147" s="59">
        <f t="shared" si="125"/>
        <v>987.29556374024901</v>
      </c>
      <c r="DT147" s="59">
        <f ca="1">AVERAGE(OFFSET($DS$3,0,0,'Données projet'!$E$14+1,1))-AVERAGE(OFFSET($H$3,0,0,'Données projet'!$E$14+1,1))</f>
        <v>325.01961068962373</v>
      </c>
      <c r="DU147" s="59">
        <f t="shared" si="152"/>
        <v>155.12737608540039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35.374165083274669</v>
      </c>
      <c r="EB147" s="21">
        <f>EXP(-LN(2)/25)*EB146+(1-EXP(-LN(2)/25))/(LN(2)/25)*Calculateur!DW147*Calculateur!DY147*VLOOKUP('Données projet'!$B$14,Paramètres!$A$1:$I$89,3,0)*0.475*44/12</f>
        <v>11.511006259433527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46.885171342708198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-1.7053025658242404E-13</v>
      </c>
      <c r="EK147" s="17">
        <f>EJ147*VLOOKUP('Données projet'!$B$15,Paramètres!$A$1:$I$89,3,0)*VLOOKUP('Données projet'!$B$15,Paramètres!$A$1:$I$89,5,0)</f>
        <v>-1.1439169611549005E-13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178.09619481964575</v>
      </c>
      <c r="EP147" s="59">
        <f t="shared" si="154"/>
        <v>178.65167777495174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25.20205486219692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8.1689958437994903E-9</v>
      </c>
      <c r="EY147" s="22">
        <f t="shared" si="129"/>
        <v>25.202054870365917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-1.3567387213697657E-13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219.43439115440339</v>
      </c>
      <c r="FK147" s="59">
        <f t="shared" si="156"/>
        <v>217.8880462742099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29.890809255163791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9.688809024041262E-9</v>
      </c>
      <c r="FT147" s="22">
        <f t="shared" si="132"/>
        <v>29.890809264852599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191.77102466144095</v>
      </c>
      <c r="GF147" s="59">
        <f t="shared" si="158"/>
        <v>205.57161411620217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22.020094490337158</v>
      </c>
      <c r="GM147" s="21">
        <f>EXP(-LN(2)/25)*GM146+(1-EXP(-LN(2)/25))/(LN(2)/25)*Calculateur!GH147*Calculateur!GJ147*VLOOKUP('Données projet'!$B$17,Paramètres!$A$1:$I$89,3,0)*0.475*44/12</f>
        <v>2.3678142566662888</v>
      </c>
      <c r="GN147" s="21">
        <f>EXP(-LN(2)/2)*GN146+(1-EXP(-LN(2)/2))/(LN(2)/2)*GH147*GK147*VLOOKUP('Données projet'!$B$17,Paramètres!$A$1:$I$89,3,0)*0.475*44/12</f>
        <v>9.7687823046076032E-12</v>
      </c>
      <c r="GO147" s="21">
        <f t="shared" si="135"/>
        <v>24.387908747013217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84.31577618130467</v>
      </c>
      <c r="T148" s="59">
        <f t="shared" si="142"/>
        <v>527.2140904310653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12.538909391945325</v>
      </c>
      <c r="AA148" s="21">
        <f>EXP(-LN(2)/25)*AA147+(1-EXP(-LN(2)/25))/(LN(2)/25)*Calculateur!V148*Calculateur!X148*VLOOKUP('Données projet'!$B$9,Paramètres!$A$1:$I$89,3,0)*0.475*44/12</f>
        <v>1.4533918573130158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13.99230124925834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5.833333333333333</v>
      </c>
      <c r="AI148" s="13">
        <f>IF('Données projet'!$A$62&gt;35,AI147+AH148-AQ147,IF(A148&lt;'Données projet'!$A$62,$AF$205^A148,IF(A148='Données projet'!$A$62,'Données projet'!$B$62,AI147+AH148-AQ147)))</f>
        <v>339.33333333333286</v>
      </c>
      <c r="AJ148" s="13">
        <f>AI148*VLOOKUP('Données projet'!$B$10,Paramètres!$A$1:$I$89,3,0)*VLOOKUP('Données projet'!$B$10,Paramètres!$A$1:$I$89,5,0)</f>
        <v>307.02879999999959</v>
      </c>
      <c r="AK148" s="13">
        <f t="shared" si="143"/>
        <v>72.64797798464383</v>
      </c>
      <c r="AL148" s="20">
        <f t="shared" si="112"/>
        <v>661.270388323254</v>
      </c>
      <c r="AM148" s="59">
        <f t="shared" si="113"/>
        <v>954.60372165658737</v>
      </c>
      <c r="AN148" s="59">
        <f ca="1">AVERAGE(OFFSET($AM$3,0,0,'Données projet'!$E$10+1,1))-AVERAGE(OFFSET($H$3,0,0,'Données projet'!$E$10+1,1))</f>
        <v>297.90790572649428</v>
      </c>
      <c r="AO148" s="59">
        <f t="shared" si="144"/>
        <v>142.96889776844506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32.443047715514659</v>
      </c>
      <c r="AV148" s="21">
        <f>EXP(-LN(2)/25)*AV147+(1-EXP(-LN(2)/25))/(LN(2)/25)*Calculateur!AQ148*Calculateur!AS148*VLOOKUP('Données projet'!$B$10,Paramètres!$A$1:$I$89,3,0)*0.475*44/12</f>
        <v>10.473899304839431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42.916947020354087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5.833333333333333</v>
      </c>
      <c r="BD148" s="12">
        <f>IF('Données projet'!$A$88&gt;35,BD147+BC148-BL147,IF(A148&lt;'Données projet'!$A$88,$BA$205^A148,IF(A148='Données projet'!$A$88,'Données projet'!$B$88,BD147+BC148-BL147)))</f>
        <v>339.33333333333286</v>
      </c>
      <c r="BE148" s="13">
        <f>BD148*VLOOKUP('Données projet'!$B$11,Paramètres!$A$1:$I$89,3,0)*VLOOKUP('Données projet'!$B$11,Paramètres!$A$1:$I$89,5,0)</f>
        <v>344.08399999999955</v>
      </c>
      <c r="BF148" s="13">
        <f t="shared" si="145"/>
        <v>80.343139425237538</v>
      </c>
      <c r="BG148" s="20">
        <f t="shared" si="115"/>
        <v>739.21060116562137</v>
      </c>
      <c r="BH148" s="59">
        <f t="shared" si="116"/>
        <v>1032.5439344989547</v>
      </c>
      <c r="BI148" s="59">
        <f ca="1">AVERAGE(OFFSET($BH$3,0,0,'Données projet'!$E$11+1,1))-AVERAGE(OFFSET($H$3,0,0,'Données projet'!$E$11+1,1))</f>
        <v>345.3294887586967</v>
      </c>
      <c r="BJ148" s="59">
        <f t="shared" si="146"/>
        <v>164.23448598618114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36.35858795704231</v>
      </c>
      <c r="BQ148" s="21">
        <f>EXP(-LN(2)/25)*BQ147+(1-EXP(-LN(2)/25))/(LN(2)/25)*Calculateur!BL148*Calculateur!BN148*VLOOKUP('Données projet'!$B$11,Paramètres!$A$1:$I$89,3,0)*0.475*44/12</f>
        <v>11.73799060025109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48.096578557293398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289.07218105343333</v>
      </c>
      <c r="CE148" s="59">
        <f t="shared" si="148"/>
        <v>217.57508587672368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45.831025653032704</v>
      </c>
      <c r="CL148" s="21">
        <f>EXP(-LN(2)/25)*CL147+(1-EXP(-LN(2)/25))/(LN(2)/25)*Calculateur!CG148*Calculateur!CI148*VLOOKUP('Données projet'!$B$12,Paramètres!$A$1:$I$89,3,0)*0.475*44/12</f>
        <v>12.289814836305158</v>
      </c>
      <c r="CM148" s="21">
        <f>EXP(-LN(2)/2)*CM147+(1-EXP(-LN(2)/2))/(LN(2)/2)*CG148*CJ148*VLOOKUP('Données projet'!$B$12,Paramètres!$A$1:$I$89,3,0)*0.475*44/12</f>
        <v>1.2762263626572678E-8</v>
      </c>
      <c r="CN148" s="22">
        <f t="shared" si="120"/>
        <v>58.12084050210013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1.7053025658242404E-13</v>
      </c>
      <c r="CU148" s="17">
        <f>CT148*VLOOKUP('Données projet'!$B$13,Paramètres!$A$1:$I$89,3,0)*VLOOKUP('Données projet'!$B$13,Paramètres!$A$1:$I$89,5,0)</f>
        <v>1.4897523215040567E-13</v>
      </c>
      <c r="CV148" s="13">
        <f t="shared" si="149"/>
        <v>2.136562777003313E-12</v>
      </c>
      <c r="CW148" s="20">
        <f t="shared" si="121"/>
        <v>3.9806453659427267E-12</v>
      </c>
      <c r="CX148" s="59">
        <f t="shared" si="122"/>
        <v>293.33333333333729</v>
      </c>
      <c r="CY148" s="59">
        <f ca="1">AVERAGE(OFFSET($CX$3,0,0,'Données projet'!$E$13+1,1))-AVERAGE(OFFSET($H$3,0,0,'Données projet'!$E$13+1,1))</f>
        <v>237.8483058552178</v>
      </c>
      <c r="CZ148" s="59">
        <f t="shared" si="150"/>
        <v>313.36201272119723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19.849491093136596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2.1192069777422664E-10</v>
      </c>
      <c r="DI148" s="22">
        <f t="shared" si="123"/>
        <v>19.849491093348515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5.833333333333333</v>
      </c>
      <c r="DO148" s="12">
        <f>IF('Données projet'!$A$166&gt;35,DO147+DN148-DW147,IF(A148&lt;'Données projet'!$A$166,$DL$205^A148,IF(A148='Données projet'!$A$166,'Données projet'!$B$166,DO147+DN148-DW147)))</f>
        <v>339.33333333333286</v>
      </c>
      <c r="DP148" s="17">
        <f>DO148*VLOOKUP('Données projet'!$B$14,Paramètres!$A$1:$I$89,3,0)*VLOOKUP('Données projet'!$B$14,Paramètres!$A$1:$I$89,5,0)</f>
        <v>328.20319999999953</v>
      </c>
      <c r="DQ148" s="13">
        <f t="shared" si="151"/>
        <v>77.05766640077168</v>
      </c>
      <c r="DR148" s="20">
        <f t="shared" si="124"/>
        <v>705.82934231467641</v>
      </c>
      <c r="DS148" s="59">
        <f t="shared" si="125"/>
        <v>999.16267564800978</v>
      </c>
      <c r="DT148" s="59">
        <f ca="1">AVERAGE(OFFSET($DS$3,0,0,'Données projet'!$E$14+1,1))-AVERAGE(OFFSET($H$3,0,0,'Données projet'!$E$14+1,1))</f>
        <v>325.01961068962373</v>
      </c>
      <c r="DU148" s="59">
        <f t="shared" si="152"/>
        <v>155.12737608540039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34.680499282101891</v>
      </c>
      <c r="EB148" s="21">
        <f>EXP(-LN(2)/25)*EB147+(1-EXP(-LN(2)/25))/(LN(2)/25)*Calculateur!DW148*Calculateur!DY148*VLOOKUP('Données projet'!$B$14,Paramètres!$A$1:$I$89,3,0)*0.475*44/12</f>
        <v>11.196237187931807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45.876736470033698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-1.7053025658242404E-13</v>
      </c>
      <c r="EK148" s="17">
        <f>EJ148*VLOOKUP('Données projet'!$B$15,Paramètres!$A$1:$I$89,3,0)*VLOOKUP('Données projet'!$B$15,Paramètres!$A$1:$I$89,5,0)</f>
        <v>-1.1439169611549005E-13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178.09619481964575</v>
      </c>
      <c r="EP148" s="59">
        <f t="shared" si="154"/>
        <v>178.65167777495174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24.707857938084871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5.7763523566353423E-9</v>
      </c>
      <c r="EY148" s="22">
        <f t="shared" si="129"/>
        <v>24.707857943861224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-1.3567387213697657E-13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219.43439115440339</v>
      </c>
      <c r="FK148" s="59">
        <f t="shared" si="156"/>
        <v>217.8880462742099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29.304668717263453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6.8510225625209918E-9</v>
      </c>
      <c r="FT148" s="22">
        <f t="shared" si="132"/>
        <v>29.304668724114475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191.77102466144095</v>
      </c>
      <c r="GF148" s="59">
        <f t="shared" si="158"/>
        <v>205.57161411620217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21.588293868313091</v>
      </c>
      <c r="GM148" s="21">
        <f>EXP(-LN(2)/25)*GM147+(1-EXP(-LN(2)/25))/(LN(2)/25)*Calculateur!GH148*Calculateur!GJ148*VLOOKUP('Données projet'!$B$17,Paramètres!$A$1:$I$89,3,0)*0.475*44/12</f>
        <v>2.3030662512998092</v>
      </c>
      <c r="GN148" s="21">
        <f>EXP(-LN(2)/2)*GN147+(1-EXP(-LN(2)/2))/(LN(2)/2)*GH148*GK148*VLOOKUP('Données projet'!$B$17,Paramètres!$A$1:$I$89,3,0)*0.475*44/12</f>
        <v>6.907572211523186E-12</v>
      </c>
      <c r="GO148" s="21">
        <f t="shared" si="135"/>
        <v>23.891360119619808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84.31577618130467</v>
      </c>
      <c r="T149" s="59">
        <f t="shared" si="142"/>
        <v>527.2140904310653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12.293029026748831</v>
      </c>
      <c r="AA149" s="21">
        <f>EXP(-LN(2)/25)*AA148+(1-EXP(-LN(2)/25))/(LN(2)/25)*Calculateur!V149*Calculateur!X149*VLOOKUP('Données projet'!$B$9,Paramètres!$A$1:$I$89,3,0)*0.475*44/12</f>
        <v>1.4136487805442353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13.706677807293067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5.833333333333333</v>
      </c>
      <c r="AI149" s="13">
        <f>IF('Données projet'!$A$62&gt;35,AI148+AH149-AQ148,IF(A149&lt;'Données projet'!$A$62,$AF$205^A149,IF(A149='Données projet'!$A$62,'Données projet'!$B$62,AI148+AH149-AQ148)))</f>
        <v>345.16666666666617</v>
      </c>
      <c r="AJ149" s="13">
        <f>AI149*VLOOKUP('Données projet'!$B$10,Paramètres!$A$1:$I$89,3,0)*VLOOKUP('Données projet'!$B$10,Paramètres!$A$1:$I$89,5,0)</f>
        <v>312.30679999999955</v>
      </c>
      <c r="AK149" s="13">
        <f t="shared" si="143"/>
        <v>73.75037376193886</v>
      </c>
      <c r="AL149" s="20">
        <f t="shared" si="112"/>
        <v>672.38291096870944</v>
      </c>
      <c r="AM149" s="59">
        <f t="shared" si="113"/>
        <v>965.7162443020427</v>
      </c>
      <c r="AN149" s="59">
        <f ca="1">AVERAGE(OFFSET($AM$3,0,0,'Données projet'!$E$10+1,1))-AVERAGE(OFFSET($H$3,0,0,'Données projet'!$E$10+1,1))</f>
        <v>297.90790572649428</v>
      </c>
      <c r="AO149" s="59">
        <f t="shared" si="144"/>
        <v>142.96889776844506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31.806859338118588</v>
      </c>
      <c r="AV149" s="21">
        <f>EXP(-LN(2)/25)*AV148+(1-EXP(-LN(2)/25))/(LN(2)/25)*Calculateur!AQ149*Calculateur!AS149*VLOOKUP('Données projet'!$B$10,Paramètres!$A$1:$I$89,3,0)*0.475*44/12</f>
        <v>10.187489977550172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41.994349315668757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5.833333333333333</v>
      </c>
      <c r="BD149" s="12">
        <f>IF('Données projet'!$A$88&gt;35,BD148+BC149-BL148,IF(A149&lt;'Données projet'!$A$88,$BA$205^A149,IF(A149='Données projet'!$A$88,'Données projet'!$B$88,BD148+BC149-BL148)))</f>
        <v>345.16666666666617</v>
      </c>
      <c r="BE149" s="13">
        <f>BD149*VLOOKUP('Données projet'!$B$11,Paramètres!$A$1:$I$89,3,0)*VLOOKUP('Données projet'!$B$11,Paramètres!$A$1:$I$89,5,0)</f>
        <v>349.99899999999951</v>
      </c>
      <c r="BF149" s="13">
        <f t="shared" si="145"/>
        <v>81.562305327635116</v>
      </c>
      <c r="BG149" s="20">
        <f t="shared" si="115"/>
        <v>751.63594011229691</v>
      </c>
      <c r="BH149" s="59">
        <f t="shared" si="116"/>
        <v>1044.9692734456303</v>
      </c>
      <c r="BI149" s="59">
        <f ca="1">AVERAGE(OFFSET($BH$3,0,0,'Données projet'!$E$11+1,1))-AVERAGE(OFFSET($H$3,0,0,'Données projet'!$E$11+1,1))</f>
        <v>345.3294887586967</v>
      </c>
      <c r="BJ149" s="59">
        <f t="shared" si="146"/>
        <v>164.23448598618114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35.645618223753615</v>
      </c>
      <c r="BQ149" s="21">
        <f>EXP(-LN(2)/25)*BQ148+(1-EXP(-LN(2)/25))/(LN(2)/25)*Calculateur!BL149*Calculateur!BN149*VLOOKUP('Données projet'!$B$11,Paramètres!$A$1:$I$89,3,0)*0.475*44/12</f>
        <v>11.417014630013126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47.062632853766743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289.07218105343333</v>
      </c>
      <c r="CE149" s="59">
        <f t="shared" si="148"/>
        <v>217.57508587672368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44.932307194142133</v>
      </c>
      <c r="CL149" s="21">
        <f>EXP(-LN(2)/25)*CL148+(1-EXP(-LN(2)/25))/(LN(2)/25)*Calculateur!CG149*Calculateur!CI149*VLOOKUP('Données projet'!$B$12,Paramètres!$A$1:$I$89,3,0)*0.475*44/12</f>
        <v>11.953749203313119</v>
      </c>
      <c r="CM149" s="21">
        <f>EXP(-LN(2)/2)*CM148+(1-EXP(-LN(2)/2))/(LN(2)/2)*CG149*CJ149*VLOOKUP('Données projet'!$B$12,Paramètres!$A$1:$I$89,3,0)*0.475*44/12</f>
        <v>9.0242831536399607E-9</v>
      </c>
      <c r="CN149" s="22">
        <f t="shared" si="120"/>
        <v>56.886056406479533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1.7053025658242404E-13</v>
      </c>
      <c r="CU149" s="17">
        <f>CT149*VLOOKUP('Données projet'!$B$13,Paramètres!$A$1:$I$89,3,0)*VLOOKUP('Données projet'!$B$13,Paramètres!$A$1:$I$89,5,0)</f>
        <v>1.4897523215040567E-13</v>
      </c>
      <c r="CV149" s="13">
        <f t="shared" si="149"/>
        <v>2.136562777003313E-12</v>
      </c>
      <c r="CW149" s="20">
        <f t="shared" si="121"/>
        <v>3.9806453659427267E-12</v>
      </c>
      <c r="CX149" s="59">
        <f t="shared" si="122"/>
        <v>293.33333333333729</v>
      </c>
      <c r="CY149" s="59">
        <f ca="1">AVERAGE(OFFSET($CX$3,0,0,'Données projet'!$E$13+1,1))-AVERAGE(OFFSET($H$3,0,0,'Données projet'!$E$13+1,1))</f>
        <v>237.8483058552178</v>
      </c>
      <c r="CZ149" s="59">
        <f t="shared" si="150"/>
        <v>313.36201272119723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19.460254679794289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1.4985056246994054E-10</v>
      </c>
      <c r="DI149" s="22">
        <f t="shared" si="123"/>
        <v>19.460254679944139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5.833333333333333</v>
      </c>
      <c r="DO149" s="12">
        <f>IF('Données projet'!$A$166&gt;35,DO148+DN149-DW148,IF(A149&lt;'Données projet'!$A$166,$DL$205^A149,IF(A149='Données projet'!$A$166,'Données projet'!$B$166,DO148+DN149-DW148)))</f>
        <v>345.16666666666617</v>
      </c>
      <c r="DP149" s="17">
        <f>DO149*VLOOKUP('Données projet'!$B$14,Paramètres!$A$1:$I$89,3,0)*VLOOKUP('Données projet'!$B$14,Paramètres!$A$1:$I$89,5,0)</f>
        <v>333.84519999999952</v>
      </c>
      <c r="DQ149" s="13">
        <f t="shared" si="151"/>
        <v>78.226976936384531</v>
      </c>
      <c r="DR149" s="20">
        <f t="shared" si="124"/>
        <v>717.69237483086874</v>
      </c>
      <c r="DS149" s="59">
        <f t="shared" si="125"/>
        <v>1011.0257081642021</v>
      </c>
      <c r="DT149" s="59">
        <f ca="1">AVERAGE(OFFSET($DS$3,0,0,'Données projet'!$E$14+1,1))-AVERAGE(OFFSET($H$3,0,0,'Données projet'!$E$14+1,1))</f>
        <v>325.01961068962373</v>
      </c>
      <c r="DU149" s="59">
        <f t="shared" si="152"/>
        <v>155.12737608540039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34.000435844195749</v>
      </c>
      <c r="EB149" s="21">
        <f>EXP(-LN(2)/25)*EB148+(1-EXP(-LN(2)/25))/(LN(2)/25)*Calculateur!DW149*Calculateur!DY149*VLOOKUP('Données projet'!$B$14,Paramètres!$A$1:$I$89,3,0)*0.475*44/12</f>
        <v>10.890075493243287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44.890511337439037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-1.7053025658242404E-13</v>
      </c>
      <c r="EK149" s="17">
        <f>EJ149*VLOOKUP('Données projet'!$B$15,Paramètres!$A$1:$I$89,3,0)*VLOOKUP('Données projet'!$B$15,Paramètres!$A$1:$I$89,5,0)</f>
        <v>-1.1439169611549005E-13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178.09619481964575</v>
      </c>
      <c r="EP149" s="59">
        <f t="shared" si="154"/>
        <v>178.65167777495174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24.223351914224299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4.0844979218997451E-9</v>
      </c>
      <c r="EY149" s="22">
        <f t="shared" si="129"/>
        <v>24.223351918308797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-1.3567387213697657E-13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219.43439115440339</v>
      </c>
      <c r="FK149" s="59">
        <f t="shared" si="156"/>
        <v>217.8880462742099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28.730022037800914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4.844404512020631E-9</v>
      </c>
      <c r="FT149" s="22">
        <f t="shared" si="132"/>
        <v>28.73002204264532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191.77102466144095</v>
      </c>
      <c r="GF149" s="59">
        <f t="shared" si="158"/>
        <v>205.57161411620217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21.164960593114543</v>
      </c>
      <c r="GM149" s="21">
        <f>EXP(-LN(2)/25)*GM148+(1-EXP(-LN(2)/25))/(LN(2)/25)*Calculateur!GH149*Calculateur!GJ149*VLOOKUP('Données projet'!$B$17,Paramètres!$A$1:$I$89,3,0)*0.475*44/12</f>
        <v>2.2400887835450254</v>
      </c>
      <c r="GN149" s="21">
        <f>EXP(-LN(2)/2)*GN148+(1-EXP(-LN(2)/2))/(LN(2)/2)*GH149*GK149*VLOOKUP('Données projet'!$B$17,Paramètres!$A$1:$I$89,3,0)*0.475*44/12</f>
        <v>4.8843911523038016E-12</v>
      </c>
      <c r="GO149" s="21">
        <f t="shared" si="135"/>
        <v>23.405049376664454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84.31577618130467</v>
      </c>
      <c r="T150" s="59">
        <f t="shared" si="142"/>
        <v>527.2140904310653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12.051970225541627</v>
      </c>
      <c r="AA150" s="21">
        <f>EXP(-LN(2)/25)*AA149+(1-EXP(-LN(2)/25))/(LN(2)/25)*Calculateur!V150*Calculateur!X150*VLOOKUP('Données projet'!$B$9,Paramètres!$A$1:$I$89,3,0)*0.475*44/12</f>
        <v>1.3749924802996947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13.426962705841321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>
        <f>VLOOKUP(A150,'Données projet'!$A$61:$I$81,2,0)</f>
        <v>351</v>
      </c>
      <c r="AG150" s="12">
        <f>VLOOKUP(A150,'Données projet'!$A$61:$I$81,9,0)</f>
        <v>5.833333333333333</v>
      </c>
      <c r="AH150" s="12">
        <f t="array" ref="AH150">INDEX(AG:AG,MIN(IF(ISNUMBER(AG150:AG346),ROW(AG150:AG346),"")))</f>
        <v>5.833333333333333</v>
      </c>
      <c r="AI150" s="13">
        <f>IF('Données projet'!$A$62&gt;35,AI149+AH150-AQ149,IF(A150&lt;'Données projet'!$A$62,$AF$205^A150,IF(A150='Données projet'!$A$62,'Données projet'!$B$62,AI149+AH150-AQ149)))</f>
        <v>350.99999999999949</v>
      </c>
      <c r="AJ150" s="13">
        <f>AI150*VLOOKUP('Données projet'!$B$10,Paramètres!$A$1:$I$89,3,0)*VLOOKUP('Données projet'!$B$10,Paramètres!$A$1:$I$89,5,0)</f>
        <v>317.58479999999952</v>
      </c>
      <c r="AK150" s="13">
        <f t="shared" si="143"/>
        <v>74.850602966719833</v>
      </c>
      <c r="AL150" s="20">
        <f t="shared" si="112"/>
        <v>683.49166016703623</v>
      </c>
      <c r="AM150" s="59">
        <f t="shared" si="113"/>
        <v>976.8249935003696</v>
      </c>
      <c r="AN150" s="59">
        <f ca="1">AVERAGE(OFFSET($AM$3,0,0,'Données projet'!$E$10+1,1))-AVERAGE(OFFSET($H$3,0,0,'Données projet'!$E$10+1,1))</f>
        <v>297.90790572649428</v>
      </c>
      <c r="AO150" s="59">
        <f t="shared" si="144"/>
        <v>142.96889776844506</v>
      </c>
      <c r="AP150" s="15">
        <f>IF(ISNA(VLOOKUP(A150,'Données projet'!$A$61:$I$81,3,0)),0,VLOOKUP(A150,'Données projet'!$A$61:$I$81,3,0))</f>
        <v>12</v>
      </c>
      <c r="AQ150" s="15">
        <f>IF(ISNA(VLOOKUP(A150,'Données projet'!$A$61:$I$81,4,0)),0,VLOOKUP(A150,'Données projet'!$A$61:$I$81,4,0))</f>
        <v>48</v>
      </c>
      <c r="AR150" s="16">
        <f>IF(ISNA(VLOOKUP(A150,'Données projet'!$A$61:$I$81,5,0)),0%,VLOOKUP(A150,'Données projet'!$A$61:$I$81,5,0)*VLOOKUP('Données projet'!$B$10,Paramètres!$A$1:$I$89,7,0))</f>
        <v>0.30099999999999999</v>
      </c>
      <c r="AS150" s="16">
        <f>IF(ISNA(VLOOKUP(A150,'Données projet'!$A$61:$I$81,6,0)),0%,VLOOKUP(A150,'Données projet'!$A$61:$I$81,6,0)*VLOOKUP('Données projet'!$B$10,Paramètres!$A$1:$I$89,7,0))</f>
        <v>4.3000000000000003E-2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45.634463478918278</v>
      </c>
      <c r="AV150" s="21">
        <f>EXP(-LN(2)/25)*AV149+(1-EXP(-LN(2)/25))/(LN(2)/25)*Calculateur!AQ150*Calculateur!AS150*VLOOKUP('Données projet'!$B$10,Paramètres!$A$1:$I$89,3,0)*0.475*44/12</f>
        <v>11.965257801198153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57.599721280116427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>
        <f>VLOOKUP(A150,'Données projet'!$A$87:$I$107,2,0)</f>
        <v>351</v>
      </c>
      <c r="BB150" s="12">
        <f>VLOOKUP(A150,'Données projet'!$A$87:$I$107,9,0)</f>
        <v>5.833333333333333</v>
      </c>
      <c r="BC150" s="12">
        <f t="array" ref="BC150">INDEX(BB:BB,MIN(IF(ISNUMBER(BB150:BB346),ROW(BB150:BB346),"")))</f>
        <v>5.833333333333333</v>
      </c>
      <c r="BD150" s="12">
        <f>IF('Données projet'!$A$88&gt;35,BD149+BC150-BL149,IF(A150&lt;'Données projet'!$A$88,$BA$205^A150,IF(A150='Données projet'!$A$88,'Données projet'!$B$88,BD149+BC150-BL149)))</f>
        <v>350.99999999999949</v>
      </c>
      <c r="BE150" s="13">
        <f>BD150*VLOOKUP('Données projet'!$B$11,Paramètres!$A$1:$I$89,3,0)*VLOOKUP('Données projet'!$B$11,Paramètres!$A$1:$I$89,5,0)</f>
        <v>355.91399999999948</v>
      </c>
      <c r="BF150" s="13">
        <f t="shared" si="145"/>
        <v>82.779075165580508</v>
      </c>
      <c r="BG150" s="20">
        <f t="shared" si="115"/>
        <v>764.05710591338527</v>
      </c>
      <c r="BH150" s="59">
        <f t="shared" si="116"/>
        <v>1057.3904392467186</v>
      </c>
      <c r="BI150" s="59">
        <f ca="1">AVERAGE(OFFSET($BH$3,0,0,'Données projet'!$E$11+1,1))-AVERAGE(OFFSET($H$3,0,0,'Données projet'!$E$11+1,1))</f>
        <v>345.3294887586967</v>
      </c>
      <c r="BJ150" s="59">
        <f t="shared" si="146"/>
        <v>164.23448598618114</v>
      </c>
      <c r="BK150" s="15">
        <f>IF(ISNA(VLOOKUP(A150,'Données projet'!$A$87:$I$107,3,0)),0,VLOOKUP(A150,'Données projet'!$A$87:$I$107,3,0))</f>
        <v>12</v>
      </c>
      <c r="BL150" s="15">
        <f>IF(ISNA(VLOOKUP(A150,'Données projet'!$A$87:$I$107,4,0)),0,VLOOKUP(A150,'Données projet'!$A$87:$I$107,4,0))</f>
        <v>48</v>
      </c>
      <c r="BM150" s="16">
        <f>IF(ISNA(VLOOKUP(A150,'Données projet'!$A$87:$I$107,5,0)),0%,VLOOKUP(A150,'Données projet'!$A$87:$I$107,5,0)*VLOOKUP('Données projet'!$B$11,Paramètres!$A$1:$I$89,7,0))</f>
        <v>0.30099999999999999</v>
      </c>
      <c r="BN150" s="16">
        <f>IF(ISNA(VLOOKUP(A150,'Données projet'!$A$87:$I$107,6,0)),0%,VLOOKUP(A150,'Données projet'!$A$87:$I$107,6,0)*VLOOKUP('Données projet'!$B$11,Paramètres!$A$1:$I$89,7,0))</f>
        <v>4.3000000000000003E-2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51.142071140167076</v>
      </c>
      <c r="BQ150" s="21">
        <f>EXP(-LN(2)/25)*BQ149+(1-EXP(-LN(2)/25))/(LN(2)/25)*Calculateur!BL150*Calculateur!BN150*VLOOKUP('Données projet'!$B$11,Paramètres!$A$1:$I$89,3,0)*0.475*44/12</f>
        <v>13.409340639273795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64.551411779440869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289.07218105343333</v>
      </c>
      <c r="CE150" s="59">
        <f t="shared" si="148"/>
        <v>217.57508587672368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44.051212056066277</v>
      </c>
      <c r="CL150" s="21">
        <f>EXP(-LN(2)/25)*CL149+(1-EXP(-LN(2)/25))/(LN(2)/25)*Calculateur!CG150*Calculateur!CI150*VLOOKUP('Données projet'!$B$12,Paramètres!$A$1:$I$89,3,0)*0.475*44/12</f>
        <v>11.626873302728173</v>
      </c>
      <c r="CM150" s="21">
        <f>EXP(-LN(2)/2)*CM149+(1-EXP(-LN(2)/2))/(LN(2)/2)*CG150*CJ150*VLOOKUP('Données projet'!$B$12,Paramètres!$A$1:$I$89,3,0)*0.475*44/12</f>
        <v>6.3811318132863388E-9</v>
      </c>
      <c r="CN150" s="22">
        <f t="shared" si="120"/>
        <v>55.678085365175576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1.7053025658242404E-13</v>
      </c>
      <c r="CU150" s="17">
        <f>CT150*VLOOKUP('Données projet'!$B$13,Paramètres!$A$1:$I$89,3,0)*VLOOKUP('Données projet'!$B$13,Paramètres!$A$1:$I$89,5,0)</f>
        <v>1.4897523215040567E-13</v>
      </c>
      <c r="CV150" s="13">
        <f t="shared" si="149"/>
        <v>2.136562777003313E-12</v>
      </c>
      <c r="CW150" s="20">
        <f t="shared" si="121"/>
        <v>3.9806453659427267E-12</v>
      </c>
      <c r="CX150" s="59">
        <f t="shared" si="122"/>
        <v>293.33333333333729</v>
      </c>
      <c r="CY150" s="59">
        <f ca="1">AVERAGE(OFFSET($CX$3,0,0,'Données projet'!$E$13+1,1))-AVERAGE(OFFSET($H$3,0,0,'Données projet'!$E$13+1,1))</f>
        <v>237.8483058552178</v>
      </c>
      <c r="CZ150" s="59">
        <f t="shared" si="150"/>
        <v>313.36201272119723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19.078650955106855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1.0596034888711332E-10</v>
      </c>
      <c r="DI150" s="22">
        <f t="shared" si="123"/>
        <v>19.078650955212815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>
        <f>VLOOKUP(A150,'Données projet'!$A$165:$I$185,2,0)</f>
        <v>351</v>
      </c>
      <c r="DM150" s="12">
        <f>VLOOKUP(A150,'Données projet'!$A$165:$I$185,9,0)</f>
        <v>5.833333333333333</v>
      </c>
      <c r="DN150" s="12">
        <f t="array" ref="DN150">INDEX(DM:DM,MIN(IF(ISNUMBER(DM150:DM346),ROW(DM150:DM346),"")))</f>
        <v>5.833333333333333</v>
      </c>
      <c r="DO150" s="12">
        <f>IF('Données projet'!$A$166&gt;35,DO149+DN150-DW149,IF(A150&lt;'Données projet'!$A$166,$DL$205^A150,IF(A150='Données projet'!$A$166,'Données projet'!$B$166,DO149+DN150-DW149)))</f>
        <v>350.99999999999949</v>
      </c>
      <c r="DP150" s="17">
        <f>DO150*VLOOKUP('Données projet'!$B$14,Paramètres!$A$1:$I$89,3,0)*VLOOKUP('Données projet'!$B$14,Paramètres!$A$1:$I$89,5,0)</f>
        <v>339.48719999999952</v>
      </c>
      <c r="DQ150" s="13">
        <f t="shared" si="151"/>
        <v>79.393989389839533</v>
      </c>
      <c r="DR150" s="20">
        <f t="shared" si="124"/>
        <v>729.55140485396976</v>
      </c>
      <c r="DS150" s="59">
        <f t="shared" si="125"/>
        <v>1022.8847381873031</v>
      </c>
      <c r="DT150" s="59">
        <f ca="1">AVERAGE(OFFSET($DS$3,0,0,'Données projet'!$E$14+1,1))-AVERAGE(OFFSET($H$3,0,0,'Données projet'!$E$14+1,1))</f>
        <v>325.01961068962373</v>
      </c>
      <c r="DU150" s="59">
        <f t="shared" si="152"/>
        <v>155.12737608540039</v>
      </c>
      <c r="DV150" s="15">
        <f>IF(ISNA(VLOOKUP(A150,'Données projet'!$A$165:$I$185,3,0)),0,VLOOKUP(A150,'Données projet'!$A$165:$I$185,3,0))</f>
        <v>12</v>
      </c>
      <c r="DW150" s="15">
        <f>IF(ISNA(VLOOKUP(A150,'Données projet'!$A$165:$I$185,4,0)),0,VLOOKUP(A150,'Données projet'!$A$165:$I$185,4,0))</f>
        <v>48</v>
      </c>
      <c r="DX150" s="16">
        <f>IF(ISNA(VLOOKUP(A150,'Données projet'!$A$165:$I$185,5,0)),0%,VLOOKUP(A150,'Données projet'!$A$165:$I$185,5,0)*VLOOKUP('Données projet'!$B$14,Paramètres!$A$1:$I$89,7,0))</f>
        <v>0.30099999999999999</v>
      </c>
      <c r="DY150" s="16">
        <f>IF(ISNA(VLOOKUP(A150,'Données projet'!$A$165:$I$185,6,0)),0%,VLOOKUP(A150,'Données projet'!$A$165:$I$185,6,0)*VLOOKUP('Données projet'!$B$14,Paramètres!$A$1:$I$89,7,0))</f>
        <v>4.3000000000000003E-2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48.781667856774732</v>
      </c>
      <c r="EB150" s="21">
        <f>EXP(-LN(2)/25)*EB149+(1-EXP(-LN(2)/25))/(LN(2)/25)*Calculateur!DW150*Calculateur!DY150*VLOOKUP('Données projet'!$B$14,Paramètres!$A$1:$I$89,3,0)*0.475*44/12</f>
        <v>12.790447994384232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61.572115851158962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-1.7053025658242404E-13</v>
      </c>
      <c r="EK150" s="17">
        <f>EJ150*VLOOKUP('Données projet'!$B$15,Paramètres!$A$1:$I$89,3,0)*VLOOKUP('Données projet'!$B$15,Paramètres!$A$1:$I$89,5,0)</f>
        <v>-1.1439169611549005E-13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178.09619481964575</v>
      </c>
      <c r="EP150" s="59">
        <f t="shared" si="154"/>
        <v>178.65167777495174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23.74834675797214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2.8881761783176712E-9</v>
      </c>
      <c r="EY150" s="22">
        <f t="shared" si="129"/>
        <v>23.748346760860315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-1.3567387213697657E-13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219.43439115440339</v>
      </c>
      <c r="FK150" s="59">
        <f t="shared" si="156"/>
        <v>217.8880462742099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28.166643829222771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3.4255112812604959E-9</v>
      </c>
      <c r="FT150" s="22">
        <f t="shared" si="132"/>
        <v>28.166643832648283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191.77102466144095</v>
      </c>
      <c r="GF150" s="59">
        <f t="shared" si="158"/>
        <v>205.57161411620217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20.749928625234837</v>
      </c>
      <c r="GM150" s="21">
        <f>EXP(-LN(2)/25)*GM149+(1-EXP(-LN(2)/25))/(LN(2)/25)*Calculateur!GH150*Calculateur!GJ150*VLOOKUP('Données projet'!$B$17,Paramètres!$A$1:$I$89,3,0)*0.475*44/12</f>
        <v>2.1788334379578371</v>
      </c>
      <c r="GN150" s="21">
        <f>EXP(-LN(2)/2)*GN149+(1-EXP(-LN(2)/2))/(LN(2)/2)*GH150*GK150*VLOOKUP('Données projet'!$B$17,Paramètres!$A$1:$I$89,3,0)*0.475*44/12</f>
        <v>3.453786105761593E-12</v>
      </c>
      <c r="GO150" s="21">
        <f t="shared" si="135"/>
        <v>22.928762063196128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84.31577618130467</v>
      </c>
      <c r="T151" s="59">
        <f t="shared" si="142"/>
        <v>527.2140904310653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11.815638440394745</v>
      </c>
      <c r="AA151" s="21">
        <f>EXP(-LN(2)/25)*AA150+(1-EXP(-LN(2)/25))/(LN(2)/25)*Calculateur!V151*Calculateur!X151*VLOOKUP('Données projet'!$B$9,Paramètres!$A$1:$I$89,3,0)*0.475*44/12</f>
        <v>1.3373932386181875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13.153031679012932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5.916666666666667</v>
      </c>
      <c r="AI151" s="13">
        <f>IF('Données projet'!$A$62&gt;35,AI150+AH151-AQ150,IF(A151&lt;'Données projet'!$A$62,$AF$205^A151,IF(A151='Données projet'!$A$62,'Données projet'!$B$62,AI150+AH151-AQ150)))</f>
        <v>308.91666666666617</v>
      </c>
      <c r="AJ151" s="13">
        <f>AI151*VLOOKUP('Données projet'!$B$10,Paramètres!$A$1:$I$89,3,0)*VLOOKUP('Données projet'!$B$10,Paramètres!$A$1:$I$89,5,0)</f>
        <v>279.50779999999952</v>
      </c>
      <c r="AK151" s="13">
        <f t="shared" si="143"/>
        <v>66.862982223469245</v>
      </c>
      <c r="AL151" s="20">
        <f t="shared" si="112"/>
        <v>603.26244570587482</v>
      </c>
      <c r="AM151" s="59">
        <f t="shared" si="113"/>
        <v>896.59577903920808</v>
      </c>
      <c r="AN151" s="59">
        <f ca="1">AVERAGE(OFFSET($AM$3,0,0,'Données projet'!$E$10+1,1))-AVERAGE(OFFSET($H$3,0,0,'Données projet'!$E$10+1,1))</f>
        <v>297.90790572649428</v>
      </c>
      <c r="AO151" s="59">
        <f t="shared" si="144"/>
        <v>142.96889776844506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44.739599484371006</v>
      </c>
      <c r="AV151" s="21">
        <f>EXP(-LN(2)/25)*AV150+(1-EXP(-LN(2)/25))/(LN(2)/25)*Calculateur!AQ151*Calculateur!AS151*VLOOKUP('Données projet'!$B$10,Paramètres!$A$1:$I$89,3,0)*0.475*44/12</f>
        <v>11.638067197398827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56.377666681769831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5.916666666666667</v>
      </c>
      <c r="BD151" s="12">
        <f>IF('Données projet'!$A$88&gt;35,BD150+BC151-BL150,IF(A151&lt;'Données projet'!$A$88,$BA$205^A151,IF(A151='Données projet'!$A$88,'Données projet'!$B$88,BD150+BC151-BL150)))</f>
        <v>308.91666666666617</v>
      </c>
      <c r="BE151" s="13">
        <f>BD151*VLOOKUP('Données projet'!$B$11,Paramètres!$A$1:$I$89,3,0)*VLOOKUP('Données projet'!$B$11,Paramètres!$A$1:$I$89,5,0)</f>
        <v>313.24149999999952</v>
      </c>
      <c r="BF151" s="13">
        <f t="shared" si="145"/>
        <v>73.945374010311554</v>
      </c>
      <c r="BG151" s="20">
        <f t="shared" si="115"/>
        <v>674.35047223462504</v>
      </c>
      <c r="BH151" s="59">
        <f t="shared" si="116"/>
        <v>967.68380556795842</v>
      </c>
      <c r="BI151" s="59">
        <f ca="1">AVERAGE(OFFSET($BH$3,0,0,'Données projet'!$E$11+1,1))-AVERAGE(OFFSET($H$3,0,0,'Données projet'!$E$11+1,1))</f>
        <v>345.3294887586967</v>
      </c>
      <c r="BJ151" s="59">
        <f t="shared" si="146"/>
        <v>164.23448598618114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50.139206318691684</v>
      </c>
      <c r="BQ151" s="21">
        <f>EXP(-LN(2)/25)*BQ150+(1-EXP(-LN(2)/25))/(LN(2)/25)*Calculateur!BL151*Calculateur!BN151*VLOOKUP('Données projet'!$B$11,Paramètres!$A$1:$I$89,3,0)*0.475*44/12</f>
        <v>13.042661514326277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63.181867833017961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289.07218105343333</v>
      </c>
      <c r="CE151" s="59">
        <f t="shared" si="148"/>
        <v>217.57508587672368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43.187394656233117</v>
      </c>
      <c r="CL151" s="21">
        <f>EXP(-LN(2)/25)*CL150+(1-EXP(-LN(2)/25))/(LN(2)/25)*Calculateur!CG151*Calculateur!CI151*VLOOKUP('Données projet'!$B$12,Paramètres!$A$1:$I$89,3,0)*0.475*44/12</f>
        <v>11.308935840834378</v>
      </c>
      <c r="CM151" s="21">
        <f>EXP(-LN(2)/2)*CM150+(1-EXP(-LN(2)/2))/(LN(2)/2)*CG151*CJ151*VLOOKUP('Données projet'!$B$12,Paramètres!$A$1:$I$89,3,0)*0.475*44/12</f>
        <v>4.5121415768199803E-9</v>
      </c>
      <c r="CN151" s="22">
        <f t="shared" si="120"/>
        <v>54.496330501579635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1.7053025658242404E-13</v>
      </c>
      <c r="CU151" s="17">
        <f>CT151*VLOOKUP('Données projet'!$B$13,Paramètres!$A$1:$I$89,3,0)*VLOOKUP('Données projet'!$B$13,Paramètres!$A$1:$I$89,5,0)</f>
        <v>1.4897523215040567E-13</v>
      </c>
      <c r="CV151" s="13">
        <f t="shared" si="149"/>
        <v>2.136562777003313E-12</v>
      </c>
      <c r="CW151" s="20">
        <f t="shared" si="121"/>
        <v>3.9806453659427267E-12</v>
      </c>
      <c r="CX151" s="59">
        <f t="shared" si="122"/>
        <v>293.33333333333729</v>
      </c>
      <c r="CY151" s="59">
        <f ca="1">AVERAGE(OFFSET($CX$3,0,0,'Données projet'!$E$13+1,1))-AVERAGE(OFFSET($H$3,0,0,'Données projet'!$E$13+1,1))</f>
        <v>237.8483058552178</v>
      </c>
      <c r="CZ151" s="59">
        <f t="shared" si="150"/>
        <v>313.36201272119723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18.70453024670525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7.4925281234970272E-11</v>
      </c>
      <c r="DI151" s="22">
        <f t="shared" si="123"/>
        <v>18.704530246780177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5.916666666666667</v>
      </c>
      <c r="DO151" s="12">
        <f>IF('Données projet'!$A$166&gt;35,DO150+DN151-DW150,IF(A151&lt;'Données projet'!$A$166,$DL$205^A151,IF(A151='Données projet'!$A$166,'Données projet'!$B$166,DO150+DN151-DW150)))</f>
        <v>308.91666666666617</v>
      </c>
      <c r="DP151" s="17">
        <f>DO151*VLOOKUP('Données projet'!$B$14,Paramètres!$A$1:$I$89,3,0)*VLOOKUP('Données projet'!$B$14,Paramètres!$A$1:$I$89,5,0)</f>
        <v>298.78419999999954</v>
      </c>
      <c r="DQ151" s="13">
        <f t="shared" si="151"/>
        <v>70.92152488849591</v>
      </c>
      <c r="DR151" s="20">
        <f t="shared" si="124"/>
        <v>643.9041375141295</v>
      </c>
      <c r="DS151" s="59">
        <f t="shared" si="125"/>
        <v>937.23747084746287</v>
      </c>
      <c r="DT151" s="59">
        <f ca="1">AVERAGE(OFFSET($DS$3,0,0,'Données projet'!$E$14+1,1))-AVERAGE(OFFSET($H$3,0,0,'Données projet'!$E$14+1,1))</f>
        <v>325.01961068962373</v>
      </c>
      <c r="DU151" s="59">
        <f t="shared" si="152"/>
        <v>155.12737608540039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47.825089103982819</v>
      </c>
      <c r="EB151" s="21">
        <f>EXP(-LN(2)/25)*EB150+(1-EXP(-LN(2)/25))/(LN(2)/25)*Calculateur!DW151*Calculateur!DY151*VLOOKUP('Données projet'!$B$14,Paramètres!$A$1:$I$89,3,0)*0.475*44/12</f>
        <v>12.440692521357368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60.265781625340189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-1.7053025658242404E-13</v>
      </c>
      <c r="EK151" s="17">
        <f>EJ151*VLOOKUP('Données projet'!$B$15,Paramètres!$A$1:$I$89,3,0)*VLOOKUP('Données projet'!$B$15,Paramètres!$A$1:$I$89,5,0)</f>
        <v>-1.1439169611549005E-13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178.09619481964575</v>
      </c>
      <c r="EP151" s="59">
        <f t="shared" si="154"/>
        <v>178.65167777495174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23.282656163109547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2.0422489609498726E-9</v>
      </c>
      <c r="EY151" s="22">
        <f t="shared" si="129"/>
        <v>23.282656165151796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-1.3567387213697657E-13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219.43439115440339</v>
      </c>
      <c r="FK151" s="59">
        <f t="shared" si="156"/>
        <v>217.8880462742099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27.614313123688067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2.4222022560103155E-9</v>
      </c>
      <c r="FT151" s="22">
        <f t="shared" si="132"/>
        <v>27.614313126110268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191.77102466144095</v>
      </c>
      <c r="GF151" s="59">
        <f t="shared" si="158"/>
        <v>205.57161411620217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20.343035181100745</v>
      </c>
      <c r="GM151" s="21">
        <f>EXP(-LN(2)/25)*GM150+(1-EXP(-LN(2)/25))/(LN(2)/25)*Calculateur!GH151*Calculateur!GJ151*VLOOKUP('Données projet'!$B$17,Paramètres!$A$1:$I$89,3,0)*0.475*44/12</f>
        <v>2.1192531230170095</v>
      </c>
      <c r="GN151" s="21">
        <f>EXP(-LN(2)/2)*GN150+(1-EXP(-LN(2)/2))/(LN(2)/2)*GH151*GK151*VLOOKUP('Données projet'!$B$17,Paramètres!$A$1:$I$89,3,0)*0.475*44/12</f>
        <v>2.4421955761519008E-12</v>
      </c>
      <c r="GO151" s="21">
        <f t="shared" si="135"/>
        <v>22.462288304120197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84.31577618130467</v>
      </c>
      <c r="T152" s="59">
        <f t="shared" si="142"/>
        <v>527.2140904310653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11.583940977406437</v>
      </c>
      <c r="AA152" s="21">
        <f>EXP(-LN(2)/25)*AA151+(1-EXP(-LN(2)/25))/(LN(2)/25)*Calculateur!V152*Calculateur!X152*VLOOKUP('Données projet'!$B$9,Paramètres!$A$1:$I$89,3,0)*0.475*44/12</f>
        <v>1.3008221501777193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12.884763127584156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5.916666666666667</v>
      </c>
      <c r="AI152" s="13">
        <f>IF('Données projet'!$A$62&gt;35,AI151+AH152-AQ151,IF(A152&lt;'Données projet'!$A$62,$AF$205^A152,IF(A152='Données projet'!$A$62,'Données projet'!$B$62,AI151+AH152-AQ151)))</f>
        <v>314.83333333333286</v>
      </c>
      <c r="AJ152" s="13">
        <f>AI152*VLOOKUP('Données projet'!$B$10,Paramètres!$A$1:$I$89,3,0)*VLOOKUP('Données projet'!$B$10,Paramètres!$A$1:$I$89,5,0)</f>
        <v>284.86119999999954</v>
      </c>
      <c r="AK152" s="13">
        <f t="shared" si="143"/>
        <v>67.99328879815738</v>
      </c>
      <c r="AL152" s="20">
        <f t="shared" si="112"/>
        <v>614.55490132345665</v>
      </c>
      <c r="AM152" s="59">
        <f t="shared" si="113"/>
        <v>907.88823465679002</v>
      </c>
      <c r="AN152" s="59">
        <f ca="1">AVERAGE(OFFSET($AM$3,0,0,'Données projet'!$E$10+1,1))-AVERAGE(OFFSET($H$3,0,0,'Données projet'!$E$10+1,1))</f>
        <v>297.90790572649428</v>
      </c>
      <c r="AO152" s="59">
        <f t="shared" si="144"/>
        <v>142.96889776844506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43.862283226943667</v>
      </c>
      <c r="AV152" s="21">
        <f>EXP(-LN(2)/25)*AV151+(1-EXP(-LN(2)/25))/(LN(2)/25)*Calculateur!AQ152*Calculateur!AS152*VLOOKUP('Données projet'!$B$10,Paramètres!$A$1:$I$89,3,0)*0.475*44/12</f>
        <v>11.319823637866602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55.182106864810265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5.916666666666667</v>
      </c>
      <c r="BD152" s="12">
        <f>IF('Données projet'!$A$88&gt;35,BD151+BC152-BL151,IF(A152&lt;'Données projet'!$A$88,$BA$205^A152,IF(A152='Données projet'!$A$88,'Données projet'!$B$88,BD151+BC152-BL151)))</f>
        <v>314.83333333333286</v>
      </c>
      <c r="BE152" s="13">
        <f>BD152*VLOOKUP('Données projet'!$B$11,Paramètres!$A$1:$I$89,3,0)*VLOOKUP('Données projet'!$B$11,Paramètres!$A$1:$I$89,5,0)</f>
        <v>319.24099999999953</v>
      </c>
      <c r="BF152" s="13">
        <f t="shared" si="145"/>
        <v>75.195407132260641</v>
      </c>
      <c r="BG152" s="20">
        <f t="shared" si="115"/>
        <v>686.97674242201981</v>
      </c>
      <c r="BH152" s="59">
        <f t="shared" si="116"/>
        <v>980.31007575535318</v>
      </c>
      <c r="BI152" s="59">
        <f ca="1">AVERAGE(OFFSET($BH$3,0,0,'Données projet'!$E$11+1,1))-AVERAGE(OFFSET($H$3,0,0,'Données projet'!$E$11+1,1))</f>
        <v>345.3294887586967</v>
      </c>
      <c r="BJ152" s="59">
        <f t="shared" si="146"/>
        <v>164.23448598618114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49.156007064678285</v>
      </c>
      <c r="BQ152" s="21">
        <f>EXP(-LN(2)/25)*BQ151+(1-EXP(-LN(2)/25))/(LN(2)/25)*Calculateur!BL152*Calculateur!BN152*VLOOKUP('Données projet'!$B$11,Paramètres!$A$1:$I$89,3,0)*0.475*44/12</f>
        <v>12.686009249333265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61.842016314011552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289.07218105343333</v>
      </c>
      <c r="CE152" s="59">
        <f t="shared" si="148"/>
        <v>217.57508587672368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42.3405161887341</v>
      </c>
      <c r="CL152" s="21">
        <f>EXP(-LN(2)/25)*CL151+(1-EXP(-LN(2)/25))/(LN(2)/25)*Calculateur!CG152*Calculateur!CI152*VLOOKUP('Données projet'!$B$12,Paramètres!$A$1:$I$89,3,0)*0.475*44/12</f>
        <v>10.999692395555673</v>
      </c>
      <c r="CM152" s="21">
        <f>EXP(-LN(2)/2)*CM151+(1-EXP(-LN(2)/2))/(LN(2)/2)*CG152*CJ152*VLOOKUP('Données projet'!$B$12,Paramètres!$A$1:$I$89,3,0)*0.475*44/12</f>
        <v>3.1905659066431694E-9</v>
      </c>
      <c r="CN152" s="22">
        <f t="shared" si="120"/>
        <v>53.340208587480333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1.7053025658242404E-13</v>
      </c>
      <c r="CU152" s="17">
        <f>CT152*VLOOKUP('Données projet'!$B$13,Paramètres!$A$1:$I$89,3,0)*VLOOKUP('Données projet'!$B$13,Paramètres!$A$1:$I$89,5,0)</f>
        <v>1.4897523215040567E-13</v>
      </c>
      <c r="CV152" s="13">
        <f t="shared" si="149"/>
        <v>2.136562777003313E-12</v>
      </c>
      <c r="CW152" s="20">
        <f t="shared" si="121"/>
        <v>3.9806453659427267E-12</v>
      </c>
      <c r="CX152" s="59">
        <f t="shared" si="122"/>
        <v>293.33333333333729</v>
      </c>
      <c r="CY152" s="59">
        <f ca="1">AVERAGE(OFFSET($CX$3,0,0,'Données projet'!$E$13+1,1))-AVERAGE(OFFSET($H$3,0,0,'Données projet'!$E$13+1,1))</f>
        <v>237.8483058552178</v>
      </c>
      <c r="CZ152" s="59">
        <f t="shared" si="150"/>
        <v>313.36201272119723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18.337745817204301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5.298017444355666E-11</v>
      </c>
      <c r="DI152" s="22">
        <f t="shared" si="123"/>
        <v>18.337745817257282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5.916666666666667</v>
      </c>
      <c r="DO152" s="12">
        <f>IF('Données projet'!$A$166&gt;35,DO151+DN152-DW151,IF(A152&lt;'Données projet'!$A$166,$DL$205^A152,IF(A152='Données projet'!$A$166,'Données projet'!$B$166,DO151+DN152-DW151)))</f>
        <v>314.83333333333286</v>
      </c>
      <c r="DP152" s="17">
        <f>DO152*VLOOKUP('Données projet'!$B$14,Paramètres!$A$1:$I$89,3,0)*VLOOKUP('Données projet'!$B$14,Paramètres!$A$1:$I$89,5,0)</f>
        <v>304.50679999999954</v>
      </c>
      <c r="DQ152" s="13">
        <f t="shared" si="151"/>
        <v>72.12044039005788</v>
      </c>
      <c r="DR152" s="20">
        <f t="shared" si="124"/>
        <v>655.9591103460167</v>
      </c>
      <c r="DS152" s="59">
        <f t="shared" si="125"/>
        <v>949.29244367935007</v>
      </c>
      <c r="DT152" s="59">
        <f ca="1">AVERAGE(OFFSET($DS$3,0,0,'Données projet'!$E$14+1,1))-AVERAGE(OFFSET($H$3,0,0,'Données projet'!$E$14+1,1))</f>
        <v>325.01961068962373</v>
      </c>
      <c r="DU152" s="59">
        <f t="shared" si="152"/>
        <v>155.12737608540039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46.88726827707773</v>
      </c>
      <c r="EB152" s="21">
        <f>EXP(-LN(2)/25)*EB151+(1-EXP(-LN(2)/25))/(LN(2)/25)*Calculateur!DW152*Calculateur!DY152*VLOOKUP('Données projet'!$B$14,Paramètres!$A$1:$I$89,3,0)*0.475*44/12</f>
        <v>12.100501130133265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58.987769407210997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-1.7053025658242404E-13</v>
      </c>
      <c r="EK152" s="17">
        <f>EJ152*VLOOKUP('Données projet'!$B$15,Paramètres!$A$1:$I$89,3,0)*VLOOKUP('Données projet'!$B$15,Paramètres!$A$1:$I$89,5,0)</f>
        <v>-1.1439169611549005E-13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178.09619481964575</v>
      </c>
      <c r="EP152" s="59">
        <f t="shared" si="154"/>
        <v>178.65167777495174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22.826097476768993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1.4440880891588356E-9</v>
      </c>
      <c r="EY152" s="22">
        <f t="shared" si="129"/>
        <v>22.826097478213082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-1.3567387213697657E-13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219.43439115440339</v>
      </c>
      <c r="FK152" s="59">
        <f t="shared" si="156"/>
        <v>217.8880462742099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27.072813286400436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1.7127556406302479E-9</v>
      </c>
      <c r="FT152" s="22">
        <f t="shared" si="132"/>
        <v>27.072813288113192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191.77102466144095</v>
      </c>
      <c r="GF152" s="59">
        <f t="shared" si="158"/>
        <v>205.57161411620217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19.944120669225629</v>
      </c>
      <c r="GM152" s="21">
        <f>EXP(-LN(2)/25)*GM151+(1-EXP(-LN(2)/25))/(LN(2)/25)*Calculateur!GH152*Calculateur!GJ152*VLOOKUP('Données projet'!$B$17,Paramètres!$A$1:$I$89,3,0)*0.475*44/12</f>
        <v>2.0613020349214315</v>
      </c>
      <c r="GN152" s="21">
        <f>EXP(-LN(2)/2)*GN151+(1-EXP(-LN(2)/2))/(LN(2)/2)*GH152*GK152*VLOOKUP('Données projet'!$B$17,Paramètres!$A$1:$I$89,3,0)*0.475*44/12</f>
        <v>1.7268930528807965E-12</v>
      </c>
      <c r="GO152" s="21">
        <f t="shared" si="135"/>
        <v>22.005422704148788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84.31577618130467</v>
      </c>
      <c r="T153" s="59">
        <f t="shared" si="142"/>
        <v>527.2140904310653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11.356786960345833</v>
      </c>
      <c r="AA153" s="21">
        <f>EXP(-LN(2)/25)*AA152+(1-EXP(-LN(2)/25))/(LN(2)/25)*Calculateur!V153*Calculateur!X153*VLOOKUP('Données projet'!$B$9,Paramètres!$A$1:$I$89,3,0)*0.475*44/12</f>
        <v>1.2652511000738458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12.622038060419678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5.916666666666667</v>
      </c>
      <c r="AI153" s="13">
        <f>IF('Données projet'!$A$62&gt;35,AI152+AH153-AQ152,IF(A153&lt;'Données projet'!$A$62,$AF$205^A153,IF(A153='Données projet'!$A$62,'Données projet'!$B$62,AI152+AH153-AQ152)))</f>
        <v>320.74999999999955</v>
      </c>
      <c r="AJ153" s="13">
        <f>AI153*VLOOKUP('Données projet'!$B$10,Paramètres!$A$1:$I$89,3,0)*VLOOKUP('Données projet'!$B$10,Paramètres!$A$1:$I$89,5,0)</f>
        <v>290.21459999999956</v>
      </c>
      <c r="AK153" s="13">
        <f t="shared" si="143"/>
        <v>69.121125368427926</v>
      </c>
      <c r="AL153" s="20">
        <f t="shared" si="112"/>
        <v>625.84305501667779</v>
      </c>
      <c r="AM153" s="59">
        <f t="shared" si="113"/>
        <v>919.17638835001117</v>
      </c>
      <c r="AN153" s="59">
        <f ca="1">AVERAGE(OFFSET($AM$3,0,0,'Données projet'!$E$10+1,1))-AVERAGE(OFFSET($H$3,0,0,'Données projet'!$E$10+1,1))</f>
        <v>297.90790572649428</v>
      </c>
      <c r="AO153" s="59">
        <f t="shared" si="144"/>
        <v>142.96889776844506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43.002170606214399</v>
      </c>
      <c r="AV153" s="21">
        <f>EXP(-LN(2)/25)*AV152+(1-EXP(-LN(2)/25))/(LN(2)/25)*Calculateur!AQ153*Calculateur!AS153*VLOOKUP('Données projet'!$B$10,Paramètres!$A$1:$I$89,3,0)*0.475*44/12</f>
        <v>11.010282465205487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54.012453071419884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5.916666666666667</v>
      </c>
      <c r="BD153" s="12">
        <f>IF('Données projet'!$A$88&gt;35,BD152+BC153-BL152,IF(A153&lt;'Données projet'!$A$88,$BA$205^A153,IF(A153='Données projet'!$A$88,'Données projet'!$B$88,BD152+BC153-BL152)))</f>
        <v>320.74999999999955</v>
      </c>
      <c r="BE153" s="13">
        <f>BD153*VLOOKUP('Données projet'!$B$11,Paramètres!$A$1:$I$89,3,0)*VLOOKUP('Données projet'!$B$11,Paramètres!$A$1:$I$89,5,0)</f>
        <v>325.24049999999954</v>
      </c>
      <c r="BF153" s="13">
        <f t="shared" si="145"/>
        <v>76.442708617145485</v>
      </c>
      <c r="BG153" s="20">
        <f t="shared" si="115"/>
        <v>699.59825500819431</v>
      </c>
      <c r="BH153" s="59">
        <f t="shared" si="116"/>
        <v>992.93158834152769</v>
      </c>
      <c r="BI153" s="59">
        <f ca="1">AVERAGE(OFFSET($BH$3,0,0,'Données projet'!$E$11+1,1))-AVERAGE(OFFSET($H$3,0,0,'Données projet'!$E$11+1,1))</f>
        <v>345.3294887586967</v>
      </c>
      <c r="BJ153" s="59">
        <f t="shared" si="146"/>
        <v>164.23448598618114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48.192087748343759</v>
      </c>
      <c r="BQ153" s="21">
        <f>EXP(-LN(2)/25)*BQ152+(1-EXP(-LN(2)/25))/(LN(2)/25)*Calculateur!BL153*Calculateur!BN153*VLOOKUP('Données projet'!$B$11,Paramètres!$A$1:$I$89,3,0)*0.475*44/12</f>
        <v>12.339109659282014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60.531197407625775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289.07218105343333</v>
      </c>
      <c r="CE153" s="59">
        <f t="shared" si="148"/>
        <v>217.57508587672368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41.510244491437874</v>
      </c>
      <c r="CL153" s="21">
        <f>EXP(-LN(2)/25)*CL152+(1-EXP(-LN(2)/25))/(LN(2)/25)*Calculateur!CG153*Calculateur!CI153*VLOOKUP('Données projet'!$B$12,Paramètres!$A$1:$I$89,3,0)*0.475*44/12</f>
        <v>10.698905228550521</v>
      </c>
      <c r="CM153" s="21">
        <f>EXP(-LN(2)/2)*CM152+(1-EXP(-LN(2)/2))/(LN(2)/2)*CG153*CJ153*VLOOKUP('Données projet'!$B$12,Paramètres!$A$1:$I$89,3,0)*0.475*44/12</f>
        <v>2.2560707884099902E-9</v>
      </c>
      <c r="CN153" s="22">
        <f t="shared" si="120"/>
        <v>52.209149722244469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1.7053025658242404E-13</v>
      </c>
      <c r="CU153" s="17">
        <f>CT153*VLOOKUP('Données projet'!$B$13,Paramètres!$A$1:$I$89,3,0)*VLOOKUP('Données projet'!$B$13,Paramètres!$A$1:$I$89,5,0)</f>
        <v>1.4897523215040567E-13</v>
      </c>
      <c r="CV153" s="13">
        <f t="shared" si="149"/>
        <v>2.136562777003313E-12</v>
      </c>
      <c r="CW153" s="20">
        <f t="shared" si="121"/>
        <v>3.9806453659427267E-12</v>
      </c>
      <c r="CX153" s="59">
        <f t="shared" si="122"/>
        <v>293.33333333333729</v>
      </c>
      <c r="CY153" s="59">
        <f ca="1">AVERAGE(OFFSET($CX$3,0,0,'Données projet'!$E$13+1,1))-AVERAGE(OFFSET($H$3,0,0,'Données projet'!$E$13+1,1))</f>
        <v>237.8483058552178</v>
      </c>
      <c r="CZ153" s="59">
        <f t="shared" si="150"/>
        <v>313.36201272119723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17.978153806649452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3.7462640617485136E-11</v>
      </c>
      <c r="DI153" s="22">
        <f t="shared" si="123"/>
        <v>17.978153806686915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5.916666666666667</v>
      </c>
      <c r="DO153" s="12">
        <f>IF('Données projet'!$A$166&gt;35,DO152+DN153-DW152,IF(A153&lt;'Données projet'!$A$166,$DL$205^A153,IF(A153='Données projet'!$A$166,'Données projet'!$B$166,DO152+DN153-DW152)))</f>
        <v>320.74999999999955</v>
      </c>
      <c r="DP153" s="17">
        <f>DO153*VLOOKUP('Données projet'!$B$14,Paramètres!$A$1:$I$89,3,0)*VLOOKUP('Données projet'!$B$14,Paramètres!$A$1:$I$89,5,0)</f>
        <v>310.2293999999996</v>
      </c>
      <c r="DQ153" s="13">
        <f t="shared" si="151"/>
        <v>73.316735959424847</v>
      </c>
      <c r="DR153" s="20">
        <f t="shared" si="124"/>
        <v>668.00952012933078</v>
      </c>
      <c r="DS153" s="59">
        <f t="shared" si="125"/>
        <v>961.34285346266415</v>
      </c>
      <c r="DT153" s="59">
        <f ca="1">AVERAGE(OFFSET($DS$3,0,0,'Données projet'!$E$14+1,1))-AVERAGE(OFFSET($H$3,0,0,'Données projet'!$E$14+1,1))</f>
        <v>325.01961068962373</v>
      </c>
      <c r="DU153" s="59">
        <f t="shared" si="152"/>
        <v>155.12737608540039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45.967837544574024</v>
      </c>
      <c r="EB153" s="21">
        <f>EXP(-LN(2)/25)*EB152+(1-EXP(-LN(2)/25))/(LN(2)/25)*Calculateur!DW153*Calculateur!DY153*VLOOKUP('Données projet'!$B$14,Paramètres!$A$1:$I$89,3,0)*0.475*44/12</f>
        <v>11.769612290392073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57.7374498349661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-1.7053025658242404E-13</v>
      </c>
      <c r="EK153" s="17">
        <f>EJ153*VLOOKUP('Données projet'!$B$15,Paramètres!$A$1:$I$89,3,0)*VLOOKUP('Données projet'!$B$15,Paramètres!$A$1:$I$89,5,0)</f>
        <v>-1.1439169611549005E-13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178.09619481964575</v>
      </c>
      <c r="EP153" s="59">
        <f t="shared" si="154"/>
        <v>178.65167777495174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22.378491627794276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1.0211244804749363E-9</v>
      </c>
      <c r="EY153" s="22">
        <f t="shared" si="129"/>
        <v>22.3784916288154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-1.3567387213697657E-13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219.43439115440339</v>
      </c>
      <c r="FK153" s="59">
        <f t="shared" si="156"/>
        <v>217.8880462742099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26.541931930639727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1.2111011280051577E-9</v>
      </c>
      <c r="FT153" s="22">
        <f t="shared" si="132"/>
        <v>26.541931931850829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191.77102466144095</v>
      </c>
      <c r="GF153" s="59">
        <f t="shared" si="158"/>
        <v>205.57161411620217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19.553028627614559</v>
      </c>
      <c r="GM153" s="21">
        <f>EXP(-LN(2)/25)*GM152+(1-EXP(-LN(2)/25))/(LN(2)/25)*Calculateur!GH153*Calculateur!GJ153*VLOOKUP('Données projet'!$B$17,Paramètres!$A$1:$I$89,3,0)*0.475*44/12</f>
        <v>2.0049356223773422</v>
      </c>
      <c r="GN153" s="21">
        <f>EXP(-LN(2)/2)*GN152+(1-EXP(-LN(2)/2))/(LN(2)/2)*GH153*GK153*VLOOKUP('Données projet'!$B$17,Paramètres!$A$1:$I$89,3,0)*0.475*44/12</f>
        <v>1.2210977880759504E-12</v>
      </c>
      <c r="GO153" s="21">
        <f t="shared" si="135"/>
        <v>21.557964249993123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84.31577618130467</v>
      </c>
      <c r="T154" s="59">
        <f t="shared" si="142"/>
        <v>527.2140904310653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11.134087295009516</v>
      </c>
      <c r="AA154" s="21">
        <f>EXP(-LN(2)/25)*AA153+(1-EXP(-LN(2)/25))/(LN(2)/25)*Calculateur!V154*Calculateur!X154*VLOOKUP('Données projet'!$B$9,Paramètres!$A$1:$I$89,3,0)*0.475*44/12</f>
        <v>1.2306527422056628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12.36474003721518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5.916666666666667</v>
      </c>
      <c r="AI154" s="13">
        <f>IF('Données projet'!$A$62&gt;35,AI153+AH154-AQ153,IF(A154&lt;'Données projet'!$A$62,$AF$205^A154,IF(A154='Données projet'!$A$62,'Données projet'!$B$62,AI153+AH154-AQ153)))</f>
        <v>326.66666666666623</v>
      </c>
      <c r="AJ154" s="13">
        <f>AI154*VLOOKUP('Données projet'!$B$10,Paramètres!$A$1:$I$89,3,0)*VLOOKUP('Données projet'!$B$10,Paramètres!$A$1:$I$89,5,0)</f>
        <v>295.56799999999959</v>
      </c>
      <c r="AK154" s="13">
        <f t="shared" ref="AK154:AK203" si="164">EXP(-1.0587+0.8836*LN(AJ154)+0.284)</f>
        <v>70.246542751571198</v>
      </c>
      <c r="AL154" s="20">
        <f t="shared" ref="AL154:AL203" si="165">(AJ154+AK154)*0.475*44/12</f>
        <v>637.12699529231918</v>
      </c>
      <c r="AM154" s="59">
        <f t="shared" si="113"/>
        <v>930.46032862565244</v>
      </c>
      <c r="AN154" s="59">
        <f ca="1">AVERAGE(OFFSET($AM$3,0,0,'Données projet'!$E$10+1,1))-AVERAGE(OFFSET($H$3,0,0,'Données projet'!$E$10+1,1))</f>
        <v>297.90790572649428</v>
      </c>
      <c r="AO154" s="59">
        <f t="shared" si="144"/>
        <v>142.96889776844506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42.158924269360732</v>
      </c>
      <c r="AV154" s="21">
        <f>EXP(-LN(2)/25)*AV153+(1-EXP(-LN(2)/25))/(LN(2)/25)*Calculateur!AQ154*Calculateur!AS154*VLOOKUP('Données projet'!$B$10,Paramètres!$A$1:$I$89,3,0)*0.475*44/12</f>
        <v>10.709205712188853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52.868129981549586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5.916666666666667</v>
      </c>
      <c r="BD154" s="12">
        <f>IF('Données projet'!$A$88&gt;35,BD153+BC154-BL153,IF(A154&lt;'Données projet'!$A$88,$BA$205^A154,IF(A154='Données projet'!$A$88,'Données projet'!$B$88,BD153+BC154-BL153)))</f>
        <v>326.66666666666623</v>
      </c>
      <c r="BE154" s="13">
        <f>BD154*VLOOKUP('Données projet'!$B$11,Paramètres!$A$1:$I$89,3,0)*VLOOKUP('Données projet'!$B$11,Paramètres!$A$1:$I$89,5,0)</f>
        <v>331.23999999999955</v>
      </c>
      <c r="BF154" s="13">
        <f t="shared" ref="BF154:BF203" si="167">EXP(-1.0587+0.8836*LN(BE154)+0.284)</f>
        <v>77.687334665025006</v>
      </c>
      <c r="BG154" s="20">
        <f t="shared" ref="BG154:BG203" si="168">(BE154+BF154)*0.475*44/12</f>
        <v>712.21510787491763</v>
      </c>
      <c r="BH154" s="59">
        <f t="shared" si="116"/>
        <v>1005.548441208251</v>
      </c>
      <c r="BI154" s="59">
        <f ca="1">AVERAGE(OFFSET($BH$3,0,0,'Données projet'!$E$11+1,1))-AVERAGE(OFFSET($H$3,0,0,'Données projet'!$E$11+1,1))</f>
        <v>345.3294887586967</v>
      </c>
      <c r="BJ154" s="59">
        <f t="shared" si="146"/>
        <v>164.23448598618114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47.247070301869819</v>
      </c>
      <c r="BQ154" s="21">
        <f>EXP(-LN(2)/25)*BQ153+(1-EXP(-LN(2)/25))/(LN(2)/25)*Calculateur!BL154*Calculateur!BN154*VLOOKUP('Données projet'!$B$11,Paramètres!$A$1:$I$89,3,0)*0.475*44/12</f>
        <v>12.001696056763372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59.248766358633191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289.07218105343333</v>
      </c>
      <c r="CE154" s="59">
        <f t="shared" si="148"/>
        <v>217.57508587672368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40.696253915709896</v>
      </c>
      <c r="CL154" s="21">
        <f>EXP(-LN(2)/25)*CL153+(1-EXP(-LN(2)/25))/(LN(2)/25)*Calculateur!CG154*Calculateur!CI154*VLOOKUP('Données projet'!$B$12,Paramètres!$A$1:$I$89,3,0)*0.475*44/12</f>
        <v>10.406343102444833</v>
      </c>
      <c r="CM154" s="21">
        <f>EXP(-LN(2)/2)*CM153+(1-EXP(-LN(2)/2))/(LN(2)/2)*CG154*CJ154*VLOOKUP('Données projet'!$B$12,Paramètres!$A$1:$I$89,3,0)*0.475*44/12</f>
        <v>1.5952829533215847E-9</v>
      </c>
      <c r="CN154" s="22">
        <f t="shared" ref="CN154:CN203" si="172">SUM(CK154:CM154)</f>
        <v>51.102597019750007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1.7053025658242404E-13</v>
      </c>
      <c r="CU154" s="17">
        <f>CT154*VLOOKUP('Données projet'!$B$13,Paramètres!$A$1:$I$89,3,0)*VLOOKUP('Données projet'!$B$13,Paramètres!$A$1:$I$89,5,0)</f>
        <v>1.4897523215040567E-13</v>
      </c>
      <c r="CV154" s="13">
        <f t="shared" ref="CV154:CV203" si="173">EXP(-1.0587+0.8836*LN(CU154)+0.284)</f>
        <v>2.136562777003313E-12</v>
      </c>
      <c r="CW154" s="20">
        <f t="shared" ref="CW154:CW203" si="174">(CU154+CV154)*0.475*44/12</f>
        <v>3.9806453659427267E-12</v>
      </c>
      <c r="CX154" s="59">
        <f t="shared" si="122"/>
        <v>293.33333333333729</v>
      </c>
      <c r="CY154" s="59">
        <f ca="1">AVERAGE(OFFSET($CX$3,0,0,'Données projet'!$E$13+1,1))-AVERAGE(OFFSET($H$3,0,0,'Données projet'!$E$13+1,1))</f>
        <v>237.8483058552178</v>
      </c>
      <c r="CZ154" s="59">
        <f t="shared" si="150"/>
        <v>313.36201272119723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17.625613176092116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2.649008722177833E-11</v>
      </c>
      <c r="DI154" s="22">
        <f t="shared" ref="DI154:DI203" si="175">SUM(DF154:DH154)</f>
        <v>17.625613176118605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5.916666666666667</v>
      </c>
      <c r="DO154" s="12">
        <f>IF('Données projet'!$A$166&gt;35,DO153+DN154-DW153,IF(A154&lt;'Données projet'!$A$166,$DL$205^A154,IF(A154='Données projet'!$A$166,'Données projet'!$B$166,DO153+DN154-DW153)))</f>
        <v>326.66666666666623</v>
      </c>
      <c r="DP154" s="17">
        <f>DO154*VLOOKUP('Données projet'!$B$14,Paramètres!$A$1:$I$89,3,0)*VLOOKUP('Données projet'!$B$14,Paramètres!$A$1:$I$89,5,0)</f>
        <v>315.9519999999996</v>
      </c>
      <c r="DQ154" s="13">
        <f t="shared" ref="DQ154:DQ203" si="176">EXP(-1.0587+0.8836*LN(DP154)+0.284)</f>
        <v>74.510465498465976</v>
      </c>
      <c r="DR154" s="20">
        <f t="shared" ref="DR154:DR203" si="177">(DP154+DQ154)*0.475*44/12</f>
        <v>680.05546074316078</v>
      </c>
      <c r="DS154" s="59">
        <f t="shared" si="125"/>
        <v>973.38879407649415</v>
      </c>
      <c r="DT154" s="59">
        <f ca="1">AVERAGE(OFFSET($DS$3,0,0,'Données projet'!$E$14+1,1))-AVERAGE(OFFSET($H$3,0,0,'Données projet'!$E$14+1,1))</f>
        <v>325.01961068962373</v>
      </c>
      <c r="DU154" s="59">
        <f t="shared" si="152"/>
        <v>155.12737608540039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45.066436287937343</v>
      </c>
      <c r="EB154" s="21">
        <f>EXP(-LN(2)/25)*EB153+(1-EXP(-LN(2)/25))/(LN(2)/25)*Calculateur!DW154*Calculateur!DY154*VLOOKUP('Données projet'!$B$14,Paramètres!$A$1:$I$89,3,0)*0.475*44/12</f>
        <v>11.447771623374292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56.514207911311637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-1.7053025658242404E-13</v>
      </c>
      <c r="EK154" s="17">
        <f>EJ154*VLOOKUP('Données projet'!$B$15,Paramètres!$A$1:$I$89,3,0)*VLOOKUP('Données projet'!$B$15,Paramètres!$A$1:$I$89,5,0)</f>
        <v>-1.1439169611549005E-13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178.09619481964575</v>
      </c>
      <c r="EP154" s="59">
        <f t="shared" si="154"/>
        <v>178.65167777495174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21.939663056505342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7.2204404457941779E-10</v>
      </c>
      <c r="EY154" s="22">
        <f t="shared" ref="EY154:EY203" si="181">SUM(EV154:EX154)</f>
        <v>21.939663057227385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-1.3567387213697657E-13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219.43439115440339</v>
      </c>
      <c r="FK154" s="59">
        <f t="shared" si="156"/>
        <v>217.8880462742099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26.02146083445983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8.5637782031512397E-10</v>
      </c>
      <c r="FT154" s="22">
        <f t="shared" ref="FT154:FT203" si="184">SUM(FQ154:FS154)</f>
        <v>26.021460835316208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191.77102466144095</v>
      </c>
      <c r="GF154" s="59">
        <f t="shared" si="158"/>
        <v>205.57161411620217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19.16960566239689</v>
      </c>
      <c r="GM154" s="21">
        <f>EXP(-LN(2)/25)*GM153+(1-EXP(-LN(2)/25))/(LN(2)/25)*Calculateur!GH154*Calculateur!GJ154*VLOOKUP('Données projet'!$B$17,Paramètres!$A$1:$I$89,3,0)*0.475*44/12</f>
        <v>1.9501105523484519</v>
      </c>
      <c r="GN154" s="21">
        <f>EXP(-LN(2)/2)*GN153+(1-EXP(-LN(2)/2))/(LN(2)/2)*GH154*GK154*VLOOKUP('Données projet'!$B$17,Paramètres!$A$1:$I$89,3,0)*0.475*44/12</f>
        <v>8.6344652644039825E-13</v>
      </c>
      <c r="GO154" s="21">
        <f t="shared" ref="GO154:GO203" si="187">SUM(GL154:GN154)</f>
        <v>21.119716214746205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84.31577618130467</v>
      </c>
      <c r="T155" s="59">
        <f t="shared" si="142"/>
        <v>527.2140904310653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10.915754634277063</v>
      </c>
      <c r="AA155" s="21">
        <f>EXP(-LN(2)/25)*AA154+(1-EXP(-LN(2)/25))/(LN(2)/25)*Calculateur!V155*Calculateur!X155*VLOOKUP('Données projet'!$B$9,Paramètres!$A$1:$I$89,3,0)*0.475*44/12</f>
        <v>1.1970004782528338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12.112755112529896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5.916666666666667</v>
      </c>
      <c r="AI155" s="13">
        <f>IF('Données projet'!$A$62&gt;35,AI154+AH155-AQ154,IF(A155&lt;'Données projet'!$A$62,$AF$205^A155,IF(A155='Données projet'!$A$62,'Données projet'!$B$62,AI154+AH155-AQ154)))</f>
        <v>332.58333333333292</v>
      </c>
      <c r="AJ155" s="13">
        <f>AI155*VLOOKUP('Données projet'!$B$10,Paramètres!$A$1:$I$89,3,0)*VLOOKUP('Données projet'!$B$10,Paramètres!$A$1:$I$89,5,0)</f>
        <v>300.92139999999961</v>
      </c>
      <c r="AK155" s="13">
        <f t="shared" si="164"/>
        <v>71.369589818644357</v>
      </c>
      <c r="AL155" s="20">
        <f t="shared" si="165"/>
        <v>648.40680726747155</v>
      </c>
      <c r="AM155" s="59">
        <f t="shared" si="113"/>
        <v>941.74014060080481</v>
      </c>
      <c r="AN155" s="59">
        <f ca="1">AVERAGE(OFFSET($AM$3,0,0,'Données projet'!$E$10+1,1))-AVERAGE(OFFSET($H$3,0,0,'Données projet'!$E$10+1,1))</f>
        <v>297.90790572649428</v>
      </c>
      <c r="AO155" s="59">
        <f t="shared" si="144"/>
        <v>142.96889776844506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41.332213478843286</v>
      </c>
      <c r="AV155" s="21">
        <f>EXP(-LN(2)/25)*AV154+(1-EXP(-LN(2)/25))/(LN(2)/25)*Calculateur!AQ155*Calculateur!AS155*VLOOKUP('Données projet'!$B$10,Paramètres!$A$1:$I$89,3,0)*0.475*44/12</f>
        <v>10.416361918816396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51.748575397659678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5.916666666666667</v>
      </c>
      <c r="BD155" s="12">
        <f>IF('Données projet'!$A$88&gt;35,BD154+BC155-BL154,IF(A155&lt;'Données projet'!$A$88,$BA$205^A155,IF(A155='Données projet'!$A$88,'Données projet'!$B$88,BD154+BC155-BL154)))</f>
        <v>332.58333333333292</v>
      </c>
      <c r="BE155" s="13">
        <f>BD155*VLOOKUP('Données projet'!$B$11,Paramètres!$A$1:$I$89,3,0)*VLOOKUP('Données projet'!$B$11,Paramètres!$A$1:$I$89,5,0)</f>
        <v>337.23949999999957</v>
      </c>
      <c r="BF155" s="13">
        <f t="shared" si="167"/>
        <v>78.929339323572208</v>
      </c>
      <c r="BG155" s="20">
        <f t="shared" si="168"/>
        <v>724.82739515522064</v>
      </c>
      <c r="BH155" s="59">
        <f t="shared" si="116"/>
        <v>1018.160728488554</v>
      </c>
      <c r="BI155" s="59">
        <f ca="1">AVERAGE(OFFSET($BH$3,0,0,'Données projet'!$E$11+1,1))-AVERAGE(OFFSET($H$3,0,0,'Données projet'!$E$11+1,1))</f>
        <v>345.3294887586967</v>
      </c>
      <c r="BJ155" s="59">
        <f t="shared" si="146"/>
        <v>164.23448598618114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46.320584071117509</v>
      </c>
      <c r="BQ155" s="21">
        <f>EXP(-LN(2)/25)*BQ154+(1-EXP(-LN(2)/25))/(LN(2)/25)*Calculateur!BL155*Calculateur!BN155*VLOOKUP('Données projet'!$B$11,Paramètres!$A$1:$I$89,3,0)*0.475*44/12</f>
        <v>11.673509046949412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57.994093118066921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289.07218105343333</v>
      </c>
      <c r="CE155" s="59">
        <f t="shared" si="148"/>
        <v>217.57508587672368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39.898225198686717</v>
      </c>
      <c r="CL155" s="21">
        <f>EXP(-LN(2)/25)*CL154+(1-EXP(-LN(2)/25))/(LN(2)/25)*Calculateur!CG155*Calculateur!CI155*VLOOKUP('Données projet'!$B$12,Paramètres!$A$1:$I$89,3,0)*0.475*44/12</f>
        <v>10.121781103062679</v>
      </c>
      <c r="CM155" s="21">
        <f>EXP(-LN(2)/2)*CM154+(1-EXP(-LN(2)/2))/(LN(2)/2)*CG155*CJ155*VLOOKUP('Données projet'!$B$12,Paramètres!$A$1:$I$89,3,0)*0.475*44/12</f>
        <v>1.1280353942049951E-9</v>
      </c>
      <c r="CN155" s="22">
        <f t="shared" si="172"/>
        <v>50.020006302877434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1.7053025658242404E-13</v>
      </c>
      <c r="CU155" s="17">
        <f>CT155*VLOOKUP('Données projet'!$B$13,Paramètres!$A$1:$I$89,3,0)*VLOOKUP('Données projet'!$B$13,Paramètres!$A$1:$I$89,5,0)</f>
        <v>1.4897523215040567E-13</v>
      </c>
      <c r="CV155" s="13">
        <f t="shared" si="173"/>
        <v>2.136562777003313E-12</v>
      </c>
      <c r="CW155" s="20">
        <f t="shared" si="174"/>
        <v>3.9806453659427267E-12</v>
      </c>
      <c r="CX155" s="59">
        <f t="shared" si="122"/>
        <v>293.33333333333729</v>
      </c>
      <c r="CY155" s="59">
        <f ca="1">AVERAGE(OFFSET($CX$3,0,0,'Données projet'!$E$13+1,1))-AVERAGE(OFFSET($H$3,0,0,'Données projet'!$E$13+1,1))</f>
        <v>237.8483058552178</v>
      </c>
      <c r="CZ155" s="59">
        <f t="shared" si="150"/>
        <v>313.36201272119723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17.279985652271456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1.8731320308742568E-11</v>
      </c>
      <c r="DI155" s="22">
        <f t="shared" si="175"/>
        <v>17.279985652290186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5.916666666666667</v>
      </c>
      <c r="DO155" s="12">
        <f>IF('Données projet'!$A$166&gt;35,DO154+DN155-DW154,IF(A155&lt;'Données projet'!$A$166,$DL$205^A155,IF(A155='Données projet'!$A$166,'Données projet'!$B$166,DO154+DN155-DW154)))</f>
        <v>332.58333333333292</v>
      </c>
      <c r="DP155" s="17">
        <f>DO155*VLOOKUP('Données projet'!$B$14,Paramètres!$A$1:$I$89,3,0)*VLOOKUP('Données projet'!$B$14,Paramètres!$A$1:$I$89,5,0)</f>
        <v>321.6745999999996</v>
      </c>
      <c r="DQ155" s="13">
        <f t="shared" si="176"/>
        <v>75.701680844682286</v>
      </c>
      <c r="DR155" s="20">
        <f t="shared" si="177"/>
        <v>692.09702247115422</v>
      </c>
      <c r="DS155" s="59">
        <f t="shared" si="125"/>
        <v>985.43035580448759</v>
      </c>
      <c r="DT155" s="59">
        <f ca="1">AVERAGE(OFFSET($DS$3,0,0,'Données projet'!$E$14+1,1))-AVERAGE(OFFSET($H$3,0,0,'Données projet'!$E$14+1,1))</f>
        <v>325.01961068962373</v>
      </c>
      <c r="DU155" s="59">
        <f t="shared" si="152"/>
        <v>155.12737608540039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44.182710960142828</v>
      </c>
      <c r="EB155" s="21">
        <f>EXP(-LN(2)/25)*EB154+(1-EXP(-LN(2)/25))/(LN(2)/25)*Calculateur!DW155*Calculateur!DY155*VLOOKUP('Données projet'!$B$14,Paramètres!$A$1:$I$89,3,0)*0.475*44/12</f>
        <v>11.134731706320977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55.317442666463805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-1.7053025658242404E-13</v>
      </c>
      <c r="EK155" s="17">
        <f>EJ155*VLOOKUP('Données projet'!$B$15,Paramètres!$A$1:$I$89,3,0)*VLOOKUP('Données projet'!$B$15,Paramètres!$A$1:$I$89,5,0)</f>
        <v>-1.1439169611549005E-13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178.09619481964575</v>
      </c>
      <c r="EP155" s="59">
        <f t="shared" si="154"/>
        <v>178.65167777495174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21.509439645840388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5.1056224023746814E-10</v>
      </c>
      <c r="EY155" s="22">
        <f t="shared" si="181"/>
        <v>21.509439646350948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-1.3567387213697657E-13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219.43439115440339</v>
      </c>
      <c r="FK155" s="59">
        <f t="shared" si="156"/>
        <v>217.8880462742099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25.511195859019999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6.0555056400257887E-10</v>
      </c>
      <c r="FT155" s="22">
        <f t="shared" si="184"/>
        <v>25.511195859625548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191.77102466144095</v>
      </c>
      <c r="GF155" s="59">
        <f t="shared" si="158"/>
        <v>205.57161411620217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18.793701387662221</v>
      </c>
      <c r="GM155" s="21">
        <f>EXP(-LN(2)/25)*GM154+(1-EXP(-LN(2)/25))/(LN(2)/25)*Calculateur!GH155*Calculateur!GJ155*VLOOKUP('Données projet'!$B$17,Paramètres!$A$1:$I$89,3,0)*0.475*44/12</f>
        <v>1.8967846767426266</v>
      </c>
      <c r="GN155" s="21">
        <f>EXP(-LN(2)/2)*GN154+(1-EXP(-LN(2)/2))/(LN(2)/2)*GH155*GK155*VLOOKUP('Données projet'!$B$17,Paramètres!$A$1:$I$89,3,0)*0.475*44/12</f>
        <v>6.105488940379752E-13</v>
      </c>
      <c r="GO155" s="21">
        <f t="shared" si="187"/>
        <v>20.690486064405459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84.31577618130467</v>
      </c>
      <c r="T156" s="59">
        <f t="shared" si="142"/>
        <v>527.2140904310653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10.701703343851799</v>
      </c>
      <c r="AA156" s="21">
        <f>EXP(-LN(2)/25)*AA155+(1-EXP(-LN(2)/25))/(LN(2)/25)*Calculateur!V156*Calculateur!X156*VLOOKUP('Données projet'!$B$9,Paramètres!$A$1:$I$89,3,0)*0.475*44/12</f>
        <v>1.1642684372274907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11.86597178107929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5.916666666666667</v>
      </c>
      <c r="AI156" s="13">
        <f>IF('Données projet'!$A$62&gt;35,AI155+AH156-AQ155,IF(A156&lt;'Données projet'!$A$62,$AF$205^A156,IF(A156='Données projet'!$A$62,'Données projet'!$B$62,AI155+AH156-AQ155)))</f>
        <v>338.4999999999996</v>
      </c>
      <c r="AJ156" s="13">
        <f>AI156*VLOOKUP('Données projet'!$B$10,Paramètres!$A$1:$I$89,3,0)*VLOOKUP('Données projet'!$B$10,Paramètres!$A$1:$I$89,5,0)</f>
        <v>306.27479999999963</v>
      </c>
      <c r="AK156" s="13">
        <f t="shared" si="164"/>
        <v>72.490313602282981</v>
      </c>
      <c r="AL156" s="20">
        <f t="shared" si="165"/>
        <v>659.68257285730886</v>
      </c>
      <c r="AM156" s="59">
        <f t="shared" si="113"/>
        <v>953.01590619064223</v>
      </c>
      <c r="AN156" s="59">
        <f ca="1">AVERAGE(OFFSET($AM$3,0,0,'Données projet'!$E$10+1,1))-AVERAGE(OFFSET($H$3,0,0,'Données projet'!$E$10+1,1))</f>
        <v>297.90790572649428</v>
      </c>
      <c r="AO156" s="59">
        <f t="shared" si="144"/>
        <v>142.96889776844506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40.521713982684098</v>
      </c>
      <c r="AV156" s="21">
        <f>EXP(-LN(2)/25)*AV155+(1-EXP(-LN(2)/25))/(LN(2)/25)*Calculateur!AQ156*Calculateur!AS156*VLOOKUP('Données projet'!$B$10,Paramètres!$A$1:$I$89,3,0)*0.475*44/12</f>
        <v>10.131525954373695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50.653239937057791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5.916666666666667</v>
      </c>
      <c r="BD156" s="12">
        <f>IF('Données projet'!$A$88&gt;35,BD155+BC156-BL155,IF(A156&lt;'Données projet'!$A$88,$BA$205^A156,IF(A156='Données projet'!$A$88,'Données projet'!$B$88,BD155+BC156-BL155)))</f>
        <v>338.4999999999996</v>
      </c>
      <c r="BE156" s="13">
        <f>BD156*VLOOKUP('Données projet'!$B$11,Paramètres!$A$1:$I$89,3,0)*VLOOKUP('Données projet'!$B$11,Paramètres!$A$1:$I$89,5,0)</f>
        <v>343.23899999999963</v>
      </c>
      <c r="BF156" s="13">
        <f t="shared" si="167"/>
        <v>80.168774607305735</v>
      </c>
      <c r="BG156" s="20">
        <f t="shared" si="168"/>
        <v>737.43520744105683</v>
      </c>
      <c r="BH156" s="59">
        <f t="shared" si="116"/>
        <v>1030.7685407743902</v>
      </c>
      <c r="BI156" s="59">
        <f ca="1">AVERAGE(OFFSET($BH$3,0,0,'Données projet'!$E$11+1,1))-AVERAGE(OFFSET($H$3,0,0,'Données projet'!$E$11+1,1))</f>
        <v>345.3294887586967</v>
      </c>
      <c r="BJ156" s="59">
        <f t="shared" si="146"/>
        <v>164.23448598618114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45.412265670249447</v>
      </c>
      <c r="BQ156" s="21">
        <f>EXP(-LN(2)/25)*BQ155+(1-EXP(-LN(2)/25))/(LN(2)/25)*Calculateur!BL156*Calculateur!BN156*VLOOKUP('Données projet'!$B$11,Paramètres!$A$1:$I$89,3,0)*0.475*44/12</f>
        <v>11.354296328177421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56.766561998426866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289.07218105343333</v>
      </c>
      <c r="CE156" s="59">
        <f t="shared" si="148"/>
        <v>217.57508587672368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39.11584533805491</v>
      </c>
      <c r="CL156" s="21">
        <f>EXP(-LN(2)/25)*CL155+(1-EXP(-LN(2)/25))/(LN(2)/25)*Calculateur!CG156*Calculateur!CI156*VLOOKUP('Données projet'!$B$12,Paramètres!$A$1:$I$89,3,0)*0.475*44/12</f>
        <v>9.8450004665180959</v>
      </c>
      <c r="CM156" s="21">
        <f>EXP(-LN(2)/2)*CM155+(1-EXP(-LN(2)/2))/(LN(2)/2)*CG156*CJ156*VLOOKUP('Données projet'!$B$12,Paramètres!$A$1:$I$89,3,0)*0.475*44/12</f>
        <v>7.9764147666079235E-10</v>
      </c>
      <c r="CN156" s="22">
        <f t="shared" si="172"/>
        <v>48.960845805370646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1.7053025658242404E-13</v>
      </c>
      <c r="CU156" s="17">
        <f>CT156*VLOOKUP('Données projet'!$B$13,Paramètres!$A$1:$I$89,3,0)*VLOOKUP('Données projet'!$B$13,Paramètres!$A$1:$I$89,5,0)</f>
        <v>1.4897523215040567E-13</v>
      </c>
      <c r="CV156" s="13">
        <f t="shared" si="173"/>
        <v>2.136562777003313E-12</v>
      </c>
      <c r="CW156" s="20">
        <f t="shared" si="174"/>
        <v>3.9806453659427267E-12</v>
      </c>
      <c r="CX156" s="59">
        <f t="shared" si="122"/>
        <v>293.33333333333729</v>
      </c>
      <c r="CY156" s="59">
        <f ca="1">AVERAGE(OFFSET($CX$3,0,0,'Données projet'!$E$13+1,1))-AVERAGE(OFFSET($H$3,0,0,'Données projet'!$E$13+1,1))</f>
        <v>237.8483058552178</v>
      </c>
      <c r="CZ156" s="59">
        <f t="shared" si="150"/>
        <v>313.36201272119723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16.941135673380948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1.3245043610889165E-11</v>
      </c>
      <c r="DI156" s="22">
        <f t="shared" si="175"/>
        <v>16.941135673394193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5.916666666666667</v>
      </c>
      <c r="DO156" s="12">
        <f>IF('Données projet'!$A$166&gt;35,DO155+DN156-DW155,IF(A156&lt;'Données projet'!$A$166,$DL$205^A156,IF(A156='Données projet'!$A$166,'Données projet'!$B$166,DO155+DN156-DW155)))</f>
        <v>338.4999999999996</v>
      </c>
      <c r="DP156" s="17">
        <f>DO156*VLOOKUP('Données projet'!$B$14,Paramètres!$A$1:$I$89,3,0)*VLOOKUP('Données projet'!$B$14,Paramètres!$A$1:$I$89,5,0)</f>
        <v>327.3971999999996</v>
      </c>
      <c r="DQ156" s="13">
        <f t="shared" si="176"/>
        <v>76.890431885561796</v>
      </c>
      <c r="DR156" s="20">
        <f t="shared" si="177"/>
        <v>704.13429220068599</v>
      </c>
      <c r="DS156" s="59">
        <f t="shared" si="125"/>
        <v>997.46762553401936</v>
      </c>
      <c r="DT156" s="59">
        <f ca="1">AVERAGE(OFFSET($DS$3,0,0,'Données projet'!$E$14+1,1))-AVERAGE(OFFSET($H$3,0,0,'Données projet'!$E$14+1,1))</f>
        <v>325.01961068962373</v>
      </c>
      <c r="DU156" s="59">
        <f t="shared" si="152"/>
        <v>155.12737608540039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43.316314947007143</v>
      </c>
      <c r="EB156" s="21">
        <f>EXP(-LN(2)/25)*EB155+(1-EXP(-LN(2)/25))/(LN(2)/25)*Calculateur!DW156*Calculateur!DY156*VLOOKUP('Données projet'!$B$14,Paramètres!$A$1:$I$89,3,0)*0.475*44/12</f>
        <v>10.830251882261539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54.146566829268679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-1.7053025658242404E-13</v>
      </c>
      <c r="EK156" s="17">
        <f>EJ156*VLOOKUP('Données projet'!$B$15,Paramètres!$A$1:$I$89,3,0)*VLOOKUP('Données projet'!$B$15,Paramètres!$A$1:$I$89,5,0)</f>
        <v>-1.1439169611549005E-13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178.09619481964575</v>
      </c>
      <c r="EP156" s="59">
        <f t="shared" si="154"/>
        <v>178.65167777495174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21.087652653848203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3.610220222897089E-10</v>
      </c>
      <c r="EY156" s="22">
        <f t="shared" si="181"/>
        <v>21.087652654209226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-1.3567387213697657E-13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219.43439115440339</v>
      </c>
      <c r="FK156" s="59">
        <f t="shared" si="156"/>
        <v>217.8880462742099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25.010936868517639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4.2818891015756198E-10</v>
      </c>
      <c r="FT156" s="22">
        <f t="shared" si="184"/>
        <v>25.010936868945826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191.77102466144095</v>
      </c>
      <c r="GF156" s="59">
        <f t="shared" si="158"/>
        <v>205.57161411620217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18.425168366476132</v>
      </c>
      <c r="GM156" s="21">
        <f>EXP(-LN(2)/25)*GM155+(1-EXP(-LN(2)/25))/(LN(2)/25)*Calculateur!GH156*Calculateur!GJ156*VLOOKUP('Données projet'!$B$17,Paramètres!$A$1:$I$89,3,0)*0.475*44/12</f>
        <v>1.8449170000095285</v>
      </c>
      <c r="GN156" s="21">
        <f>EXP(-LN(2)/2)*GN155+(1-EXP(-LN(2)/2))/(LN(2)/2)*GH156*GK156*VLOOKUP('Données projet'!$B$17,Paramètres!$A$1:$I$89,3,0)*0.475*44/12</f>
        <v>4.3172326322019913E-13</v>
      </c>
      <c r="GO156" s="21">
        <f t="shared" si="187"/>
        <v>20.270085366486093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84.31577618130467</v>
      </c>
      <c r="T157" s="59">
        <f t="shared" si="142"/>
        <v>527.2140904310653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10.491849468673378</v>
      </c>
      <c r="AA157" s="21">
        <f>EXP(-LN(2)/25)*AA156+(1-EXP(-LN(2)/25))/(LN(2)/25)*Calculateur!V157*Calculateur!X157*VLOOKUP('Données projet'!$B$9,Paramètres!$A$1:$I$89,3,0)*0.475*44/12</f>
        <v>1.1324314555852888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11.624280924258667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5.916666666666667</v>
      </c>
      <c r="AI157" s="13">
        <f>IF('Données projet'!$A$62&gt;35,AI156+AH157-AQ156,IF(A157&lt;'Données projet'!$A$62,$AF$205^A157,IF(A157='Données projet'!$A$62,'Données projet'!$B$62,AI156+AH157-AQ156)))</f>
        <v>344.41666666666629</v>
      </c>
      <c r="AJ157" s="13">
        <f>AI157*VLOOKUP('Données projet'!$B$10,Paramètres!$A$1:$I$89,3,0)*VLOOKUP('Données projet'!$B$10,Paramètres!$A$1:$I$89,5,0)</f>
        <v>311.62819999999965</v>
      </c>
      <c r="AK157" s="13">
        <f t="shared" si="164"/>
        <v>73.60875939676184</v>
      </c>
      <c r="AL157" s="20">
        <f t="shared" si="165"/>
        <v>670.9543709493596</v>
      </c>
      <c r="AM157" s="59">
        <f t="shared" si="113"/>
        <v>964.28770428269286</v>
      </c>
      <c r="AN157" s="59">
        <f ca="1">AVERAGE(OFFSET($AM$3,0,0,'Données projet'!$E$10+1,1))-AVERAGE(OFFSET($H$3,0,0,'Données projet'!$E$10+1,1))</f>
        <v>297.90790572649428</v>
      </c>
      <c r="AO157" s="59">
        <f t="shared" si="144"/>
        <v>142.96889776844506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39.72710788728871</v>
      </c>
      <c r="AV157" s="21">
        <f>EXP(-LN(2)/25)*AV156+(1-EXP(-LN(2)/25))/(LN(2)/25)*Calculateur!AQ157*Calculateur!AS157*VLOOKUP('Données projet'!$B$10,Paramètres!$A$1:$I$89,3,0)*0.475*44/12</f>
        <v>9.8544788443575513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49.581586731646262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5.916666666666667</v>
      </c>
      <c r="BD157" s="12">
        <f>IF('Données projet'!$A$88&gt;35,BD156+BC157-BL156,IF(A157&lt;'Données projet'!$A$88,$BA$205^A157,IF(A157='Données projet'!$A$88,'Données projet'!$B$88,BD156+BC157-BL156)))</f>
        <v>344.41666666666629</v>
      </c>
      <c r="BE157" s="13">
        <f>BD157*VLOOKUP('Données projet'!$B$11,Paramètres!$A$1:$I$89,3,0)*VLOOKUP('Données projet'!$B$11,Paramètres!$A$1:$I$89,5,0)</f>
        <v>349.23849999999965</v>
      </c>
      <c r="BF157" s="13">
        <f t="shared" si="167"/>
        <v>81.405690608249003</v>
      </c>
      <c r="BG157" s="20">
        <f t="shared" si="168"/>
        <v>750.03863197603312</v>
      </c>
      <c r="BH157" s="59">
        <f t="shared" si="116"/>
        <v>1043.3719653093665</v>
      </c>
      <c r="BI157" s="59">
        <f ca="1">AVERAGE(OFFSET($BH$3,0,0,'Données projet'!$E$11+1,1))-AVERAGE(OFFSET($H$3,0,0,'Données projet'!$E$11+1,1))</f>
        <v>345.3294887586967</v>
      </c>
      <c r="BJ157" s="59">
        <f t="shared" si="146"/>
        <v>164.23448598618114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44.521758839202889</v>
      </c>
      <c r="BQ157" s="21">
        <f>EXP(-LN(2)/25)*BQ156+(1-EXP(-LN(2)/25))/(LN(2)/25)*Calculateur!BL157*Calculateur!BN157*VLOOKUP('Données projet'!$B$11,Paramètres!$A$1:$I$89,3,0)*0.475*44/12</f>
        <v>11.043812497986917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55.565571337189809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289.07218105343333</v>
      </c>
      <c r="CE157" s="59">
        <f t="shared" si="148"/>
        <v>217.57508587672368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38.348807469285497</v>
      </c>
      <c r="CL157" s="21">
        <f>EXP(-LN(2)/25)*CL156+(1-EXP(-LN(2)/25))/(LN(2)/25)*Calculateur!CG157*Calculateur!CI157*VLOOKUP('Données projet'!$B$12,Paramètres!$A$1:$I$89,3,0)*0.475*44/12</f>
        <v>9.5757884110350844</v>
      </c>
      <c r="CM157" s="21">
        <f>EXP(-LN(2)/2)*CM156+(1-EXP(-LN(2)/2))/(LN(2)/2)*CG157*CJ157*VLOOKUP('Données projet'!$B$12,Paramètres!$A$1:$I$89,3,0)*0.475*44/12</f>
        <v>5.6401769710249754E-10</v>
      </c>
      <c r="CN157" s="22">
        <f t="shared" si="172"/>
        <v>47.924595880884596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1.7053025658242404E-13</v>
      </c>
      <c r="CU157" s="17">
        <f>CT157*VLOOKUP('Données projet'!$B$13,Paramètres!$A$1:$I$89,3,0)*VLOOKUP('Données projet'!$B$13,Paramètres!$A$1:$I$89,5,0)</f>
        <v>1.4897523215040567E-13</v>
      </c>
      <c r="CV157" s="13">
        <f t="shared" si="173"/>
        <v>2.136562777003313E-12</v>
      </c>
      <c r="CW157" s="20">
        <f t="shared" si="174"/>
        <v>3.9806453659427267E-12</v>
      </c>
      <c r="CX157" s="59">
        <f t="shared" si="122"/>
        <v>293.33333333333729</v>
      </c>
      <c r="CY157" s="59">
        <f ca="1">AVERAGE(OFFSET($CX$3,0,0,'Données projet'!$E$13+1,1))-AVERAGE(OFFSET($H$3,0,0,'Données projet'!$E$13+1,1))</f>
        <v>237.8483058552178</v>
      </c>
      <c r="CZ157" s="59">
        <f t="shared" si="150"/>
        <v>313.36201272119723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16.608930335898403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9.365660154371284E-12</v>
      </c>
      <c r="DI157" s="22">
        <f t="shared" si="175"/>
        <v>16.608930335907768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5.916666666666667</v>
      </c>
      <c r="DO157" s="12">
        <f>IF('Données projet'!$A$166&gt;35,DO156+DN157-DW156,IF(A157&lt;'Données projet'!$A$166,$DL$205^A157,IF(A157='Données projet'!$A$166,'Données projet'!$B$166,DO156+DN157-DW156)))</f>
        <v>344.41666666666629</v>
      </c>
      <c r="DP157" s="17">
        <f>DO157*VLOOKUP('Données projet'!$B$14,Paramètres!$A$1:$I$89,3,0)*VLOOKUP('Données projet'!$B$14,Paramètres!$A$1:$I$89,5,0)</f>
        <v>333.11979999999966</v>
      </c>
      <c r="DQ157" s="13">
        <f t="shared" si="176"/>
        <v>78.076766664714427</v>
      </c>
      <c r="DR157" s="20">
        <f t="shared" si="177"/>
        <v>716.1673536077102</v>
      </c>
      <c r="DS157" s="59">
        <f t="shared" si="125"/>
        <v>1009.5006869410436</v>
      </c>
      <c r="DT157" s="59">
        <f ca="1">AVERAGE(OFFSET($DS$3,0,0,'Données projet'!$E$14+1,1))-AVERAGE(OFFSET($H$3,0,0,'Données projet'!$E$14+1,1))</f>
        <v>325.01961068962373</v>
      </c>
      <c r="DU157" s="59">
        <f t="shared" si="152"/>
        <v>155.12737608540039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42.466908431239659</v>
      </c>
      <c r="EB157" s="21">
        <f>EXP(-LN(2)/25)*EB156+(1-EXP(-LN(2)/25))/(LN(2)/25)*Calculateur!DW157*Calculateur!DY157*VLOOKUP('Données projet'!$B$14,Paramètres!$A$1:$I$89,3,0)*0.475*44/12</f>
        <v>10.534098075002904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53.001006506242561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-1.7053025658242404E-13</v>
      </c>
      <c r="EK157" s="17">
        <f>EJ157*VLOOKUP('Données projet'!$B$15,Paramètres!$A$1:$I$89,3,0)*VLOOKUP('Données projet'!$B$15,Paramètres!$A$1:$I$89,5,0)</f>
        <v>-1.1439169611549005E-13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178.09619481964575</v>
      </c>
      <c r="EP157" s="59">
        <f t="shared" si="154"/>
        <v>178.65167777495174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20.674136647504323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2.5528112011873407E-10</v>
      </c>
      <c r="EY157" s="22">
        <f t="shared" si="181"/>
        <v>20.674136647759603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-1.3567387213697657E-13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219.43439115440339</v>
      </c>
      <c r="FK157" s="59">
        <f t="shared" si="156"/>
        <v>217.8880462742099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24.520487651691177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3.0277528200128944E-10</v>
      </c>
      <c r="FT157" s="22">
        <f t="shared" si="184"/>
        <v>24.520487651993953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191.77102466144095</v>
      </c>
      <c r="GF157" s="59">
        <f t="shared" si="158"/>
        <v>205.57161411620217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18.063862053052553</v>
      </c>
      <c r="GM157" s="21">
        <f>EXP(-LN(2)/25)*GM156+(1-EXP(-LN(2)/25))/(LN(2)/25)*Calculateur!GH157*Calculateur!GJ157*VLOOKUP('Données projet'!$B$17,Paramètres!$A$1:$I$89,3,0)*0.475*44/12</f>
        <v>1.7944676476242996</v>
      </c>
      <c r="GN157" s="21">
        <f>EXP(-LN(2)/2)*GN156+(1-EXP(-LN(2)/2))/(LN(2)/2)*GH157*GK157*VLOOKUP('Données projet'!$B$17,Paramètres!$A$1:$I$89,3,0)*0.475*44/12</f>
        <v>3.052744470189876E-13</v>
      </c>
      <c r="GO157" s="21">
        <f t="shared" si="187"/>
        <v>19.858329700677157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84.31577618130467</v>
      </c>
      <c r="T158" s="59">
        <f t="shared" si="142"/>
        <v>527.2140904310653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10.286110699988981</v>
      </c>
      <c r="AA158" s="21">
        <f>EXP(-LN(2)/25)*AA157+(1-EXP(-LN(2)/25))/(LN(2)/25)*Calculateur!V158*Calculateur!X158*VLOOKUP('Données projet'!$B$9,Paramètres!$A$1:$I$89,3,0)*0.475*44/12</f>
        <v>1.1014650578803271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11.387575757869309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5.916666666666667</v>
      </c>
      <c r="AI158" s="13">
        <f>IF('Données projet'!$A$62&gt;35,AI157+AH158-AQ157,IF(A158&lt;'Données projet'!$A$62,$AF$205^A158,IF(A158='Données projet'!$A$62,'Données projet'!$B$62,AI157+AH158-AQ157)))</f>
        <v>350.33333333333297</v>
      </c>
      <c r="AJ158" s="13">
        <f>AI158*VLOOKUP('Données projet'!$B$10,Paramètres!$A$1:$I$89,3,0)*VLOOKUP('Données projet'!$B$10,Paramètres!$A$1:$I$89,5,0)</f>
        <v>316.98159999999967</v>
      </c>
      <c r="AK158" s="13">
        <f t="shared" si="164"/>
        <v>74.724970850984903</v>
      </c>
      <c r="AL158" s="20">
        <f t="shared" si="165"/>
        <v>682.22227756546476</v>
      </c>
      <c r="AM158" s="59">
        <f t="shared" si="113"/>
        <v>975.55561089879802</v>
      </c>
      <c r="AN158" s="59">
        <f ca="1">AVERAGE(OFFSET($AM$3,0,0,'Données projet'!$E$10+1,1))-AVERAGE(OFFSET($H$3,0,0,'Données projet'!$E$10+1,1))</f>
        <v>297.90790572649428</v>
      </c>
      <c r="AO158" s="59">
        <f t="shared" si="144"/>
        <v>142.96889776844506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38.948083532762162</v>
      </c>
      <c r="AV158" s="21">
        <f>EXP(-LN(2)/25)*AV157+(1-EXP(-LN(2)/25))/(LN(2)/25)*Calculateur!AQ158*Calculateur!AS158*VLOOKUP('Données projet'!$B$10,Paramètres!$A$1:$I$89,3,0)*0.475*44/12</f>
        <v>9.5850076021340751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48.533091134896239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5.916666666666667</v>
      </c>
      <c r="BD158" s="12">
        <f>IF('Données projet'!$A$88&gt;35,BD157+BC158-BL157,IF(A158&lt;'Données projet'!$A$88,$BA$205^A158,IF(A158='Données projet'!$A$88,'Données projet'!$B$88,BD157+BC158-BL157)))</f>
        <v>350.33333333333297</v>
      </c>
      <c r="BE158" s="13">
        <f>BD158*VLOOKUP('Données projet'!$B$11,Paramètres!$A$1:$I$89,3,0)*VLOOKUP('Données projet'!$B$11,Paramètres!$A$1:$I$89,5,0)</f>
        <v>355.23799999999966</v>
      </c>
      <c r="BF158" s="13">
        <f t="shared" si="167"/>
        <v>82.640135598770925</v>
      </c>
      <c r="BG158" s="20">
        <f t="shared" si="168"/>
        <v>762.63775283452549</v>
      </c>
      <c r="BH158" s="59">
        <f t="shared" si="116"/>
        <v>1055.9710861678589</v>
      </c>
      <c r="BI158" s="59">
        <f ca="1">AVERAGE(OFFSET($BH$3,0,0,'Données projet'!$E$11+1,1))-AVERAGE(OFFSET($H$3,0,0,'Données projet'!$E$11+1,1))</f>
        <v>345.3294887586967</v>
      </c>
      <c r="BJ158" s="59">
        <f t="shared" si="146"/>
        <v>164.23448598618114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43.648714303957618</v>
      </c>
      <c r="BQ158" s="21">
        <f>EXP(-LN(2)/25)*BQ157+(1-EXP(-LN(2)/25))/(LN(2)/25)*Calculateur!BL158*Calculateur!BN158*VLOOKUP('Données projet'!$B$11,Paramètres!$A$1:$I$89,3,0)*0.475*44/12</f>
        <v>10.741818864460607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54.390533168418223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289.07218105343333</v>
      </c>
      <c r="CE158" s="59">
        <f t="shared" si="148"/>
        <v>217.57508587672368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37.596810745275747</v>
      </c>
      <c r="CL158" s="21">
        <f>EXP(-LN(2)/25)*CL157+(1-EXP(-LN(2)/25))/(LN(2)/25)*Calculateur!CG158*Calculateur!CI158*VLOOKUP('Données projet'!$B$12,Paramètres!$A$1:$I$89,3,0)*0.475*44/12</f>
        <v>9.3139379733665031</v>
      </c>
      <c r="CM158" s="21">
        <f>EXP(-LN(2)/2)*CM157+(1-EXP(-LN(2)/2))/(LN(2)/2)*CG158*CJ158*VLOOKUP('Données projet'!$B$12,Paramètres!$A$1:$I$89,3,0)*0.475*44/12</f>
        <v>3.9882073833039618E-10</v>
      </c>
      <c r="CN158" s="22">
        <f t="shared" si="172"/>
        <v>46.910748719041074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1.7053025658242404E-13</v>
      </c>
      <c r="CU158" s="17">
        <f>CT158*VLOOKUP('Données projet'!$B$13,Paramètres!$A$1:$I$89,3,0)*VLOOKUP('Données projet'!$B$13,Paramètres!$A$1:$I$89,5,0)</f>
        <v>1.4897523215040567E-13</v>
      </c>
      <c r="CV158" s="13">
        <f t="shared" si="173"/>
        <v>2.136562777003313E-12</v>
      </c>
      <c r="CW158" s="20">
        <f t="shared" si="174"/>
        <v>3.9806453659427267E-12</v>
      </c>
      <c r="CX158" s="59">
        <f t="shared" si="122"/>
        <v>293.33333333333729</v>
      </c>
      <c r="CY158" s="59">
        <f ca="1">AVERAGE(OFFSET($CX$3,0,0,'Données projet'!$E$13+1,1))-AVERAGE(OFFSET($H$3,0,0,'Données projet'!$E$13+1,1))</f>
        <v>237.8483058552178</v>
      </c>
      <c r="CZ158" s="59">
        <f t="shared" si="150"/>
        <v>313.36201272119723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16.283239342458643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6.6225218054445825E-12</v>
      </c>
      <c r="DI158" s="22">
        <f t="shared" si="175"/>
        <v>16.283239342465265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5.916666666666667</v>
      </c>
      <c r="DO158" s="12">
        <f>IF('Données projet'!$A$166&gt;35,DO157+DN158-DW157,IF(A158&lt;'Données projet'!$A$166,$DL$205^A158,IF(A158='Données projet'!$A$166,'Données projet'!$B$166,DO157+DN158-DW157)))</f>
        <v>350.33333333333297</v>
      </c>
      <c r="DP158" s="17">
        <f>DO158*VLOOKUP('Données projet'!$B$14,Paramètres!$A$1:$I$89,3,0)*VLOOKUP('Données projet'!$B$14,Paramètres!$A$1:$I$89,5,0)</f>
        <v>338.84239999999966</v>
      </c>
      <c r="DQ158" s="13">
        <f t="shared" si="176"/>
        <v>79.260731480506237</v>
      </c>
      <c r="DR158" s="20">
        <f t="shared" si="177"/>
        <v>728.19628732854778</v>
      </c>
      <c r="DS158" s="59">
        <f t="shared" si="125"/>
        <v>1021.5296206618812</v>
      </c>
      <c r="DT158" s="59">
        <f ca="1">AVERAGE(OFFSET($DS$3,0,0,'Données projet'!$E$14+1,1))-AVERAGE(OFFSET($H$3,0,0,'Données projet'!$E$14+1,1))</f>
        <v>325.01961068962373</v>
      </c>
      <c r="DU158" s="59">
        <f t="shared" si="152"/>
        <v>155.12737608540039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41.634158259159555</v>
      </c>
      <c r="EB158" s="21">
        <f>EXP(-LN(2)/25)*EB157+(1-EXP(-LN(2)/25))/(LN(2)/25)*Calculateur!DW158*Calculateur!DY158*VLOOKUP('Données projet'!$B$14,Paramètres!$A$1:$I$89,3,0)*0.475*44/12</f>
        <v>10.246042609177808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51.880200868337361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-1.7053025658242404E-13</v>
      </c>
      <c r="EK158" s="17">
        <f>EJ158*VLOOKUP('Données projet'!$B$15,Paramètres!$A$1:$I$89,3,0)*VLOOKUP('Données projet'!$B$15,Paramètres!$A$1:$I$89,5,0)</f>
        <v>-1.1439169611549005E-13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178.09619481964575</v>
      </c>
      <c r="EP158" s="59">
        <f t="shared" si="154"/>
        <v>178.65167777495174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20.268729437824987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1.8051101114485445E-10</v>
      </c>
      <c r="EY158" s="22">
        <f t="shared" si="181"/>
        <v>20.268729438005497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-1.3567387213697657E-13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219.43439115440339</v>
      </c>
      <c r="FK158" s="59">
        <f t="shared" si="156"/>
        <v>217.8880462742099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24.039655844862196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2.1409445507878099E-10</v>
      </c>
      <c r="FT158" s="22">
        <f t="shared" si="184"/>
        <v>24.03965584507629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191.77102466144095</v>
      </c>
      <c r="GF158" s="59">
        <f t="shared" si="158"/>
        <v>205.57161411620217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17.70964073606012</v>
      </c>
      <c r="GM158" s="21">
        <f>EXP(-LN(2)/25)*GM157+(1-EXP(-LN(2)/25))/(LN(2)/25)*Calculateur!GH158*Calculateur!GJ158*VLOOKUP('Données projet'!$B$17,Paramètres!$A$1:$I$89,3,0)*0.475*44/12</f>
        <v>1.7453978354330608</v>
      </c>
      <c r="GN158" s="21">
        <f>EXP(-LN(2)/2)*GN157+(1-EXP(-LN(2)/2))/(LN(2)/2)*GH158*GK158*VLOOKUP('Données projet'!$B$17,Paramètres!$A$1:$I$89,3,0)*0.475*44/12</f>
        <v>2.1586163161009956E-13</v>
      </c>
      <c r="GO158" s="21">
        <f t="shared" si="187"/>
        <v>19.455038571493397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84.31577618130467</v>
      </c>
      <c r="T159" s="59">
        <f t="shared" si="142"/>
        <v>527.2140904310653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10.084406343070228</v>
      </c>
      <c r="AA159" s="21">
        <f>EXP(-LN(2)/25)*AA158+(1-EXP(-LN(2)/25))/(LN(2)/25)*Calculateur!V159*Calculateur!X159*VLOOKUP('Données projet'!$B$9,Paramètres!$A$1:$I$89,3,0)*0.475*44/12</f>
        <v>1.0713454379490597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11.155751781019287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5.916666666666667</v>
      </c>
      <c r="AI159" s="13">
        <f>IF('Données projet'!$A$62&gt;35,AI158+AH159-AQ158,IF(A159&lt;'Données projet'!$A$62,$AF$205^A159,IF(A159='Données projet'!$A$62,'Données projet'!$B$62,AI158+AH159-AQ158)))</f>
        <v>356.24999999999966</v>
      </c>
      <c r="AJ159" s="13">
        <f>AI159*VLOOKUP('Données projet'!$B$10,Paramètres!$A$1:$I$89,3,0)*VLOOKUP('Données projet'!$B$10,Paramètres!$A$1:$I$89,5,0)</f>
        <v>322.3349999999997</v>
      </c>
      <c r="AK159" s="13">
        <f t="shared" si="164"/>
        <v>75.838990055015699</v>
      </c>
      <c r="AL159" s="20">
        <f t="shared" si="165"/>
        <v>693.48636601248518</v>
      </c>
      <c r="AM159" s="59">
        <f t="shared" si="113"/>
        <v>986.81969934581844</v>
      </c>
      <c r="AN159" s="59">
        <f ca="1">AVERAGE(OFFSET($AM$3,0,0,'Données projet'!$E$10+1,1))-AVERAGE(OFFSET($H$3,0,0,'Données projet'!$E$10+1,1))</f>
        <v>297.90790572649428</v>
      </c>
      <c r="AO159" s="59">
        <f t="shared" si="144"/>
        <v>142.96889776844506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38.184335370669942</v>
      </c>
      <c r="AV159" s="21">
        <f>EXP(-LN(2)/25)*AV158+(1-EXP(-LN(2)/25))/(LN(2)/25)*Calculateur!AQ159*Calculateur!AS159*VLOOKUP('Données projet'!$B$10,Paramètres!$A$1:$I$89,3,0)*0.475*44/12</f>
        <v>9.3229050652000751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47.507240435870017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5.916666666666667</v>
      </c>
      <c r="BD159" s="12">
        <f>IF('Données projet'!$A$88&gt;35,BD158+BC159-BL158,IF(A159&lt;'Données projet'!$A$88,$BA$205^A159,IF(A159='Données projet'!$A$88,'Données projet'!$B$88,BD158+BC159-BL158)))</f>
        <v>356.24999999999966</v>
      </c>
      <c r="BE159" s="13">
        <f>BD159*VLOOKUP('Données projet'!$B$11,Paramètres!$A$1:$I$89,3,0)*VLOOKUP('Données projet'!$B$11,Paramètres!$A$1:$I$89,5,0)</f>
        <v>361.23749999999967</v>
      </c>
      <c r="BF159" s="13">
        <f t="shared" si="167"/>
        <v>83.872156127281116</v>
      </c>
      <c r="BG159" s="20">
        <f t="shared" si="168"/>
        <v>775.23265108834732</v>
      </c>
      <c r="BH159" s="59">
        <f t="shared" si="116"/>
        <v>1068.5659844216807</v>
      </c>
      <c r="BI159" s="59">
        <f ca="1">AVERAGE(OFFSET($BH$3,0,0,'Données projet'!$E$11+1,1))-AVERAGE(OFFSET($H$3,0,0,'Données projet'!$E$11+1,1))</f>
        <v>345.3294887586967</v>
      </c>
      <c r="BJ159" s="59">
        <f t="shared" si="146"/>
        <v>164.23448598618114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42.792789639543926</v>
      </c>
      <c r="BQ159" s="21">
        <f>EXP(-LN(2)/25)*BQ158+(1-EXP(-LN(2)/25))/(LN(2)/25)*Calculateur!BL159*Calculateur!BN159*VLOOKUP('Données projet'!$B$11,Paramètres!$A$1:$I$89,3,0)*0.475*44/12</f>
        <v>10.448083262724229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53.240872902268151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289.07218105343333</v>
      </c>
      <c r="CE159" s="59">
        <f t="shared" si="148"/>
        <v>217.57508587672368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36.85956021835112</v>
      </c>
      <c r="CL159" s="21">
        <f>EXP(-LN(2)/25)*CL158+(1-EXP(-LN(2)/25))/(LN(2)/25)*Calculateur!CG159*Calculateur!CI159*VLOOKUP('Données projet'!$B$12,Paramètres!$A$1:$I$89,3,0)*0.475*44/12</f>
        <v>9.059247849686086</v>
      </c>
      <c r="CM159" s="21">
        <f>EXP(-LN(2)/2)*CM158+(1-EXP(-LN(2)/2))/(LN(2)/2)*CG159*CJ159*VLOOKUP('Données projet'!$B$12,Paramètres!$A$1:$I$89,3,0)*0.475*44/12</f>
        <v>2.8200884855124877E-10</v>
      </c>
      <c r="CN159" s="22">
        <f t="shared" si="172"/>
        <v>45.918808068319215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1.7053025658242404E-13</v>
      </c>
      <c r="CU159" s="17">
        <f>CT159*VLOOKUP('Données projet'!$B$13,Paramètres!$A$1:$I$89,3,0)*VLOOKUP('Données projet'!$B$13,Paramètres!$A$1:$I$89,5,0)</f>
        <v>1.4897523215040567E-13</v>
      </c>
      <c r="CV159" s="13">
        <f t="shared" si="173"/>
        <v>2.136562777003313E-12</v>
      </c>
      <c r="CW159" s="20">
        <f t="shared" si="174"/>
        <v>3.9806453659427267E-12</v>
      </c>
      <c r="CX159" s="59">
        <f t="shared" si="122"/>
        <v>293.33333333333729</v>
      </c>
      <c r="CY159" s="59">
        <f ca="1">AVERAGE(OFFSET($CX$3,0,0,'Données projet'!$E$13+1,1))-AVERAGE(OFFSET($H$3,0,0,'Données projet'!$E$13+1,1))</f>
        <v>237.8483058552178</v>
      </c>
      <c r="CZ159" s="59">
        <f t="shared" si="150"/>
        <v>313.36201272119723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15.963934950748344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4.682830077185642E-12</v>
      </c>
      <c r="DI159" s="22">
        <f t="shared" si="175"/>
        <v>15.963934950753027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5.916666666666667</v>
      </c>
      <c r="DO159" s="12">
        <f>IF('Données projet'!$A$166&gt;35,DO158+DN159-DW158,IF(A159&lt;'Données projet'!$A$166,$DL$205^A159,IF(A159='Données projet'!$A$166,'Données projet'!$B$166,DO158+DN159-DW158)))</f>
        <v>356.24999999999966</v>
      </c>
      <c r="DP159" s="17">
        <f>DO159*VLOOKUP('Données projet'!$B$14,Paramètres!$A$1:$I$89,3,0)*VLOOKUP('Données projet'!$B$14,Paramètres!$A$1:$I$89,5,0)</f>
        <v>344.56499999999971</v>
      </c>
      <c r="DQ159" s="13">
        <f t="shared" si="176"/>
        <v>80.442370977842387</v>
      </c>
      <c r="DR159" s="20">
        <f t="shared" si="177"/>
        <v>740.2211711197416</v>
      </c>
      <c r="DS159" s="59">
        <f t="shared" si="125"/>
        <v>1033.554504453075</v>
      </c>
      <c r="DT159" s="59">
        <f ca="1">AVERAGE(OFFSET($DS$3,0,0,'Données projet'!$E$14+1,1))-AVERAGE(OFFSET($H$3,0,0,'Données projet'!$E$14+1,1))</f>
        <v>325.01961068962373</v>
      </c>
      <c r="DU159" s="59">
        <f t="shared" si="152"/>
        <v>155.12737608540039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40.817737810026493</v>
      </c>
      <c r="EB159" s="21">
        <f>EXP(-LN(2)/25)*EB158+(1-EXP(-LN(2)/25))/(LN(2)/25)*Calculateur!DW159*Calculateur!DY159*VLOOKUP('Données projet'!$B$14,Paramètres!$A$1:$I$89,3,0)*0.475*44/12</f>
        <v>9.9658640352138779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50.783601845240369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-1.7053025658242404E-13</v>
      </c>
      <c r="EK159" s="17">
        <f>EJ159*VLOOKUP('Données projet'!$B$15,Paramètres!$A$1:$I$89,3,0)*VLOOKUP('Données projet'!$B$15,Paramètres!$A$1:$I$89,5,0)</f>
        <v>-1.1439169611549005E-13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178.09619481964575</v>
      </c>
      <c r="EP159" s="59">
        <f t="shared" si="154"/>
        <v>178.65167777495174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19.871272016253481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1.2764056005936704E-10</v>
      </c>
      <c r="EY159" s="22">
        <f t="shared" si="181"/>
        <v>19.871272016381123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-1.3567387213697657E-13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219.43439115440339</v>
      </c>
      <c r="FK159" s="59">
        <f t="shared" si="156"/>
        <v>217.8880462742099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23.568252856486687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1.5138764100064472E-10</v>
      </c>
      <c r="FT159" s="22">
        <f t="shared" si="184"/>
        <v>23.568252856638075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191.77102466144095</v>
      </c>
      <c r="GF159" s="59">
        <f t="shared" si="158"/>
        <v>205.57161411620217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17.362365483040239</v>
      </c>
      <c r="GM159" s="21">
        <f>EXP(-LN(2)/25)*GM158+(1-EXP(-LN(2)/25))/(LN(2)/25)*Calculateur!GH159*Calculateur!GJ159*VLOOKUP('Données projet'!$B$17,Paramètres!$A$1:$I$89,3,0)*0.475*44/12</f>
        <v>1.6976698398366608</v>
      </c>
      <c r="GN159" s="21">
        <f>EXP(-LN(2)/2)*GN158+(1-EXP(-LN(2)/2))/(LN(2)/2)*GH159*GK159*VLOOKUP('Données projet'!$B$17,Paramètres!$A$1:$I$89,3,0)*0.475*44/12</f>
        <v>1.526372235094938E-13</v>
      </c>
      <c r="GO159" s="21">
        <f t="shared" si="187"/>
        <v>19.060035322877052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84.31577618130467</v>
      </c>
      <c r="T160" s="59">
        <f t="shared" si="142"/>
        <v>527.2140904310653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9.8866572855631407</v>
      </c>
      <c r="AA160" s="21">
        <f>EXP(-LN(2)/25)*AA159+(1-EXP(-LN(2)/25))/(LN(2)/25)*Calculateur!V160*Calculateur!X160*VLOOKUP('Données projet'!$B$9,Paramètres!$A$1:$I$89,3,0)*0.475*44/12</f>
        <v>1.0420494406087346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10.928706726171875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5.916666666666667</v>
      </c>
      <c r="AI160" s="13">
        <f>IF('Données projet'!$A$62&gt;35,AI159+AH160-AQ159,IF(A160&lt;'Données projet'!$A$62,$AF$205^A160,IF(A160='Données projet'!$A$62,'Données projet'!$B$62,AI159+AH160-AQ159)))</f>
        <v>362.16666666666634</v>
      </c>
      <c r="AJ160" s="13">
        <f>AI160*VLOOKUP('Données projet'!$B$10,Paramètres!$A$1:$I$89,3,0)*VLOOKUP('Données projet'!$B$10,Paramètres!$A$1:$I$89,5,0)</f>
        <v>327.68839999999972</v>
      </c>
      <c r="AK160" s="13">
        <f t="shared" si="164"/>
        <v>76.950857620696198</v>
      </c>
      <c r="AL160" s="20">
        <f t="shared" si="165"/>
        <v>704.74670702271203</v>
      </c>
      <c r="AM160" s="59">
        <f t="shared" si="113"/>
        <v>998.0800403560454</v>
      </c>
      <c r="AN160" s="59">
        <f ca="1">AVERAGE(OFFSET($AM$3,0,0,'Données projet'!$E$10+1,1))-AVERAGE(OFFSET($H$3,0,0,'Données projet'!$E$10+1,1))</f>
        <v>297.90790572649428</v>
      </c>
      <c r="AO160" s="59">
        <f t="shared" si="144"/>
        <v>142.96889776844506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37.435563844195968</v>
      </c>
      <c r="AV160" s="21">
        <f>EXP(-LN(2)/25)*AV159+(1-EXP(-LN(2)/25))/(LN(2)/25)*Calculateur!AQ160*Calculateur!AS160*VLOOKUP('Données projet'!$B$10,Paramètres!$A$1:$I$89,3,0)*0.475*44/12</f>
        <v>9.0679697359219098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46.503533580117875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5.916666666666667</v>
      </c>
      <c r="BD160" s="12">
        <f>IF('Données projet'!$A$88&gt;35,BD159+BC160-BL159,IF(A160&lt;'Données projet'!$A$88,$BA$205^A160,IF(A160='Données projet'!$A$88,'Données projet'!$B$88,BD159+BC160-BL159)))</f>
        <v>362.16666666666634</v>
      </c>
      <c r="BE160" s="13">
        <f>BD160*VLOOKUP('Données projet'!$B$11,Paramètres!$A$1:$I$89,3,0)*VLOOKUP('Données projet'!$B$11,Paramètres!$A$1:$I$89,5,0)</f>
        <v>367.23699999999968</v>
      </c>
      <c r="BF160" s="13">
        <f t="shared" si="167"/>
        <v>85.101797107388734</v>
      </c>
      <c r="BG160" s="20">
        <f t="shared" si="168"/>
        <v>787.82340496203472</v>
      </c>
      <c r="BH160" s="59">
        <f t="shared" si="116"/>
        <v>1081.1567382953681</v>
      </c>
      <c r="BI160" s="59">
        <f ca="1">AVERAGE(OFFSET($BH$3,0,0,'Données projet'!$E$11+1,1))-AVERAGE(OFFSET($H$3,0,0,'Données projet'!$E$11+1,1))</f>
        <v>345.3294887586967</v>
      </c>
      <c r="BJ160" s="59">
        <f t="shared" si="146"/>
        <v>164.23448598618114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41.953649135736889</v>
      </c>
      <c r="BQ160" s="21">
        <f>EXP(-LN(2)/25)*BQ159+(1-EXP(-LN(2)/25))/(LN(2)/25)*Calculateur!BL160*Calculateur!BN160*VLOOKUP('Données projet'!$B$11,Paramètres!$A$1:$I$89,3,0)*0.475*44/12</f>
        <v>10.162379876464215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52.116029012201103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289.07218105343333</v>
      </c>
      <c r="CE160" s="59">
        <f t="shared" si="148"/>
        <v>217.57508587672368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36.136766724581065</v>
      </c>
      <c r="CL160" s="21">
        <f>EXP(-LN(2)/25)*CL159+(1-EXP(-LN(2)/25))/(LN(2)/25)*Calculateur!CG160*Calculateur!CI160*VLOOKUP('Données projet'!$B$12,Paramètres!$A$1:$I$89,3,0)*0.475*44/12</f>
        <v>8.8115222408312803</v>
      </c>
      <c r="CM160" s="21">
        <f>EXP(-LN(2)/2)*CM159+(1-EXP(-LN(2)/2))/(LN(2)/2)*CG160*CJ160*VLOOKUP('Données projet'!$B$12,Paramètres!$A$1:$I$89,3,0)*0.475*44/12</f>
        <v>1.9941036916519809E-10</v>
      </c>
      <c r="CN160" s="22">
        <f t="shared" si="172"/>
        <v>44.948288965611759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1.7053025658242404E-13</v>
      </c>
      <c r="CU160" s="17">
        <f>CT160*VLOOKUP('Données projet'!$B$13,Paramètres!$A$1:$I$89,3,0)*VLOOKUP('Données projet'!$B$13,Paramètres!$A$1:$I$89,5,0)</f>
        <v>1.4897523215040567E-13</v>
      </c>
      <c r="CV160" s="13">
        <f t="shared" si="173"/>
        <v>2.136562777003313E-12</v>
      </c>
      <c r="CW160" s="20">
        <f t="shared" si="174"/>
        <v>3.9806453659427267E-12</v>
      </c>
      <c r="CX160" s="59">
        <f t="shared" si="122"/>
        <v>293.33333333333729</v>
      </c>
      <c r="CY160" s="59">
        <f ca="1">AVERAGE(OFFSET($CX$3,0,0,'Données projet'!$E$13+1,1))-AVERAGE(OFFSET($H$3,0,0,'Données projet'!$E$13+1,1))</f>
        <v>237.8483058552178</v>
      </c>
      <c r="CZ160" s="59">
        <f t="shared" si="150"/>
        <v>313.36201272119723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15.650891923403035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3.3112609027222913E-12</v>
      </c>
      <c r="DI160" s="22">
        <f t="shared" si="175"/>
        <v>15.650891923406347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5.916666666666667</v>
      </c>
      <c r="DO160" s="12">
        <f>IF('Données projet'!$A$166&gt;35,DO159+DN160-DW159,IF(A160&lt;'Données projet'!$A$166,$DL$205^A160,IF(A160='Données projet'!$A$166,'Données projet'!$B$166,DO159+DN160-DW159)))</f>
        <v>362.16666666666634</v>
      </c>
      <c r="DP160" s="17">
        <f>DO160*VLOOKUP('Données projet'!$B$14,Paramètres!$A$1:$I$89,3,0)*VLOOKUP('Données projet'!$B$14,Paramètres!$A$1:$I$89,5,0)</f>
        <v>350.28759999999966</v>
      </c>
      <c r="DQ160" s="13">
        <f t="shared" si="176"/>
        <v>81.621728233678908</v>
      </c>
      <c r="DR160" s="20">
        <f t="shared" si="177"/>
        <v>752.24208000699025</v>
      </c>
      <c r="DS160" s="59">
        <f t="shared" si="125"/>
        <v>1045.5754133403236</v>
      </c>
      <c r="DT160" s="59">
        <f ca="1">AVERAGE(OFFSET($DS$3,0,0,'Données projet'!$E$14+1,1))-AVERAGE(OFFSET($H$3,0,0,'Données projet'!$E$14+1,1))</f>
        <v>325.01961068962373</v>
      </c>
      <c r="DU160" s="59">
        <f t="shared" si="152"/>
        <v>155.12737608540039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40.017326867933626</v>
      </c>
      <c r="EB160" s="21">
        <f>EXP(-LN(2)/25)*EB159+(1-EXP(-LN(2)/25))/(LN(2)/25)*Calculateur!DW160*Calculateur!DY160*VLOOKUP('Données projet'!$B$14,Paramètres!$A$1:$I$89,3,0)*0.475*44/12</f>
        <v>9.6933469590889416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49.710673827022568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-1.7053025658242404E-13</v>
      </c>
      <c r="EK160" s="17">
        <f>EJ160*VLOOKUP('Données projet'!$B$15,Paramètres!$A$1:$I$89,3,0)*VLOOKUP('Données projet'!$B$15,Paramètres!$A$1:$I$89,5,0)</f>
        <v>-1.1439169611549005E-13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178.09619481964575</v>
      </c>
      <c r="EP160" s="59">
        <f t="shared" si="154"/>
        <v>178.65167777495174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19.481608492293901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9.0255505572427224E-11</v>
      </c>
      <c r="EY160" s="22">
        <f t="shared" si="181"/>
        <v>19.481608492384158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-1.3567387213697657E-13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219.43439115440339</v>
      </c>
      <c r="FK160" s="59">
        <f t="shared" si="156"/>
        <v>217.8880462742099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23.106093793185792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1.070472275393905E-10</v>
      </c>
      <c r="FT160" s="22">
        <f t="shared" si="184"/>
        <v>23.106093793292839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191.77102466144095</v>
      </c>
      <c r="GF160" s="59">
        <f t="shared" si="158"/>
        <v>205.57161411620217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17.021900085915089</v>
      </c>
      <c r="GM160" s="21">
        <f>EXP(-LN(2)/25)*GM159+(1-EXP(-LN(2)/25))/(LN(2)/25)*Calculateur!GH160*Calculateur!GJ160*VLOOKUP('Données projet'!$B$17,Paramètres!$A$1:$I$89,3,0)*0.475*44/12</f>
        <v>1.6512469687897504</v>
      </c>
      <c r="GN160" s="21">
        <f>EXP(-LN(2)/2)*GN159+(1-EXP(-LN(2)/2))/(LN(2)/2)*GH160*GK160*VLOOKUP('Données projet'!$B$17,Paramètres!$A$1:$I$89,3,0)*0.475*44/12</f>
        <v>1.0793081580504978E-13</v>
      </c>
      <c r="GO160" s="21">
        <f t="shared" si="187"/>
        <v>18.673147054704945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84.31577618130467</v>
      </c>
      <c r="T161" s="59">
        <f t="shared" si="142"/>
        <v>527.2140904310653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9.6927859664587519</v>
      </c>
      <c r="AA161" s="21">
        <f>EXP(-LN(2)/25)*AA160+(1-EXP(-LN(2)/25))/(LN(2)/25)*Calculateur!V161*Calculateur!X161*VLOOKUP('Données projet'!$B$9,Paramètres!$A$1:$I$89,3,0)*0.475*44/12</f>
        <v>1.0135545438562903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10.706340510315043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5.916666666666667</v>
      </c>
      <c r="AI161" s="13">
        <f>IF('Données projet'!$A$62&gt;35,AI160+AH161-AQ160,IF(A161&lt;'Données projet'!$A$62,$AF$205^A161,IF(A161='Données projet'!$A$62,'Données projet'!$B$62,AI160+AH161-AQ160)))</f>
        <v>368.08333333333303</v>
      </c>
      <c r="AJ161" s="13">
        <f>AI161*VLOOKUP('Données projet'!$B$10,Paramètres!$A$1:$I$89,3,0)*VLOOKUP('Données projet'!$B$10,Paramètres!$A$1:$I$89,5,0)</f>
        <v>333.04179999999974</v>
      </c>
      <c r="AK161" s="13">
        <f t="shared" si="164"/>
        <v>78.060612756848144</v>
      </c>
      <c r="AL161" s="20">
        <f t="shared" si="165"/>
        <v>716.00336888484344</v>
      </c>
      <c r="AM161" s="59">
        <f t="shared" si="113"/>
        <v>1009.3367022181767</v>
      </c>
      <c r="AN161" s="59">
        <f ca="1">AVERAGE(OFFSET($AM$3,0,0,'Données projet'!$E$10+1,1))-AVERAGE(OFFSET($H$3,0,0,'Données projet'!$E$10+1,1))</f>
        <v>297.90790572649428</v>
      </c>
      <c r="AO161" s="59">
        <f t="shared" si="144"/>
        <v>142.96889776844506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36.701475270650619</v>
      </c>
      <c r="AV161" s="21">
        <f>EXP(-LN(2)/25)*AV160+(1-EXP(-LN(2)/25))/(LN(2)/25)*Calculateur!AQ161*Calculateur!AS161*VLOOKUP('Données projet'!$B$10,Paramètres!$A$1:$I$89,3,0)*0.475*44/12</f>
        <v>8.8200056266293227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45.521480897279943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5.916666666666667</v>
      </c>
      <c r="BD161" s="12">
        <f>IF('Données projet'!$A$88&gt;35,BD160+BC161-BL160,IF(A161&lt;'Données projet'!$A$88,$BA$205^A161,IF(A161='Données projet'!$A$88,'Données projet'!$B$88,BD160+BC161-BL160)))</f>
        <v>368.08333333333303</v>
      </c>
      <c r="BE161" s="13">
        <f>BD161*VLOOKUP('Données projet'!$B$11,Paramètres!$A$1:$I$89,3,0)*VLOOKUP('Données projet'!$B$11,Paramètres!$A$1:$I$89,5,0)</f>
        <v>373.23649999999969</v>
      </c>
      <c r="BF161" s="13">
        <f t="shared" si="167"/>
        <v>86.329101901068967</v>
      </c>
      <c r="BG161" s="20">
        <f t="shared" si="168"/>
        <v>800.4100899776945</v>
      </c>
      <c r="BH161" s="59">
        <f t="shared" si="116"/>
        <v>1093.7434233110278</v>
      </c>
      <c r="BI161" s="59">
        <f ca="1">AVERAGE(OFFSET($BH$3,0,0,'Données projet'!$E$11+1,1))-AVERAGE(OFFSET($H$3,0,0,'Données projet'!$E$11+1,1))</f>
        <v>345.3294887586967</v>
      </c>
      <c r="BJ161" s="59">
        <f t="shared" si="146"/>
        <v>164.23448598618114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41.130963665384336</v>
      </c>
      <c r="BQ161" s="21">
        <f>EXP(-LN(2)/25)*BQ160+(1-EXP(-LN(2)/25))/(LN(2)/25)*Calculateur!BL161*Calculateur!BN161*VLOOKUP('Données projet'!$B$11,Paramètres!$A$1:$I$89,3,0)*0.475*44/12</f>
        <v>9.8844890643259689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51.015452729710304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289.07218105343333</v>
      </c>
      <c r="CE161" s="59">
        <f t="shared" si="148"/>
        <v>217.57508587672368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35.428146770363341</v>
      </c>
      <c r="CL161" s="21">
        <f>EXP(-LN(2)/25)*CL160+(1-EXP(-LN(2)/25))/(LN(2)/25)*Calculateur!CG161*Calculateur!CI161*VLOOKUP('Données projet'!$B$12,Paramètres!$A$1:$I$89,3,0)*0.475*44/12</f>
        <v>8.5705707017779336</v>
      </c>
      <c r="CM161" s="21">
        <f>EXP(-LN(2)/2)*CM160+(1-EXP(-LN(2)/2))/(LN(2)/2)*CG161*CJ161*VLOOKUP('Données projet'!$B$12,Paramètres!$A$1:$I$89,3,0)*0.475*44/12</f>
        <v>1.4100442427562439E-10</v>
      </c>
      <c r="CN161" s="22">
        <f t="shared" si="172"/>
        <v>43.99871747228228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1.7053025658242404E-13</v>
      </c>
      <c r="CU161" s="17">
        <f>CT161*VLOOKUP('Données projet'!$B$13,Paramètres!$A$1:$I$89,3,0)*VLOOKUP('Données projet'!$B$13,Paramètres!$A$1:$I$89,5,0)</f>
        <v>1.4897523215040567E-13</v>
      </c>
      <c r="CV161" s="13">
        <f t="shared" si="173"/>
        <v>2.136562777003313E-12</v>
      </c>
      <c r="CW161" s="20">
        <f t="shared" si="174"/>
        <v>3.9806453659427267E-12</v>
      </c>
      <c r="CX161" s="59">
        <f t="shared" si="122"/>
        <v>293.33333333333729</v>
      </c>
      <c r="CY161" s="59">
        <f ca="1">AVERAGE(OFFSET($CX$3,0,0,'Données projet'!$E$13+1,1))-AVERAGE(OFFSET($H$3,0,0,'Données projet'!$E$13+1,1))</f>
        <v>237.8483058552178</v>
      </c>
      <c r="CZ161" s="59">
        <f t="shared" si="150"/>
        <v>313.36201272119723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15.343987478886577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2.341415038592821E-12</v>
      </c>
      <c r="DI161" s="22">
        <f t="shared" si="175"/>
        <v>15.343987478888918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5.916666666666667</v>
      </c>
      <c r="DO161" s="12">
        <f>IF('Données projet'!$A$166&gt;35,DO160+DN161-DW160,IF(A161&lt;'Données projet'!$A$166,$DL$205^A161,IF(A161='Données projet'!$A$166,'Données projet'!$B$166,DO160+DN161-DW160)))</f>
        <v>368.08333333333303</v>
      </c>
      <c r="DP161" s="17">
        <f>DO161*VLOOKUP('Données projet'!$B$14,Paramètres!$A$1:$I$89,3,0)*VLOOKUP('Données projet'!$B$14,Paramètres!$A$1:$I$89,5,0)</f>
        <v>356.01019999999971</v>
      </c>
      <c r="DQ161" s="13">
        <f t="shared" si="176"/>
        <v>82.798844836789613</v>
      </c>
      <c r="DR161" s="20">
        <f t="shared" si="177"/>
        <v>764.25908642407467</v>
      </c>
      <c r="DS161" s="59">
        <f t="shared" si="125"/>
        <v>1057.5924197574079</v>
      </c>
      <c r="DT161" s="59">
        <f ca="1">AVERAGE(OFFSET($DS$3,0,0,'Données projet'!$E$14+1,1))-AVERAGE(OFFSET($H$3,0,0,'Données projet'!$E$14+1,1))</f>
        <v>325.01961068962373</v>
      </c>
      <c r="DU161" s="59">
        <f t="shared" si="152"/>
        <v>155.12737608540039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39.232611496212733</v>
      </c>
      <c r="EB161" s="21">
        <f>EXP(-LN(2)/25)*EB160+(1-EXP(-LN(2)/25))/(LN(2)/25)*Calculateur!DW161*Calculateur!DY161*VLOOKUP('Données projet'!$B$14,Paramètres!$A$1:$I$89,3,0)*0.475*44/12</f>
        <v>9.4282818767416927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48.660893372954426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-1.7053025658242404E-13</v>
      </c>
      <c r="EK161" s="17">
        <f>EJ161*VLOOKUP('Données projet'!$B$15,Paramètres!$A$1:$I$89,3,0)*VLOOKUP('Données projet'!$B$15,Paramètres!$A$1:$I$89,5,0)</f>
        <v>-1.1439169611549005E-13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178.09619481964575</v>
      </c>
      <c r="EP161" s="59">
        <f t="shared" si="154"/>
        <v>178.65167777495174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19.099586032367888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6.3820280029683518E-11</v>
      </c>
      <c r="EY161" s="22">
        <f t="shared" si="181"/>
        <v>19.099586032431709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-1.3567387213697657E-13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219.43439115440339</v>
      </c>
      <c r="FK161" s="59">
        <f t="shared" si="156"/>
        <v>217.8880462742099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22.652997387227032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7.5693820500322359E-11</v>
      </c>
      <c r="FT161" s="22">
        <f t="shared" si="184"/>
        <v>22.652997387302726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191.77102466144095</v>
      </c>
      <c r="GF161" s="59">
        <f t="shared" si="158"/>
        <v>205.57161411620217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16.688111007564174</v>
      </c>
      <c r="GM161" s="21">
        <f>EXP(-LN(2)/25)*GM160+(1-EXP(-LN(2)/25))/(LN(2)/25)*Calculateur!GH161*Calculateur!GJ161*VLOOKUP('Données projet'!$B$17,Paramètres!$A$1:$I$89,3,0)*0.475*44/12</f>
        <v>1.6060935335928905</v>
      </c>
      <c r="GN161" s="21">
        <f>EXP(-LN(2)/2)*GN160+(1-EXP(-LN(2)/2))/(LN(2)/2)*GH161*GK161*VLOOKUP('Données projet'!$B$17,Paramètres!$A$1:$I$89,3,0)*0.475*44/12</f>
        <v>7.63186117547469E-14</v>
      </c>
      <c r="GO161" s="21">
        <f t="shared" si="187"/>
        <v>18.294204541157139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84.31577618130467</v>
      </c>
      <c r="T162" s="59">
        <f t="shared" si="142"/>
        <v>527.2140904310653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9.502716345672173</v>
      </c>
      <c r="AA162" s="21">
        <f>EXP(-LN(2)/25)*AA161+(1-EXP(-LN(2)/25))/(LN(2)/25)*Calculateur!V162*Calculateur!X162*VLOOKUP('Données projet'!$B$9,Paramètres!$A$1:$I$89,3,0)*0.475*44/12</f>
        <v>0.98583884155402313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10.488555187226197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374</v>
      </c>
      <c r="AG162" s="12">
        <f>VLOOKUP(A162,'Données projet'!$A$61:$I$81,9,0)</f>
        <v>5.916666666666667</v>
      </c>
      <c r="AH162" s="12">
        <f t="array" ref="AH162">INDEX(AG:AG,MIN(IF(ISNUMBER(AG162:AG358),ROW(AG162:AG358),"")))</f>
        <v>5.916666666666667</v>
      </c>
      <c r="AI162" s="13">
        <f>IF('Données projet'!$A$62&gt;35,AI161+AH162-AQ161,IF(A162&lt;'Données projet'!$A$62,$AF$205^A162,IF(A162='Données projet'!$A$62,'Données projet'!$B$62,AI161+AH162-AQ161)))</f>
        <v>373.99999999999972</v>
      </c>
      <c r="AJ162" s="13">
        <f>AI162*VLOOKUP('Données projet'!$B$10,Paramètres!$A$1:$I$89,3,0)*VLOOKUP('Données projet'!$B$10,Paramètres!$A$1:$I$89,5,0)</f>
        <v>338.3951999999997</v>
      </c>
      <c r="AK162" s="13">
        <f t="shared" si="164"/>
        <v>79.168293339502014</v>
      </c>
      <c r="AL162" s="20">
        <f t="shared" si="165"/>
        <v>727.25641756629886</v>
      </c>
      <c r="AM162" s="59">
        <f t="shared" si="113"/>
        <v>1020.5897508996322</v>
      </c>
      <c r="AN162" s="59">
        <f ca="1">AVERAGE(OFFSET($AM$3,0,0,'Données projet'!$E$10+1,1))-AVERAGE(OFFSET($H$3,0,0,'Données projet'!$E$10+1,1))</f>
        <v>297.90790572649428</v>
      </c>
      <c r="AO162" s="59">
        <f t="shared" si="144"/>
        <v>142.96889776844506</v>
      </c>
      <c r="AP162" s="15">
        <f>IF(ISNA(VLOOKUP(A162,'Données projet'!$A$61:$I$81,3,0)),0,VLOOKUP(A162,'Données projet'!$A$61:$I$81,3,0))</f>
        <v>13</v>
      </c>
      <c r="AQ162" s="15">
        <f>IF(ISNA(VLOOKUP(A162,'Données projet'!$A$61:$I$81,4,0)),0,VLOOKUP(A162,'Données projet'!$A$61:$I$81,4,0))</f>
        <v>47</v>
      </c>
      <c r="AR162" s="16">
        <f>IF(ISNA(VLOOKUP(A162,'Données projet'!$A$61:$I$81,5,0)),0%,VLOOKUP(A162,'Données projet'!$A$61:$I$81,5,0)*VLOOKUP('Données projet'!$B$10,Paramètres!$A$1:$I$89,7,0))</f>
        <v>0.30099999999999999</v>
      </c>
      <c r="AS162" s="16">
        <f>IF(ISNA(VLOOKUP(A162,'Données projet'!$A$61:$I$81,6,0)),0%,VLOOKUP(A162,'Données projet'!$A$61:$I$81,6,0)*VLOOKUP('Données projet'!$B$10,Paramètres!$A$1:$I$89,7,0))</f>
        <v>4.3000000000000003E-2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50.13202986901446</v>
      </c>
      <c r="AV162" s="21">
        <f>EXP(-LN(2)/25)*AV161+(1-EXP(-LN(2)/25))/(LN(2)/25)*Calculateur!AQ162*Calculateur!AS162*VLOOKUP('Données projet'!$B$10,Paramètres!$A$1:$I$89,3,0)*0.475*44/12</f>
        <v>10.592326855249009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60.724356724263473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>
        <f>VLOOKUP(A162,'Données projet'!$A$87:$I$107,2,0)</f>
        <v>374</v>
      </c>
      <c r="BB162" s="12">
        <f>VLOOKUP(A162,'Données projet'!$A$87:$I$107,9,0)</f>
        <v>5.916666666666667</v>
      </c>
      <c r="BC162" s="12">
        <f t="array" ref="BC162">INDEX(BB:BB,MIN(IF(ISNUMBER(BB162:BB358),ROW(BB162:BB358),"")))</f>
        <v>5.916666666666667</v>
      </c>
      <c r="BD162" s="12">
        <f>IF('Données projet'!$A$88&gt;35,BD161+BC162-BL161,IF(A162&lt;'Données projet'!$A$88,$BA$205^A162,IF(A162='Données projet'!$A$88,'Données projet'!$B$88,BD161+BC162-BL161)))</f>
        <v>373.99999999999972</v>
      </c>
      <c r="BE162" s="13">
        <f>BD162*VLOOKUP('Données projet'!$B$11,Paramètres!$A$1:$I$89,3,0)*VLOOKUP('Données projet'!$B$11,Paramètres!$A$1:$I$89,5,0)</f>
        <v>379.23599999999976</v>
      </c>
      <c r="BF162" s="13">
        <f t="shared" si="167"/>
        <v>87.554112396331476</v>
      </c>
      <c r="BG162" s="20">
        <f t="shared" si="168"/>
        <v>812.99277909027694</v>
      </c>
      <c r="BH162" s="59">
        <f t="shared" si="116"/>
        <v>1106.3261124236103</v>
      </c>
      <c r="BI162" s="59">
        <f ca="1">AVERAGE(OFFSET($BH$3,0,0,'Données projet'!$E$11+1,1))-AVERAGE(OFFSET($H$3,0,0,'Données projet'!$E$11+1,1))</f>
        <v>345.3294887586967</v>
      </c>
      <c r="BJ162" s="59">
        <f t="shared" si="146"/>
        <v>164.23448598618114</v>
      </c>
      <c r="BK162" s="15">
        <f>IF(ISNA(VLOOKUP(A162,'Données projet'!$A$87:$I$107,3,0)),0,VLOOKUP(A162,'Données projet'!$A$87:$I$107,3,0))</f>
        <v>13</v>
      </c>
      <c r="BL162" s="15">
        <f>IF(ISNA(VLOOKUP(A162,'Données projet'!$A$87:$I$107,4,0)),0,VLOOKUP(A162,'Données projet'!$A$87:$I$107,4,0))</f>
        <v>47</v>
      </c>
      <c r="BM162" s="16">
        <f>IF(ISNA(VLOOKUP(A162,'Données projet'!$A$87:$I$107,5,0)),0%,VLOOKUP(A162,'Données projet'!$A$87:$I$107,5,0)*VLOOKUP('Données projet'!$B$11,Paramètres!$A$1:$I$89,7,0))</f>
        <v>0.30099999999999999</v>
      </c>
      <c r="BN162" s="16">
        <f>IF(ISNA(VLOOKUP(A162,'Données projet'!$A$87:$I$107,6,0)),0%,VLOOKUP(A162,'Données projet'!$A$87:$I$107,6,0)*VLOOKUP('Données projet'!$B$11,Paramètres!$A$1:$I$89,7,0))</f>
        <v>4.3000000000000003E-2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56.182447266998992</v>
      </c>
      <c r="BQ162" s="21">
        <f>EXP(-LN(2)/25)*BQ161+(1-EXP(-LN(2)/25))/(LN(2)/25)*Calculateur!BL162*Calculateur!BN162*VLOOKUP('Données projet'!$B$11,Paramètres!$A$1:$I$89,3,0)*0.475*44/12</f>
        <v>11.870711130882514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68.053158397881504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289.07218105343333</v>
      </c>
      <c r="CE162" s="59">
        <f t="shared" si="148"/>
        <v>217.57508587672368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34.733422421232333</v>
      </c>
      <c r="CL162" s="21">
        <f>EXP(-LN(2)/25)*CL161+(1-EXP(-LN(2)/25))/(LN(2)/25)*Calculateur!CG162*Calculateur!CI162*VLOOKUP('Données projet'!$B$12,Paramètres!$A$1:$I$89,3,0)*0.475*44/12</f>
        <v>8.3362079952310904</v>
      </c>
      <c r="CM162" s="21">
        <f>EXP(-LN(2)/2)*CM161+(1-EXP(-LN(2)/2))/(LN(2)/2)*CG162*CJ162*VLOOKUP('Données projet'!$B$12,Paramètres!$A$1:$I$89,3,0)*0.475*44/12</f>
        <v>9.9705184582599044E-11</v>
      </c>
      <c r="CN162" s="22">
        <f t="shared" si="172"/>
        <v>43.069630416563129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1.7053025658242404E-13</v>
      </c>
      <c r="CU162" s="17">
        <f>CT162*VLOOKUP('Données projet'!$B$13,Paramètres!$A$1:$I$89,3,0)*VLOOKUP('Données projet'!$B$13,Paramètres!$A$1:$I$89,5,0)</f>
        <v>1.4897523215040567E-13</v>
      </c>
      <c r="CV162" s="13">
        <f t="shared" si="173"/>
        <v>2.136562777003313E-12</v>
      </c>
      <c r="CW162" s="20">
        <f t="shared" si="174"/>
        <v>3.9806453659427267E-12</v>
      </c>
      <c r="CX162" s="59">
        <f t="shared" si="122"/>
        <v>293.33333333333729</v>
      </c>
      <c r="CY162" s="59">
        <f ca="1">AVERAGE(OFFSET($CX$3,0,0,'Données projet'!$E$13+1,1))-AVERAGE(OFFSET($H$3,0,0,'Données projet'!$E$13+1,1))</f>
        <v>237.8483058552178</v>
      </c>
      <c r="CZ162" s="59">
        <f t="shared" si="150"/>
        <v>313.36201272119723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15.043101243333858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1.6556304513611456E-12</v>
      </c>
      <c r="DI162" s="22">
        <f t="shared" si="175"/>
        <v>15.043101243335514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>
        <f>VLOOKUP(A162,'Données projet'!$A$165:$I$185,2,0)</f>
        <v>374</v>
      </c>
      <c r="DM162" s="12">
        <f>VLOOKUP(A162,'Données projet'!$A$165:$I$185,9,0)</f>
        <v>5.916666666666667</v>
      </c>
      <c r="DN162" s="12">
        <f t="array" ref="DN162">INDEX(DM:DM,MIN(IF(ISNUMBER(DM162:DM358),ROW(DM162:DM358),"")))</f>
        <v>5.916666666666667</v>
      </c>
      <c r="DO162" s="12">
        <f>IF('Données projet'!$A$166&gt;35,DO161+DN162-DW161,IF(A162&lt;'Données projet'!$A$166,$DL$205^A162,IF(A162='Données projet'!$A$166,'Données projet'!$B$166,DO161+DN162-DW161)))</f>
        <v>373.99999999999972</v>
      </c>
      <c r="DP162" s="17">
        <f>DO162*VLOOKUP('Données projet'!$B$14,Paramètres!$A$1:$I$89,3,0)*VLOOKUP('Données projet'!$B$14,Paramètres!$A$1:$I$89,5,0)</f>
        <v>361.73279999999971</v>
      </c>
      <c r="DQ162" s="13">
        <f t="shared" si="176"/>
        <v>83.973760962256947</v>
      </c>
      <c r="DR162" s="20">
        <f t="shared" si="177"/>
        <v>776.27226034259695</v>
      </c>
      <c r="DS162" s="59">
        <f t="shared" si="125"/>
        <v>1069.6055936759303</v>
      </c>
      <c r="DT162" s="59">
        <f ca="1">AVERAGE(OFFSET($DS$3,0,0,'Données projet'!$E$14+1,1))-AVERAGE(OFFSET($H$3,0,0,'Données projet'!$E$14+1,1))</f>
        <v>325.01961068962373</v>
      </c>
      <c r="DU162" s="59">
        <f t="shared" si="152"/>
        <v>155.12737608540039</v>
      </c>
      <c r="DV162" s="15">
        <f>IF(ISNA(VLOOKUP(A162,'Données projet'!$A$165:$I$185,3,0)),0,VLOOKUP(A162,'Données projet'!$A$165:$I$185,3,0))</f>
        <v>13</v>
      </c>
      <c r="DW162" s="15">
        <f>IF(ISNA(VLOOKUP(A162,'Données projet'!$A$165:$I$185,4,0)),0,VLOOKUP(A162,'Données projet'!$A$165:$I$185,4,0))</f>
        <v>47</v>
      </c>
      <c r="DX162" s="16">
        <f>IF(ISNA(VLOOKUP(A162,'Données projet'!$A$165:$I$185,5,0)),0%,VLOOKUP(A162,'Données projet'!$A$165:$I$185,5,0)*VLOOKUP('Données projet'!$B$14,Paramètres!$A$1:$I$89,7,0))</f>
        <v>0.30099999999999999</v>
      </c>
      <c r="DY162" s="16">
        <f>IF(ISNA(VLOOKUP(A162,'Données projet'!$A$165:$I$185,6,0)),0%,VLOOKUP(A162,'Données projet'!$A$165:$I$185,6,0)*VLOOKUP('Données projet'!$B$14,Paramètres!$A$1:$I$89,7,0))</f>
        <v>4.3000000000000003E-2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53.589411239291323</v>
      </c>
      <c r="EB162" s="21">
        <f>EXP(-LN(2)/25)*EB161+(1-EXP(-LN(2)/25))/(LN(2)/25)*Calculateur!DW162*Calculateur!DY162*VLOOKUP('Données projet'!$B$14,Paramètres!$A$1:$I$89,3,0)*0.475*44/12</f>
        <v>11.322832155611012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64.912243394902333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-1.7053025658242404E-13</v>
      </c>
      <c r="EK162" s="17">
        <f>EJ162*VLOOKUP('Données projet'!$B$15,Paramètres!$A$1:$I$89,3,0)*VLOOKUP('Données projet'!$B$15,Paramètres!$A$1:$I$89,5,0)</f>
        <v>-1.1439169611549005E-13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178.09619481964575</v>
      </c>
      <c r="EP162" s="59">
        <f t="shared" si="154"/>
        <v>178.65167777495174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18.725054799870332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4.5127752786213612E-11</v>
      </c>
      <c r="EY162" s="22">
        <f t="shared" si="181"/>
        <v>18.725054799915458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-1.3567387213697657E-13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219.43439115440339</v>
      </c>
      <c r="FK162" s="59">
        <f t="shared" si="156"/>
        <v>217.8880462742099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22.208785925427605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5.3523613769695248E-11</v>
      </c>
      <c r="FT162" s="22">
        <f t="shared" si="184"/>
        <v>22.208785925481131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191.77102466144095</v>
      </c>
      <c r="GF162" s="59">
        <f t="shared" si="158"/>
        <v>205.57161411620217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16.360867329448489</v>
      </c>
      <c r="GM162" s="21">
        <f>EXP(-LN(2)/25)*GM161+(1-EXP(-LN(2)/25))/(LN(2)/25)*Calculateur!GH162*Calculateur!GJ162*VLOOKUP('Données projet'!$B$17,Paramètres!$A$1:$I$89,3,0)*0.475*44/12</f>
        <v>1.5621748214560047</v>
      </c>
      <c r="GN162" s="21">
        <f>EXP(-LN(2)/2)*GN161+(1-EXP(-LN(2)/2))/(LN(2)/2)*GH162*GK162*VLOOKUP('Données projet'!$B$17,Paramètres!$A$1:$I$89,3,0)*0.475*44/12</f>
        <v>5.3965407902524891E-14</v>
      </c>
      <c r="GO162" s="21">
        <f t="shared" si="187"/>
        <v>17.923042150904546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84.31577618130467</v>
      </c>
      <c r="T163" s="59">
        <f t="shared" si="142"/>
        <v>527.2140904310653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9.316373874218197</v>
      </c>
      <c r="AA163" s="21">
        <f>EXP(-LN(2)/25)*AA162+(1-EXP(-LN(2)/25))/(LN(2)/25)*Calculateur!V163*Calculateur!X163*VLOOKUP('Données projet'!$B$9,Paramètres!$A$1:$I$89,3,0)*0.475*44/12</f>
        <v>0.95888102658871688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10.275254900806914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6</v>
      </c>
      <c r="AI163" s="13">
        <f>IF('Données projet'!$A$62&gt;35,AI162+AH163-AQ162,IF(A163&lt;'Données projet'!$A$62,$AF$205^A163,IF(A163='Données projet'!$A$62,'Données projet'!$B$62,AI162+AH163-AQ162)))</f>
        <v>332.99999999999972</v>
      </c>
      <c r="AJ163" s="13">
        <f>AI163*VLOOKUP('Données projet'!$B$10,Paramètres!$A$1:$I$89,3,0)*VLOOKUP('Données projet'!$B$10,Paramètres!$A$1:$I$89,5,0)</f>
        <v>301.29839999999973</v>
      </c>
      <c r="AK163" s="13">
        <f t="shared" si="164"/>
        <v>71.448589534990461</v>
      </c>
      <c r="AL163" s="20">
        <f t="shared" si="165"/>
        <v>649.20100677344124</v>
      </c>
      <c r="AM163" s="59">
        <f t="shared" si="113"/>
        <v>942.53434010677461</v>
      </c>
      <c r="AN163" s="59">
        <f ca="1">AVERAGE(OFFSET($AM$3,0,0,'Données projet'!$E$10+1,1))-AVERAGE(OFFSET($H$3,0,0,'Données projet'!$E$10+1,1))</f>
        <v>297.90790572649428</v>
      </c>
      <c r="AO163" s="59">
        <f t="shared" si="144"/>
        <v>142.96889776844506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49.148971340802028</v>
      </c>
      <c r="AV163" s="21">
        <f>EXP(-LN(2)/25)*AV162+(1-EXP(-LN(2)/25))/(LN(2)/25)*Calculateur!AQ163*Calculateur!AS163*VLOOKUP('Données projet'!$B$10,Paramètres!$A$1:$I$89,3,0)*0.475*44/12</f>
        <v>10.302679120365966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59.451650461167993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6</v>
      </c>
      <c r="BD163" s="12">
        <f>IF('Données projet'!$A$88&gt;35,BD162+BC163-BL162,IF(A163&lt;'Données projet'!$A$88,$BA$205^A163,IF(A163='Données projet'!$A$88,'Données projet'!$B$88,BD162+BC163-BL162)))</f>
        <v>332.99999999999972</v>
      </c>
      <c r="BE163" s="13">
        <f>BD163*VLOOKUP('Données projet'!$B$11,Paramètres!$A$1:$I$89,3,0)*VLOOKUP('Données projet'!$B$11,Paramètres!$A$1:$I$89,5,0)</f>
        <v>337.66199999999975</v>
      </c>
      <c r="BF163" s="13">
        <f t="shared" si="167"/>
        <v>79.016707002632614</v>
      </c>
      <c r="BG163" s="20">
        <f t="shared" si="168"/>
        <v>725.71541469625129</v>
      </c>
      <c r="BH163" s="59">
        <f t="shared" si="116"/>
        <v>1019.0487480295847</v>
      </c>
      <c r="BI163" s="59">
        <f ca="1">AVERAGE(OFFSET($BH$3,0,0,'Données projet'!$E$11+1,1))-AVERAGE(OFFSET($H$3,0,0,'Données projet'!$E$11+1,1))</f>
        <v>345.3294887586967</v>
      </c>
      <c r="BJ163" s="59">
        <f t="shared" si="146"/>
        <v>164.23448598618114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55.080743744002298</v>
      </c>
      <c r="BQ163" s="21">
        <f>EXP(-LN(2)/25)*BQ162+(1-EXP(-LN(2)/25))/(LN(2)/25)*Calculateur!BL163*Calculateur!BN163*VLOOKUP('Données projet'!$B$11,Paramètres!$A$1:$I$89,3,0)*0.475*44/12</f>
        <v>11.546105910754964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66.626849654757265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289.07218105343333</v>
      </c>
      <c r="CE163" s="59">
        <f t="shared" si="148"/>
        <v>217.57508587672368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34.052321192847771</v>
      </c>
      <c r="CL163" s="21">
        <f>EXP(-LN(2)/25)*CL162+(1-EXP(-LN(2)/25))/(LN(2)/25)*Calculateur!CG163*Calculateur!CI163*VLOOKUP('Données projet'!$B$12,Paramètres!$A$1:$I$89,3,0)*0.475*44/12</f>
        <v>8.108253949219371</v>
      </c>
      <c r="CM163" s="21">
        <f>EXP(-LN(2)/2)*CM162+(1-EXP(-LN(2)/2))/(LN(2)/2)*CG163*CJ163*VLOOKUP('Données projet'!$B$12,Paramètres!$A$1:$I$89,3,0)*0.475*44/12</f>
        <v>7.0502212137812193E-11</v>
      </c>
      <c r="CN163" s="22">
        <f t="shared" si="172"/>
        <v>42.160575142137645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1.7053025658242404E-13</v>
      </c>
      <c r="CU163" s="17">
        <f>CT163*VLOOKUP('Données projet'!$B$13,Paramètres!$A$1:$I$89,3,0)*VLOOKUP('Données projet'!$B$13,Paramètres!$A$1:$I$89,5,0)</f>
        <v>1.4897523215040567E-13</v>
      </c>
      <c r="CV163" s="13">
        <f t="shared" si="173"/>
        <v>2.136562777003313E-12</v>
      </c>
      <c r="CW163" s="20">
        <f t="shared" si="174"/>
        <v>3.9806453659427267E-12</v>
      </c>
      <c r="CX163" s="59">
        <f t="shared" si="122"/>
        <v>293.33333333333729</v>
      </c>
      <c r="CY163" s="59">
        <f ca="1">AVERAGE(OFFSET($CX$3,0,0,'Données projet'!$E$13+1,1))-AVERAGE(OFFSET($H$3,0,0,'Données projet'!$E$13+1,1))</f>
        <v>237.8483058552178</v>
      </c>
      <c r="CZ163" s="59">
        <f t="shared" si="150"/>
        <v>313.36201272119723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14.748115203337845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1.1707075192964105E-12</v>
      </c>
      <c r="DI163" s="22">
        <f t="shared" si="175"/>
        <v>14.748115203339015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6</v>
      </c>
      <c r="DO163" s="12">
        <f>IF('Données projet'!$A$166&gt;35,DO162+DN163-DW162,IF(A163&lt;'Données projet'!$A$166,$DL$205^A163,IF(A163='Données projet'!$A$166,'Données projet'!$B$166,DO162+DN163-DW162)))</f>
        <v>332.99999999999972</v>
      </c>
      <c r="DP163" s="17">
        <f>DO163*VLOOKUP('Données projet'!$B$14,Paramètres!$A$1:$I$89,3,0)*VLOOKUP('Données projet'!$B$14,Paramètres!$A$1:$I$89,5,0)</f>
        <v>322.07759999999973</v>
      </c>
      <c r="DQ163" s="13">
        <f t="shared" si="176"/>
        <v>75.785475796129404</v>
      </c>
      <c r="DR163" s="20">
        <f t="shared" si="177"/>
        <v>692.94485701159147</v>
      </c>
      <c r="DS163" s="59">
        <f t="shared" si="125"/>
        <v>986.27819034492472</v>
      </c>
      <c r="DT163" s="59">
        <f ca="1">AVERAGE(OFFSET($DS$3,0,0,'Données projet'!$E$14+1,1))-AVERAGE(OFFSET($H$3,0,0,'Données projet'!$E$14+1,1))</f>
        <v>325.01961068962373</v>
      </c>
      <c r="DU163" s="59">
        <f t="shared" si="152"/>
        <v>155.12737608540039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52.538555571202174</v>
      </c>
      <c r="EB163" s="21">
        <f>EXP(-LN(2)/25)*EB162+(1-EXP(-LN(2)/25))/(LN(2)/25)*Calculateur!DW163*Calculateur!DY163*VLOOKUP('Données projet'!$B$14,Paramètres!$A$1:$I$89,3,0)*0.475*44/12</f>
        <v>11.013208714873965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63.551764286076136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-1.7053025658242404E-13</v>
      </c>
      <c r="EK163" s="17">
        <f>EJ163*VLOOKUP('Données projet'!$B$15,Paramètres!$A$1:$I$89,3,0)*VLOOKUP('Données projet'!$B$15,Paramètres!$A$1:$I$89,5,0)</f>
        <v>-1.1439169611549005E-13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178.09619481964575</v>
      </c>
      <c r="EP163" s="59">
        <f t="shared" si="154"/>
        <v>178.65167777495174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18.357867896400556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3.1910140014841759E-11</v>
      </c>
      <c r="EY163" s="22">
        <f t="shared" si="181"/>
        <v>18.357867896432467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-1.3567387213697657E-13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219.43439115440339</v>
      </c>
      <c r="FK163" s="59">
        <f t="shared" si="156"/>
        <v>217.8880462742099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21.773285179451825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3.784691025016118E-11</v>
      </c>
      <c r="FT163" s="22">
        <f t="shared" si="184"/>
        <v>21.773285179489672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191.77102466144095</v>
      </c>
      <c r="GF163" s="59">
        <f t="shared" si="158"/>
        <v>205.57161411620217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16.040040700261716</v>
      </c>
      <c r="GM163" s="21">
        <f>EXP(-LN(2)/25)*GM162+(1-EXP(-LN(2)/25))/(LN(2)/25)*Calculateur!GH163*Calculateur!GJ163*VLOOKUP('Données projet'!$B$17,Paramètres!$A$1:$I$89,3,0)*0.475*44/12</f>
        <v>1.5194570688120868</v>
      </c>
      <c r="GN163" s="21">
        <f>EXP(-LN(2)/2)*GN162+(1-EXP(-LN(2)/2))/(LN(2)/2)*GH163*GK163*VLOOKUP('Données projet'!$B$17,Paramètres!$A$1:$I$89,3,0)*0.475*44/12</f>
        <v>3.815930587737345E-14</v>
      </c>
      <c r="GO163" s="21">
        <f t="shared" si="187"/>
        <v>17.559497769073843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84.31577618130467</v>
      </c>
      <c r="T164" s="59">
        <f t="shared" si="142"/>
        <v>527.2140904310653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9.133685464971748</v>
      </c>
      <c r="AA164" s="21">
        <f>EXP(-LN(2)/25)*AA163+(1-EXP(-LN(2)/25))/(LN(2)/25)*Calculateur!V164*Calculateur!X164*VLOOKUP('Données projet'!$B$9,Paramètres!$A$1:$I$89,3,0)*0.475*44/12</f>
        <v>0.9326603744912868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10.066345839463034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6</v>
      </c>
      <c r="AI164" s="13">
        <f>IF('Données projet'!$A$62&gt;35,AI163+AH164-AQ163,IF(A164&lt;'Données projet'!$A$62,$AF$205^A164,IF(A164='Données projet'!$A$62,'Données projet'!$B$62,AI163+AH164-AQ163)))</f>
        <v>338.99999999999972</v>
      </c>
      <c r="AJ164" s="13">
        <f>AI164*VLOOKUP('Données projet'!$B$10,Paramètres!$A$1:$I$89,3,0)*VLOOKUP('Données projet'!$B$10,Paramètres!$A$1:$I$89,5,0)</f>
        <v>306.72719999999975</v>
      </c>
      <c r="AK164" s="13">
        <f t="shared" si="164"/>
        <v>72.584917646145584</v>
      </c>
      <c r="AL164" s="20">
        <f t="shared" si="165"/>
        <v>660.63527156703651</v>
      </c>
      <c r="AM164" s="59">
        <f t="shared" si="113"/>
        <v>953.96860490036988</v>
      </c>
      <c r="AN164" s="59">
        <f ca="1">AVERAGE(OFFSET($AM$3,0,0,'Données projet'!$E$10+1,1))-AVERAGE(OFFSET($H$3,0,0,'Données projet'!$E$10+1,1))</f>
        <v>297.90790572649428</v>
      </c>
      <c r="AO164" s="59">
        <f t="shared" si="144"/>
        <v>142.96889776844506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48.185189990721348</v>
      </c>
      <c r="AV164" s="21">
        <f>EXP(-LN(2)/25)*AV163+(1-EXP(-LN(2)/25))/(LN(2)/25)*Calculateur!AQ164*Calculateur!AS164*VLOOKUP('Données projet'!$B$10,Paramètres!$A$1:$I$89,3,0)*0.475*44/12</f>
        <v>10.02095181802521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58.206141808746558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6</v>
      </c>
      <c r="BD164" s="12">
        <f>IF('Données projet'!$A$88&gt;35,BD163+BC164-BL163,IF(A164&lt;'Données projet'!$A$88,$BA$205^A164,IF(A164='Données projet'!$A$88,'Données projet'!$B$88,BD163+BC164-BL163)))</f>
        <v>338.99999999999972</v>
      </c>
      <c r="BE164" s="13">
        <f>BD164*VLOOKUP('Données projet'!$B$11,Paramètres!$A$1:$I$89,3,0)*VLOOKUP('Données projet'!$B$11,Paramètres!$A$1:$I$89,5,0)</f>
        <v>343.74599999999975</v>
      </c>
      <c r="BF164" s="13">
        <f t="shared" si="167"/>
        <v>80.273399486030442</v>
      </c>
      <c r="BG164" s="20">
        <f t="shared" si="168"/>
        <v>738.50045410483597</v>
      </c>
      <c r="BH164" s="59">
        <f t="shared" si="116"/>
        <v>1031.8337874381693</v>
      </c>
      <c r="BI164" s="59">
        <f ca="1">AVERAGE(OFFSET($BH$3,0,0,'Données projet'!$E$11+1,1))-AVERAGE(OFFSET($H$3,0,0,'Données projet'!$E$11+1,1))</f>
        <v>345.3294887586967</v>
      </c>
      <c r="BJ164" s="59">
        <f t="shared" si="146"/>
        <v>164.23448598618114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54.000643955118775</v>
      </c>
      <c r="BQ164" s="21">
        <f>EXP(-LN(2)/25)*BQ163+(1-EXP(-LN(2)/25))/(LN(2)/25)*Calculateur!BL164*Calculateur!BN164*VLOOKUP('Données projet'!$B$11,Paramètres!$A$1:$I$89,3,0)*0.475*44/12</f>
        <v>11.230377037442048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65.231020992560829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289.07218105343333</v>
      </c>
      <c r="CE164" s="59">
        <f t="shared" si="148"/>
        <v>217.57508587672368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33.384575944121103</v>
      </c>
      <c r="CL164" s="21">
        <f>EXP(-LN(2)/25)*CL163+(1-EXP(-LN(2)/25))/(LN(2)/25)*Calculateur!CG164*Calculateur!CI164*VLOOKUP('Données projet'!$B$12,Paramètres!$A$1:$I$89,3,0)*0.475*44/12</f>
        <v>7.8865333185834237</v>
      </c>
      <c r="CM164" s="21">
        <f>EXP(-LN(2)/2)*CM163+(1-EXP(-LN(2)/2))/(LN(2)/2)*CG164*CJ164*VLOOKUP('Données projet'!$B$12,Paramètres!$A$1:$I$89,3,0)*0.475*44/12</f>
        <v>4.9852592291299522E-11</v>
      </c>
      <c r="CN164" s="22">
        <f t="shared" si="172"/>
        <v>41.271109262754379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1.7053025658242404E-13</v>
      </c>
      <c r="CU164" s="17">
        <f>CT164*VLOOKUP('Données projet'!$B$13,Paramètres!$A$1:$I$89,3,0)*VLOOKUP('Données projet'!$B$13,Paramètres!$A$1:$I$89,5,0)</f>
        <v>1.4897523215040567E-13</v>
      </c>
      <c r="CV164" s="13">
        <f t="shared" si="173"/>
        <v>2.136562777003313E-12</v>
      </c>
      <c r="CW164" s="20">
        <f t="shared" si="174"/>
        <v>3.9806453659427267E-12</v>
      </c>
      <c r="CX164" s="59">
        <f t="shared" si="122"/>
        <v>293.33333333333729</v>
      </c>
      <c r="CY164" s="59">
        <f ca="1">AVERAGE(OFFSET($CX$3,0,0,'Données projet'!$E$13+1,1))-AVERAGE(OFFSET($H$3,0,0,'Données projet'!$E$13+1,1))</f>
        <v>237.8483058552178</v>
      </c>
      <c r="CZ164" s="59">
        <f t="shared" si="150"/>
        <v>313.36201272119723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14.458913659662436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8.2781522568057282E-13</v>
      </c>
      <c r="DI164" s="22">
        <f t="shared" si="175"/>
        <v>14.458913659663263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6</v>
      </c>
      <c r="DO164" s="12">
        <f>IF('Données projet'!$A$166&gt;35,DO163+DN164-DW163,IF(A164&lt;'Données projet'!$A$166,$DL$205^A164,IF(A164='Données projet'!$A$166,'Données projet'!$B$166,DO163+DN164-DW163)))</f>
        <v>338.99999999999972</v>
      </c>
      <c r="DP164" s="17">
        <f>DO164*VLOOKUP('Données projet'!$B$14,Paramètres!$A$1:$I$89,3,0)*VLOOKUP('Données projet'!$B$14,Paramètres!$A$1:$I$89,5,0)</f>
        <v>327.88079999999974</v>
      </c>
      <c r="DQ164" s="13">
        <f t="shared" si="176"/>
        <v>76.990778337787333</v>
      </c>
      <c r="DR164" s="20">
        <f t="shared" si="177"/>
        <v>705.15133227164586</v>
      </c>
      <c r="DS164" s="59">
        <f t="shared" si="125"/>
        <v>998.48466560497923</v>
      </c>
      <c r="DT164" s="59">
        <f ca="1">AVERAGE(OFFSET($DS$3,0,0,'Données projet'!$E$14+1,1))-AVERAGE(OFFSET($H$3,0,0,'Données projet'!$E$14+1,1))</f>
        <v>325.01961068962373</v>
      </c>
      <c r="DU164" s="59">
        <f t="shared" si="152"/>
        <v>155.12737608540039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51.508306541805581</v>
      </c>
      <c r="EB164" s="21">
        <f>EXP(-LN(2)/25)*EB163+(1-EXP(-LN(2)/25))/(LN(2)/25)*Calculateur!DW164*Calculateur!DY164*VLOOKUP('Données projet'!$B$14,Paramètres!$A$1:$I$89,3,0)*0.475*44/12</f>
        <v>10.71205194340626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62.22035848521184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-1.7053025658242404E-13</v>
      </c>
      <c r="EK164" s="17">
        <f>EJ164*VLOOKUP('Données projet'!$B$15,Paramètres!$A$1:$I$89,3,0)*VLOOKUP('Données projet'!$B$15,Paramètres!$A$1:$I$89,5,0)</f>
        <v>-1.1439169611549005E-13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178.09619481964575</v>
      </c>
      <c r="EP164" s="59">
        <f t="shared" si="154"/>
        <v>178.65167777495174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17.997881304145928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2.2563876393106806E-11</v>
      </c>
      <c r="EY164" s="22">
        <f t="shared" si="181"/>
        <v>17.997881304168491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-1.3567387213697657E-13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219.43439115440339</v>
      </c>
      <c r="FK164" s="59">
        <f t="shared" si="156"/>
        <v>217.8880462742099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21.346324337475405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2.6761806884847624E-11</v>
      </c>
      <c r="FT164" s="22">
        <f t="shared" si="184"/>
        <v>21.346324337502168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191.77102466144095</v>
      </c>
      <c r="GF164" s="59">
        <f t="shared" si="158"/>
        <v>205.57161411620217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15.725505285588374</v>
      </c>
      <c r="GM164" s="21">
        <f>EXP(-LN(2)/25)*GM163+(1-EXP(-LN(2)/25))/(LN(2)/25)*Calculateur!GH164*Calculateur!GJ164*VLOOKUP('Données projet'!$B$17,Paramètres!$A$1:$I$89,3,0)*0.475*44/12</f>
        <v>1.4779074353606458</v>
      </c>
      <c r="GN164" s="21">
        <f>EXP(-LN(2)/2)*GN163+(1-EXP(-LN(2)/2))/(LN(2)/2)*GH164*GK164*VLOOKUP('Données projet'!$B$17,Paramètres!$A$1:$I$89,3,0)*0.475*44/12</f>
        <v>2.6982703951262445E-14</v>
      </c>
      <c r="GO164" s="21">
        <f t="shared" si="187"/>
        <v>17.20341272094905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84.31577618130467</v>
      </c>
      <c r="T165" s="59">
        <f t="shared" si="142"/>
        <v>527.2140904310653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8.9545794640016947</v>
      </c>
      <c r="AA165" s="21">
        <f>EXP(-LN(2)/25)*AA164+(1-EXP(-LN(2)/25))/(LN(2)/25)*Calculateur!V165*Calculateur!X165*VLOOKUP('Données projet'!$B$9,Paramètres!$A$1:$I$89,3,0)*0.475*44/12</f>
        <v>0.90715672750434506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9.86173619150604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6</v>
      </c>
      <c r="AI165" s="13">
        <f>IF('Données projet'!$A$62&gt;35,AI164+AH165-AQ164,IF(A165&lt;'Données projet'!$A$62,$AF$205^A165,IF(A165='Données projet'!$A$62,'Données projet'!$B$62,AI164+AH165-AQ164)))</f>
        <v>344.99999999999972</v>
      </c>
      <c r="AJ165" s="13">
        <f>AI165*VLOOKUP('Données projet'!$B$10,Paramètres!$A$1:$I$89,3,0)*VLOOKUP('Données projet'!$B$10,Paramètres!$A$1:$I$89,5,0)</f>
        <v>312.15599999999972</v>
      </c>
      <c r="AK165" s="13">
        <f t="shared" si="164"/>
        <v>73.718907001002492</v>
      </c>
      <c r="AL165" s="20">
        <f t="shared" si="165"/>
        <v>672.06546302674553</v>
      </c>
      <c r="AM165" s="59">
        <f t="shared" si="113"/>
        <v>965.3987963600789</v>
      </c>
      <c r="AN165" s="59">
        <f ca="1">AVERAGE(OFFSET($AM$3,0,0,'Données projet'!$E$10+1,1))-AVERAGE(OFFSET($H$3,0,0,'Données projet'!$E$10+1,1))</f>
        <v>297.90790572649428</v>
      </c>
      <c r="AO165" s="59">
        <f t="shared" si="144"/>
        <v>142.96889776844506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47.240307805067168</v>
      </c>
      <c r="AV165" s="21">
        <f>EXP(-LN(2)/25)*AV164+(1-EXP(-LN(2)/25))/(LN(2)/25)*Calculateur!AQ165*Calculateur!AS165*VLOOKUP('Données projet'!$B$10,Paramètres!$A$1:$I$89,3,0)*0.475*44/12</f>
        <v>9.7469283635823576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56.987236168649524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6</v>
      </c>
      <c r="BD165" s="12">
        <f>IF('Données projet'!$A$88&gt;35,BD164+BC165-BL164,IF(A165&lt;'Données projet'!$A$88,$BA$205^A165,IF(A165='Données projet'!$A$88,'Données projet'!$B$88,BD164+BC165-BL164)))</f>
        <v>344.99999999999972</v>
      </c>
      <c r="BE165" s="13">
        <f>BD165*VLOOKUP('Données projet'!$B$11,Paramètres!$A$1:$I$89,3,0)*VLOOKUP('Données projet'!$B$11,Paramètres!$A$1:$I$89,5,0)</f>
        <v>349.82999999999976</v>
      </c>
      <c r="BF165" s="13">
        <f t="shared" si="167"/>
        <v>81.527505482803917</v>
      </c>
      <c r="BG165" s="20">
        <f t="shared" si="168"/>
        <v>751.28098871588315</v>
      </c>
      <c r="BH165" s="59">
        <f t="shared" si="116"/>
        <v>1044.6143220492165</v>
      </c>
      <c r="BI165" s="59">
        <f ca="1">AVERAGE(OFFSET($BH$3,0,0,'Données projet'!$E$11+1,1))-AVERAGE(OFFSET($H$3,0,0,'Données projet'!$E$11+1,1))</f>
        <v>345.3294887586967</v>
      </c>
      <c r="BJ165" s="59">
        <f t="shared" si="146"/>
        <v>164.23448598618114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52.941724264299438</v>
      </c>
      <c r="BQ165" s="21">
        <f>EXP(-LN(2)/25)*BQ164+(1-EXP(-LN(2)/25))/(LN(2)/25)*Calculateur!BL165*Calculateur!BN165*VLOOKUP('Données projet'!$B$11,Paramètres!$A$1:$I$89,3,0)*0.475*44/12</f>
        <v>10.923281786773334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63.865006051072768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289.07218105343333</v>
      </c>
      <c r="CE165" s="59">
        <f t="shared" si="148"/>
        <v>217.57508587672368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32.729924772437577</v>
      </c>
      <c r="CL165" s="21">
        <f>EXP(-LN(2)/25)*CL164+(1-EXP(-LN(2)/25))/(LN(2)/25)*Calculateur!CG165*Calculateur!CI165*VLOOKUP('Données projet'!$B$12,Paramètres!$A$1:$I$89,3,0)*0.475*44/12</f>
        <v>7.6708756502519977</v>
      </c>
      <c r="CM165" s="21">
        <f>EXP(-LN(2)/2)*CM164+(1-EXP(-LN(2)/2))/(LN(2)/2)*CG165*CJ165*VLOOKUP('Données projet'!$B$12,Paramètres!$A$1:$I$89,3,0)*0.475*44/12</f>
        <v>3.5251106068906096E-11</v>
      </c>
      <c r="CN165" s="22">
        <f t="shared" si="172"/>
        <v>40.400800422724828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1.7053025658242404E-13</v>
      </c>
      <c r="CU165" s="17">
        <f>CT165*VLOOKUP('Données projet'!$B$13,Paramètres!$A$1:$I$89,3,0)*VLOOKUP('Données projet'!$B$13,Paramètres!$A$1:$I$89,5,0)</f>
        <v>1.4897523215040567E-13</v>
      </c>
      <c r="CV165" s="13">
        <f t="shared" si="173"/>
        <v>2.136562777003313E-12</v>
      </c>
      <c r="CW165" s="20">
        <f t="shared" si="174"/>
        <v>3.9806453659427267E-12</v>
      </c>
      <c r="CX165" s="59">
        <f t="shared" si="122"/>
        <v>293.33333333333729</v>
      </c>
      <c r="CY165" s="59">
        <f ca="1">AVERAGE(OFFSET($CX$3,0,0,'Données projet'!$E$13+1,1))-AVERAGE(OFFSET($H$3,0,0,'Données projet'!$E$13+1,1))</f>
        <v>237.8483058552178</v>
      </c>
      <c r="CZ165" s="59">
        <f t="shared" si="150"/>
        <v>313.36201272119723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14.175383181862978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5.8535375964820525E-13</v>
      </c>
      <c r="DI165" s="22">
        <f t="shared" si="175"/>
        <v>14.175383181863564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6</v>
      </c>
      <c r="DO165" s="12">
        <f>IF('Données projet'!$A$166&gt;35,DO164+DN165-DW164,IF(A165&lt;'Données projet'!$A$166,$DL$205^A165,IF(A165='Données projet'!$A$166,'Données projet'!$B$166,DO164+DN165-DW164)))</f>
        <v>344.99999999999972</v>
      </c>
      <c r="DP165" s="17">
        <f>DO165*VLOOKUP('Données projet'!$B$14,Paramètres!$A$1:$I$89,3,0)*VLOOKUP('Données projet'!$B$14,Paramètres!$A$1:$I$89,5,0)</f>
        <v>333.68399999999974</v>
      </c>
      <c r="DQ165" s="13">
        <f t="shared" si="176"/>
        <v>78.193600162051524</v>
      </c>
      <c r="DR165" s="20">
        <f t="shared" si="177"/>
        <v>717.35348694890592</v>
      </c>
      <c r="DS165" s="59">
        <f t="shared" si="125"/>
        <v>1010.6868202822393</v>
      </c>
      <c r="DT165" s="59">
        <f ca="1">AVERAGE(OFFSET($DS$3,0,0,'Données projet'!$E$14+1,1))-AVERAGE(OFFSET($H$3,0,0,'Données projet'!$E$14+1,1))</f>
        <v>325.01961068962373</v>
      </c>
      <c r="DU165" s="59">
        <f t="shared" si="152"/>
        <v>155.12737608540039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50.498260067485596</v>
      </c>
      <c r="EB165" s="21">
        <f>EXP(-LN(2)/25)*EB164+(1-EXP(-LN(2)/25))/(LN(2)/25)*Calculateur!DW165*Calculateur!DY165*VLOOKUP('Données projet'!$B$14,Paramètres!$A$1:$I$89,3,0)*0.475*44/12</f>
        <v>10.419130319691487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60.917390387177079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-1.7053025658242404E-13</v>
      </c>
      <c r="EK165" s="17">
        <f>EJ165*VLOOKUP('Données projet'!$B$15,Paramètres!$A$1:$I$89,3,0)*VLOOKUP('Données projet'!$B$15,Paramètres!$A$1:$I$89,5,0)</f>
        <v>-1.1439169611549005E-13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178.09619481964575</v>
      </c>
      <c r="EP165" s="59">
        <f t="shared" si="154"/>
        <v>178.65167777495174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17.64495382939527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1.5955070007420879E-11</v>
      </c>
      <c r="EY165" s="22">
        <f t="shared" si="181"/>
        <v>17.644953829411225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-1.3567387213697657E-13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219.43439115440339</v>
      </c>
      <c r="FK165" s="59">
        <f t="shared" si="156"/>
        <v>217.8880462742099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20.927735937189741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1.892345512508059E-11</v>
      </c>
      <c r="FT165" s="22">
        <f t="shared" si="184"/>
        <v>20.927735937208663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191.77102466144095</v>
      </c>
      <c r="GF165" s="59">
        <f t="shared" si="158"/>
        <v>205.57161411620217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15.417137718549117</v>
      </c>
      <c r="GM165" s="21">
        <f>EXP(-LN(2)/25)*GM164+(1-EXP(-LN(2)/25))/(LN(2)/25)*Calculateur!GH165*Calculateur!GJ165*VLOOKUP('Données projet'!$B$17,Paramètres!$A$1:$I$89,3,0)*0.475*44/12</f>
        <v>1.4374939788209347</v>
      </c>
      <c r="GN165" s="21">
        <f>EXP(-LN(2)/2)*GN164+(1-EXP(-LN(2)/2))/(LN(2)/2)*GH165*GK165*VLOOKUP('Données projet'!$B$17,Paramètres!$A$1:$I$89,3,0)*0.475*44/12</f>
        <v>1.9079652938686725E-14</v>
      </c>
      <c r="GO165" s="21">
        <f t="shared" si="187"/>
        <v>16.85463169737007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84.31577618130467</v>
      </c>
      <c r="T166" s="59">
        <f t="shared" si="142"/>
        <v>527.2140904310653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8.7789856224667915</v>
      </c>
      <c r="AA166" s="21">
        <f>EXP(-LN(2)/25)*AA165+(1-EXP(-LN(2)/25))/(LN(2)/25)*Calculateur!V166*Calculateur!X166*VLOOKUP('Données projet'!$B$9,Paramètres!$A$1:$I$89,3,0)*0.475*44/12</f>
        <v>0.88235047908543973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9.6613361015522319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6</v>
      </c>
      <c r="AI166" s="13">
        <f>IF('Données projet'!$A$62&gt;35,AI165+AH166-AQ165,IF(A166&lt;'Données projet'!$A$62,$AF$205^A166,IF(A166='Données projet'!$A$62,'Données projet'!$B$62,AI165+AH166-AQ165)))</f>
        <v>350.99999999999972</v>
      </c>
      <c r="AJ166" s="13">
        <f>AI166*VLOOKUP('Données projet'!$B$10,Paramètres!$A$1:$I$89,3,0)*VLOOKUP('Données projet'!$B$10,Paramètres!$A$1:$I$89,5,0)</f>
        <v>317.58479999999975</v>
      </c>
      <c r="AK166" s="13">
        <f t="shared" si="164"/>
        <v>74.85060296671989</v>
      </c>
      <c r="AL166" s="20">
        <f t="shared" si="165"/>
        <v>683.49166016703657</v>
      </c>
      <c r="AM166" s="59">
        <f t="shared" si="113"/>
        <v>976.82499350036983</v>
      </c>
      <c r="AN166" s="59">
        <f ca="1">AVERAGE(OFFSET($AM$3,0,0,'Données projet'!$E$10+1,1))-AVERAGE(OFFSET($H$3,0,0,'Données projet'!$E$10+1,1))</f>
        <v>297.90790572649428</v>
      </c>
      <c r="AO166" s="59">
        <f t="shared" si="144"/>
        <v>142.96889776844506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46.31395418275244</v>
      </c>
      <c r="AV166" s="21">
        <f>EXP(-LN(2)/25)*AV165+(1-EXP(-LN(2)/25))/(LN(2)/25)*Calculateur!AQ166*Calculateur!AS166*VLOOKUP('Données projet'!$B$10,Paramètres!$A$1:$I$89,3,0)*0.475*44/12</f>
        <v>9.4803980949115125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55.794352277663954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6</v>
      </c>
      <c r="BD166" s="12">
        <f>IF('Données projet'!$A$88&gt;35,BD165+BC166-BL165,IF(A166&lt;'Données projet'!$A$88,$BA$205^A166,IF(A166='Données projet'!$A$88,'Données projet'!$B$88,BD165+BC166-BL165)))</f>
        <v>350.99999999999972</v>
      </c>
      <c r="BE166" s="13">
        <f>BD166*VLOOKUP('Données projet'!$B$11,Paramètres!$A$1:$I$89,3,0)*VLOOKUP('Données projet'!$B$11,Paramètres!$A$1:$I$89,5,0)</f>
        <v>355.91399999999976</v>
      </c>
      <c r="BF166" s="13">
        <f t="shared" si="167"/>
        <v>82.779075165580579</v>
      </c>
      <c r="BG166" s="20">
        <f t="shared" si="168"/>
        <v>764.05710591338584</v>
      </c>
      <c r="BH166" s="59">
        <f t="shared" si="116"/>
        <v>1057.3904392467191</v>
      </c>
      <c r="BI166" s="59">
        <f ca="1">AVERAGE(OFFSET($BH$3,0,0,'Données projet'!$E$11+1,1))-AVERAGE(OFFSET($H$3,0,0,'Données projet'!$E$11+1,1))</f>
        <v>345.3294887586967</v>
      </c>
      <c r="BJ166" s="59">
        <f t="shared" si="146"/>
        <v>164.23448598618114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51.903569342739829</v>
      </c>
      <c r="BQ166" s="21">
        <f>EXP(-LN(2)/25)*BQ165+(1-EXP(-LN(2)/25))/(LN(2)/25)*Calculateur!BL166*Calculateur!BN166*VLOOKUP('Données projet'!$B$11,Paramètres!$A$1:$I$89,3,0)*0.475*44/12</f>
        <v>10.624584071883593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62.528153414623418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289.07218105343333</v>
      </c>
      <c r="CE166" s="59">
        <f t="shared" si="148"/>
        <v>217.57508587672368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32.088110910932976</v>
      </c>
      <c r="CL166" s="21">
        <f>EXP(-LN(2)/25)*CL165+(1-EXP(-LN(2)/25))/(LN(2)/25)*Calculateur!CG166*Calculateur!CI166*VLOOKUP('Données projet'!$B$12,Paramètres!$A$1:$I$89,3,0)*0.475*44/12</f>
        <v>7.461115152202038</v>
      </c>
      <c r="CM166" s="21">
        <f>EXP(-LN(2)/2)*CM165+(1-EXP(-LN(2)/2))/(LN(2)/2)*CG166*CJ166*VLOOKUP('Données projet'!$B$12,Paramètres!$A$1:$I$89,3,0)*0.475*44/12</f>
        <v>2.4926296145649761E-11</v>
      </c>
      <c r="CN166" s="22">
        <f t="shared" si="172"/>
        <v>39.549226063159942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1.7053025658242404E-13</v>
      </c>
      <c r="CU166" s="17">
        <f>CT166*VLOOKUP('Données projet'!$B$13,Paramètres!$A$1:$I$89,3,0)*VLOOKUP('Données projet'!$B$13,Paramètres!$A$1:$I$89,5,0)</f>
        <v>1.4897523215040567E-13</v>
      </c>
      <c r="CV166" s="13">
        <f t="shared" si="173"/>
        <v>2.136562777003313E-12</v>
      </c>
      <c r="CW166" s="20">
        <f t="shared" si="174"/>
        <v>3.9806453659427267E-12</v>
      </c>
      <c r="CX166" s="59">
        <f t="shared" si="122"/>
        <v>293.33333333333729</v>
      </c>
      <c r="CY166" s="59">
        <f ca="1">AVERAGE(OFFSET($CX$3,0,0,'Données projet'!$E$13+1,1))-AVERAGE(OFFSET($H$3,0,0,'Données projet'!$E$13+1,1))</f>
        <v>237.8483058552178</v>
      </c>
      <c r="CZ166" s="59">
        <f t="shared" si="150"/>
        <v>313.36201272119723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13.897412563796651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4.1390761284028641E-13</v>
      </c>
      <c r="DI166" s="22">
        <f t="shared" si="175"/>
        <v>13.897412563797065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6</v>
      </c>
      <c r="DO166" s="12">
        <f>IF('Données projet'!$A$166&gt;35,DO165+DN166-DW165,IF(A166&lt;'Données projet'!$A$166,$DL$205^A166,IF(A166='Données projet'!$A$166,'Données projet'!$B$166,DO165+DN166-DW165)))</f>
        <v>350.99999999999972</v>
      </c>
      <c r="DP166" s="17">
        <f>DO166*VLOOKUP('Données projet'!$B$14,Paramètres!$A$1:$I$89,3,0)*VLOOKUP('Données projet'!$B$14,Paramètres!$A$1:$I$89,5,0)</f>
        <v>339.48719999999975</v>
      </c>
      <c r="DQ166" s="13">
        <f t="shared" si="176"/>
        <v>79.393989389839533</v>
      </c>
      <c r="DR166" s="20">
        <f t="shared" si="177"/>
        <v>729.55140485396998</v>
      </c>
      <c r="DS166" s="59">
        <f t="shared" si="125"/>
        <v>1022.8847381873034</v>
      </c>
      <c r="DT166" s="59">
        <f ca="1">AVERAGE(OFFSET($DS$3,0,0,'Données projet'!$E$14+1,1))-AVERAGE(OFFSET($H$3,0,0,'Données projet'!$E$14+1,1))</f>
        <v>325.01961068962373</v>
      </c>
      <c r="DU166" s="59">
        <f t="shared" si="152"/>
        <v>155.12737608540039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49.508019988459509</v>
      </c>
      <c r="EB166" s="21">
        <f>EXP(-LN(2)/25)*EB165+(1-EXP(-LN(2)/25))/(LN(2)/25)*Calculateur!DW166*Calculateur!DY166*VLOOKUP('Données projet'!$B$14,Paramètres!$A$1:$I$89,3,0)*0.475*44/12</f>
        <v>10.134218653181273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59.64223864164078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-1.7053025658242404E-13</v>
      </c>
      <c r="EK166" s="17">
        <f>EJ166*VLOOKUP('Données projet'!$B$15,Paramètres!$A$1:$I$89,3,0)*VLOOKUP('Données projet'!$B$15,Paramètres!$A$1:$I$89,5,0)</f>
        <v>-1.1439169611549005E-13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178.09619481964575</v>
      </c>
      <c r="EP166" s="59">
        <f t="shared" si="154"/>
        <v>178.65167777495174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17.29894704715997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1.1281938196553403E-11</v>
      </c>
      <c r="EY166" s="22">
        <f t="shared" si="181"/>
        <v>17.298947047171254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-1.3567387213697657E-13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219.43439115440339</v>
      </c>
      <c r="FK166" s="59">
        <f t="shared" si="156"/>
        <v>217.8880462742099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20.517355800119965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1.3380903442423812E-11</v>
      </c>
      <c r="FT166" s="22">
        <f t="shared" si="184"/>
        <v>20.517355800133345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191.77102466144095</v>
      </c>
      <c r="GF166" s="59">
        <f t="shared" si="158"/>
        <v>205.57161411620217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15.114817051413857</v>
      </c>
      <c r="GM166" s="21">
        <f>EXP(-LN(2)/25)*GM165+(1-EXP(-LN(2)/25))/(LN(2)/25)*Calculateur!GH166*Calculateur!GJ166*VLOOKUP('Données projet'!$B$17,Paramètres!$A$1:$I$89,3,0)*0.475*44/12</f>
        <v>1.3981856303755533</v>
      </c>
      <c r="GN166" s="21">
        <f>EXP(-LN(2)/2)*GN165+(1-EXP(-LN(2)/2))/(LN(2)/2)*GH166*GK166*VLOOKUP('Données projet'!$B$17,Paramètres!$A$1:$I$89,3,0)*0.475*44/12</f>
        <v>1.3491351975631223E-14</v>
      </c>
      <c r="GO166" s="21">
        <f t="shared" si="187"/>
        <v>16.513002681789423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84.31577618130467</v>
      </c>
      <c r="T167" s="59">
        <f t="shared" si="142"/>
        <v>527.2140904310653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8.6068350690627202</v>
      </c>
      <c r="AA167" s="21">
        <f>EXP(-LN(2)/25)*AA166+(1-EXP(-LN(2)/25))/(LN(2)/25)*Calculateur!V167*Calculateur!X167*VLOOKUP('Données projet'!$B$9,Paramètres!$A$1:$I$89,3,0)*0.475*44/12</f>
        <v>0.8582225588340533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9.4650576278967726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6</v>
      </c>
      <c r="AI167" s="13">
        <f>IF('Données projet'!$A$62&gt;35,AI166+AH167-AQ166,IF(A167&lt;'Données projet'!$A$62,$AF$205^A167,IF(A167='Données projet'!$A$62,'Données projet'!$B$62,AI166+AH167-AQ166)))</f>
        <v>356.99999999999972</v>
      </c>
      <c r="AJ167" s="13">
        <f>AI167*VLOOKUP('Données projet'!$B$10,Paramètres!$A$1:$I$89,3,0)*VLOOKUP('Données projet'!$B$10,Paramètres!$A$1:$I$89,5,0)</f>
        <v>323.01359999999977</v>
      </c>
      <c r="AK167" s="13">
        <f t="shared" si="164"/>
        <v>75.980049270566099</v>
      </c>
      <c r="AL167" s="20">
        <f t="shared" si="165"/>
        <v>694.91393914623552</v>
      </c>
      <c r="AM167" s="59">
        <f t="shared" si="113"/>
        <v>988.24727247956889</v>
      </c>
      <c r="AN167" s="59">
        <f ca="1">AVERAGE(OFFSET($AM$3,0,0,'Données projet'!$E$10+1,1))-AVERAGE(OFFSET($H$3,0,0,'Données projet'!$E$10+1,1))</f>
        <v>297.90790572649428</v>
      </c>
      <c r="AO167" s="59">
        <f t="shared" si="144"/>
        <v>142.96889776844506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45.405765789951388</v>
      </c>
      <c r="AV167" s="21">
        <f>EXP(-LN(2)/25)*AV166+(1-EXP(-LN(2)/25))/(LN(2)/25)*Calculateur!AQ167*Calculateur!AS167*VLOOKUP('Données projet'!$B$10,Paramètres!$A$1:$I$89,3,0)*0.475*44/12</f>
        <v>9.2211561104536894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54.62692190040508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6</v>
      </c>
      <c r="BD167" s="12">
        <f>IF('Données projet'!$A$88&gt;35,BD166+BC167-BL166,IF(A167&lt;'Données projet'!$A$88,$BA$205^A167,IF(A167='Données projet'!$A$88,'Données projet'!$B$88,BD166+BC167-BL166)))</f>
        <v>356.99999999999972</v>
      </c>
      <c r="BE167" s="13">
        <f>BD167*VLOOKUP('Données projet'!$B$11,Paramètres!$A$1:$I$89,3,0)*VLOOKUP('Données projet'!$B$11,Paramètres!$A$1:$I$89,5,0)</f>
        <v>361.99799999999971</v>
      </c>
      <c r="BF167" s="13">
        <f t="shared" si="167"/>
        <v>84.028156893394339</v>
      </c>
      <c r="BG167" s="20">
        <f t="shared" si="168"/>
        <v>776.82888992266123</v>
      </c>
      <c r="BH167" s="59">
        <f t="shared" si="116"/>
        <v>1070.1622232559946</v>
      </c>
      <c r="BI167" s="59">
        <f ca="1">AVERAGE(OFFSET($BH$3,0,0,'Données projet'!$E$11+1,1))-AVERAGE(OFFSET($H$3,0,0,'Données projet'!$E$11+1,1))</f>
        <v>345.3294887586967</v>
      </c>
      <c r="BJ167" s="59">
        <f t="shared" si="146"/>
        <v>164.23448598618114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50.88577200598003</v>
      </c>
      <c r="BQ167" s="21">
        <f>EXP(-LN(2)/25)*BQ166+(1-EXP(-LN(2)/25))/(LN(2)/25)*Calculateur!BL167*Calculateur!BN167*VLOOKUP('Données projet'!$B$11,Paramètres!$A$1:$I$89,3,0)*0.475*44/12</f>
        <v>10.334054261715343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61.219826267695375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289.07218105343333</v>
      </c>
      <c r="CE167" s="59">
        <f t="shared" si="148"/>
        <v>217.57508587672368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31.458882627784678</v>
      </c>
      <c r="CL167" s="21">
        <f>EXP(-LN(2)/25)*CL166+(1-EXP(-LN(2)/25))/(LN(2)/25)*Calculateur!CG167*Calculateur!CI167*VLOOKUP('Données projet'!$B$12,Paramètres!$A$1:$I$89,3,0)*0.475*44/12</f>
        <v>7.2570905660020797</v>
      </c>
      <c r="CM167" s="21">
        <f>EXP(-LN(2)/2)*CM166+(1-EXP(-LN(2)/2))/(LN(2)/2)*CG167*CJ167*VLOOKUP('Données projet'!$B$12,Paramètres!$A$1:$I$89,3,0)*0.475*44/12</f>
        <v>1.7625553034453048E-11</v>
      </c>
      <c r="CN167" s="22">
        <f t="shared" si="172"/>
        <v>38.715973193804388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1.7053025658242404E-13</v>
      </c>
      <c r="CU167" s="17">
        <f>CT167*VLOOKUP('Données projet'!$B$13,Paramètres!$A$1:$I$89,3,0)*VLOOKUP('Données projet'!$B$13,Paramètres!$A$1:$I$89,5,0)</f>
        <v>1.4897523215040567E-13</v>
      </c>
      <c r="CV167" s="13">
        <f t="shared" si="173"/>
        <v>2.136562777003313E-12</v>
      </c>
      <c r="CW167" s="20">
        <f t="shared" si="174"/>
        <v>3.9806453659427267E-12</v>
      </c>
      <c r="CX167" s="59">
        <f t="shared" si="122"/>
        <v>293.33333333333729</v>
      </c>
      <c r="CY167" s="59">
        <f ca="1">AVERAGE(OFFSET($CX$3,0,0,'Données projet'!$E$13+1,1))-AVERAGE(OFFSET($H$3,0,0,'Données projet'!$E$13+1,1))</f>
        <v>237.8483058552178</v>
      </c>
      <c r="CZ167" s="59">
        <f t="shared" si="150"/>
        <v>313.36201272119723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13.62489278000527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2.9267687982410262E-13</v>
      </c>
      <c r="DI167" s="22">
        <f t="shared" si="175"/>
        <v>13.624892780005563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6</v>
      </c>
      <c r="DO167" s="12">
        <f>IF('Données projet'!$A$166&gt;35,DO166+DN167-DW166,IF(A167&lt;'Données projet'!$A$166,$DL$205^A167,IF(A167='Données projet'!$A$166,'Données projet'!$B$166,DO166+DN167-DW166)))</f>
        <v>356.99999999999972</v>
      </c>
      <c r="DP167" s="17">
        <f>DO167*VLOOKUP('Données projet'!$B$14,Paramètres!$A$1:$I$89,3,0)*VLOOKUP('Données projet'!$B$14,Paramètres!$A$1:$I$89,5,0)</f>
        <v>345.29039999999975</v>
      </c>
      <c r="DQ167" s="13">
        <f t="shared" si="176"/>
        <v>80.59199240263861</v>
      </c>
      <c r="DR167" s="20">
        <f t="shared" si="177"/>
        <v>741.74516676792837</v>
      </c>
      <c r="DS167" s="59">
        <f t="shared" si="125"/>
        <v>1035.0785001012616</v>
      </c>
      <c r="DT167" s="59">
        <f ca="1">AVERAGE(OFFSET($DS$3,0,0,'Données projet'!$E$14+1,1))-AVERAGE(OFFSET($H$3,0,0,'Données projet'!$E$14+1,1))</f>
        <v>325.01961068962373</v>
      </c>
      <c r="DU167" s="59">
        <f t="shared" si="152"/>
        <v>155.12737608540039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48.537197913396312</v>
      </c>
      <c r="EB167" s="21">
        <f>EXP(-LN(2)/25)*EB166+(1-EXP(-LN(2)/25))/(LN(2)/25)*Calculateur!DW167*Calculateur!DY167*VLOOKUP('Données projet'!$B$14,Paramètres!$A$1:$I$89,3,0)*0.475*44/12</f>
        <v>9.857097911174634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58.394295824570946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-1.7053025658242404E-13</v>
      </c>
      <c r="EK167" s="17">
        <f>EJ167*VLOOKUP('Données projet'!$B$15,Paramètres!$A$1:$I$89,3,0)*VLOOKUP('Données projet'!$B$15,Paramètres!$A$1:$I$89,5,0)</f>
        <v>-1.1439169611549005E-13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178.09619481964575</v>
      </c>
      <c r="EP167" s="59">
        <f t="shared" si="154"/>
        <v>178.65167777495174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16.959725246881007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7.9775350037104397E-12</v>
      </c>
      <c r="EY167" s="22">
        <f t="shared" si="181"/>
        <v>16.959725246888983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-1.3567387213697657E-13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219.43439115440339</v>
      </c>
      <c r="FK167" s="59">
        <f t="shared" si="156"/>
        <v>217.8880462742099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20.11502296723096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9.4617275625402949E-12</v>
      </c>
      <c r="FT167" s="22">
        <f t="shared" si="184"/>
        <v>20.115022967240421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191.77102466144095</v>
      </c>
      <c r="GF167" s="59">
        <f t="shared" si="158"/>
        <v>205.57161411620217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14.818424708163718</v>
      </c>
      <c r="GM167" s="21">
        <f>EXP(-LN(2)/25)*GM166+(1-EXP(-LN(2)/25))/(LN(2)/25)*Calculateur!GH167*Calculateur!GJ167*VLOOKUP('Données projet'!$B$17,Paramètres!$A$1:$I$89,3,0)*0.475*44/12</f>
        <v>1.3599521707855471</v>
      </c>
      <c r="GN167" s="21">
        <f>EXP(-LN(2)/2)*GN166+(1-EXP(-LN(2)/2))/(LN(2)/2)*GH167*GK167*VLOOKUP('Données projet'!$B$17,Paramètres!$A$1:$I$89,3,0)*0.475*44/12</f>
        <v>9.5398264693433625E-15</v>
      </c>
      <c r="GO167" s="21">
        <f t="shared" si="187"/>
        <v>16.178376878949276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84.31577618130467</v>
      </c>
      <c r="T168" s="59">
        <f t="shared" si="142"/>
        <v>527.2140904310653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8.4380602830094329</v>
      </c>
      <c r="AA168" s="21">
        <f>EXP(-LN(2)/25)*AA167+(1-EXP(-LN(2)/25))/(LN(2)/25)*Calculateur!V168*Calculateur!X168*VLOOKUP('Données projet'!$B$9,Paramètres!$A$1:$I$89,3,0)*0.475*44/12</f>
        <v>0.8347544178307732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9.2728147008402058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6</v>
      </c>
      <c r="AI168" s="13">
        <f>IF('Données projet'!$A$62&gt;35,AI167+AH168-AQ167,IF(A168&lt;'Données projet'!$A$62,$AF$205^A168,IF(A168='Données projet'!$A$62,'Données projet'!$B$62,AI167+AH168-AQ167)))</f>
        <v>362.99999999999972</v>
      </c>
      <c r="AJ168" s="13">
        <f>AI168*VLOOKUP('Données projet'!$B$10,Paramètres!$A$1:$I$89,3,0)*VLOOKUP('Données projet'!$B$10,Paramètres!$A$1:$I$89,5,0)</f>
        <v>328.44239999999974</v>
      </c>
      <c r="AK168" s="13">
        <f t="shared" si="164"/>
        <v>77.107288085743335</v>
      </c>
      <c r="AL168" s="20">
        <f t="shared" si="165"/>
        <v>706.3323734160025</v>
      </c>
      <c r="AM168" s="59">
        <f t="shared" si="113"/>
        <v>999.66570674933587</v>
      </c>
      <c r="AN168" s="59">
        <f ca="1">AVERAGE(OFFSET($AM$3,0,0,'Données projet'!$E$10+1,1))-AVERAGE(OFFSET($H$3,0,0,'Données projet'!$E$10+1,1))</f>
        <v>297.90790572649428</v>
      </c>
      <c r="AO168" s="59">
        <f t="shared" si="144"/>
        <v>142.96889776844506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44.515386417592943</v>
      </c>
      <c r="AV168" s="21">
        <f>EXP(-LN(2)/25)*AV167+(1-EXP(-LN(2)/25))/(LN(2)/25)*Calculateur!AQ168*Calculateur!AS168*VLOOKUP('Données projet'!$B$10,Paramètres!$A$1:$I$89,3,0)*0.475*44/12</f>
        <v>8.9690031116938087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53.484389529286751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6</v>
      </c>
      <c r="BD168" s="12">
        <f>IF('Données projet'!$A$88&gt;35,BD167+BC168-BL167,IF(A168&lt;'Données projet'!$A$88,$BA$205^A168,IF(A168='Données projet'!$A$88,'Données projet'!$B$88,BD167+BC168-BL167)))</f>
        <v>362.99999999999972</v>
      </c>
      <c r="BE168" s="13">
        <f>BD168*VLOOKUP('Données projet'!$B$11,Paramètres!$A$1:$I$89,3,0)*VLOOKUP('Données projet'!$B$11,Paramètres!$A$1:$I$89,5,0)</f>
        <v>368.08199999999971</v>
      </c>
      <c r="BF168" s="13">
        <f t="shared" si="167"/>
        <v>85.274797306599979</v>
      </c>
      <c r="BG168" s="20">
        <f t="shared" si="168"/>
        <v>789.59642197566109</v>
      </c>
      <c r="BH168" s="59">
        <f t="shared" si="116"/>
        <v>1082.9297553089943</v>
      </c>
      <c r="BI168" s="59">
        <f ca="1">AVERAGE(OFFSET($BH$3,0,0,'Données projet'!$E$11+1,1))-AVERAGE(OFFSET($H$3,0,0,'Données projet'!$E$11+1,1))</f>
        <v>345.3294887586967</v>
      </c>
      <c r="BJ168" s="59">
        <f t="shared" si="146"/>
        <v>164.23448598618114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49.88793305419901</v>
      </c>
      <c r="BQ168" s="21">
        <f>EXP(-LN(2)/25)*BQ167+(1-EXP(-LN(2)/25))/(LN(2)/25)*Calculateur!BL168*Calculateur!BN168*VLOOKUP('Données projet'!$B$11,Paramètres!$A$1:$I$89,3,0)*0.475*44/12</f>
        <v>10.051469004484442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59.939402058683456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289.07218105343333</v>
      </c>
      <c r="CE168" s="59">
        <f t="shared" si="148"/>
        <v>217.57508587672368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30.841993127477565</v>
      </c>
      <c r="CL168" s="21">
        <f>EXP(-LN(2)/25)*CL167+(1-EXP(-LN(2)/25))/(LN(2)/25)*Calculateur!CG168*Calculateur!CI168*VLOOKUP('Données projet'!$B$12,Paramètres!$A$1:$I$89,3,0)*0.475*44/12</f>
        <v>7.0586450428409462</v>
      </c>
      <c r="CM168" s="21">
        <f>EXP(-LN(2)/2)*CM167+(1-EXP(-LN(2)/2))/(LN(2)/2)*CG168*CJ168*VLOOKUP('Données projet'!$B$12,Paramètres!$A$1:$I$89,3,0)*0.475*44/12</f>
        <v>1.246314807282488E-11</v>
      </c>
      <c r="CN168" s="22">
        <f t="shared" si="172"/>
        <v>37.900638170330971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1.7053025658242404E-13</v>
      </c>
      <c r="CU168" s="17">
        <f>CT168*VLOOKUP('Données projet'!$B$13,Paramètres!$A$1:$I$89,3,0)*VLOOKUP('Données projet'!$B$13,Paramètres!$A$1:$I$89,5,0)</f>
        <v>1.4897523215040567E-13</v>
      </c>
      <c r="CV168" s="13">
        <f t="shared" si="173"/>
        <v>2.136562777003313E-12</v>
      </c>
      <c r="CW168" s="20">
        <f t="shared" si="174"/>
        <v>3.9806453659427267E-12</v>
      </c>
      <c r="CX168" s="59">
        <f t="shared" si="122"/>
        <v>293.33333333333729</v>
      </c>
      <c r="CY168" s="59">
        <f ca="1">AVERAGE(OFFSET($CX$3,0,0,'Données projet'!$E$13+1,1))-AVERAGE(OFFSET($H$3,0,0,'Données projet'!$E$13+1,1))</f>
        <v>237.8483058552178</v>
      </c>
      <c r="CZ168" s="59">
        <f t="shared" si="150"/>
        <v>313.36201272119723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13.357716942953383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2.069538064201432E-13</v>
      </c>
      <c r="DI168" s="22">
        <f t="shared" si="175"/>
        <v>13.357716942953591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6</v>
      </c>
      <c r="DO168" s="12">
        <f>IF('Données projet'!$A$166&gt;35,DO167+DN168-DW167,IF(A168&lt;'Données projet'!$A$166,$DL$205^A168,IF(A168='Données projet'!$A$166,'Données projet'!$B$166,DO167+DN168-DW167)))</f>
        <v>362.99999999999972</v>
      </c>
      <c r="DP168" s="17">
        <f>DO168*VLOOKUP('Données projet'!$B$14,Paramètres!$A$1:$I$89,3,0)*VLOOKUP('Données projet'!$B$14,Paramètres!$A$1:$I$89,5,0)</f>
        <v>351.09359999999975</v>
      </c>
      <c r="DQ168" s="13">
        <f t="shared" si="176"/>
        <v>81.787653933538962</v>
      </c>
      <c r="DR168" s="20">
        <f t="shared" si="177"/>
        <v>753.93485060091325</v>
      </c>
      <c r="DS168" s="59">
        <f t="shared" si="125"/>
        <v>1047.2681839342465</v>
      </c>
      <c r="DT168" s="59">
        <f ca="1">AVERAGE(OFFSET($DS$3,0,0,'Données projet'!$E$14+1,1))-AVERAGE(OFFSET($H$3,0,0,'Données projet'!$E$14+1,1))</f>
        <v>325.01961068962373</v>
      </c>
      <c r="DU168" s="59">
        <f t="shared" si="152"/>
        <v>155.12737608540039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47.585413067082108</v>
      </c>
      <c r="EB168" s="21">
        <f>EXP(-LN(2)/25)*EB167+(1-EXP(-LN(2)/25))/(LN(2)/25)*Calculateur!DW168*Calculateur!DY168*VLOOKUP('Données projet'!$B$14,Paramètres!$A$1:$I$89,3,0)*0.475*44/12</f>
        <v>9.5875550504313125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57.17296811751342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-1.7053025658242404E-13</v>
      </c>
      <c r="EK168" s="17">
        <f>EJ168*VLOOKUP('Données projet'!$B$15,Paramètres!$A$1:$I$89,3,0)*VLOOKUP('Données projet'!$B$15,Paramètres!$A$1:$I$89,5,0)</f>
        <v>-1.1439169611549005E-13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178.09619481964575</v>
      </c>
      <c r="EP168" s="59">
        <f t="shared" si="154"/>
        <v>178.65167777495174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16.627155379200644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5.6409690982767015E-12</v>
      </c>
      <c r="EY168" s="22">
        <f t="shared" si="181"/>
        <v>16.627155379206286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-1.3567387213697657E-13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219.43439115440339</v>
      </c>
      <c r="FK168" s="59">
        <f t="shared" si="156"/>
        <v>217.8880462742099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19.720579635796113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6.690451721211906E-12</v>
      </c>
      <c r="FT168" s="22">
        <f t="shared" si="184"/>
        <v>19.720579635802803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191.77102466144095</v>
      </c>
      <c r="GF168" s="59">
        <f t="shared" si="158"/>
        <v>205.57161411620217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14.527844437983237</v>
      </c>
      <c r="GM168" s="21">
        <f>EXP(-LN(2)/25)*GM167+(1-EXP(-LN(2)/25))/(LN(2)/25)*Calculateur!GH168*Calculateur!GJ168*VLOOKUP('Données projet'!$B$17,Paramètres!$A$1:$I$89,3,0)*0.475*44/12</f>
        <v>1.3227642071586398</v>
      </c>
      <c r="GN168" s="21">
        <f>EXP(-LN(2)/2)*GN167+(1-EXP(-LN(2)/2))/(LN(2)/2)*GH168*GK168*VLOOKUP('Données projet'!$B$17,Paramètres!$A$1:$I$89,3,0)*0.475*44/12</f>
        <v>6.7456759878156113E-15</v>
      </c>
      <c r="GO168" s="21">
        <f t="shared" si="187"/>
        <v>15.850608645141884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84.31577618130467</v>
      </c>
      <c r="T169" s="59">
        <f t="shared" si="142"/>
        <v>527.2140904310653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8.2725950675681954</v>
      </c>
      <c r="AA169" s="21">
        <f>EXP(-LN(2)/25)*AA168+(1-EXP(-LN(2)/25))/(LN(2)/25)*Calculateur!V169*Calculateur!X169*VLOOKUP('Données projet'!$B$9,Paramètres!$A$1:$I$89,3,0)*0.475*44/12</f>
        <v>0.81192801437736373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9.0845230819455587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6</v>
      </c>
      <c r="AI169" s="13">
        <f>IF('Données projet'!$A$62&gt;35,AI168+AH169-AQ168,IF(A169&lt;'Données projet'!$A$62,$AF$205^A169,IF(A169='Données projet'!$A$62,'Données projet'!$B$62,AI168+AH169-AQ168)))</f>
        <v>368.99999999999972</v>
      </c>
      <c r="AJ169" s="13">
        <f>AI169*VLOOKUP('Données projet'!$B$10,Paramètres!$A$1:$I$89,3,0)*VLOOKUP('Données projet'!$B$10,Paramètres!$A$1:$I$89,5,0)</f>
        <v>333.8711999999997</v>
      </c>
      <c r="AK169" s="13">
        <f t="shared" si="164"/>
        <v>78.232360111376238</v>
      </c>
      <c r="AL169" s="20">
        <f t="shared" si="165"/>
        <v>717.74703386064641</v>
      </c>
      <c r="AM169" s="59">
        <f t="shared" si="113"/>
        <v>1011.0803671939798</v>
      </c>
      <c r="AN169" s="59">
        <f ca="1">AVERAGE(OFFSET($AM$3,0,0,'Données projet'!$E$10+1,1))-AVERAGE(OFFSET($H$3,0,0,'Données projet'!$E$10+1,1))</f>
        <v>297.90790572649428</v>
      </c>
      <c r="AO169" s="59">
        <f t="shared" si="144"/>
        <v>142.96889776844506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43.642466841648648</v>
      </c>
      <c r="AV169" s="21">
        <f>EXP(-LN(2)/25)*AV168+(1-EXP(-LN(2)/25))/(LN(2)/25)*Calculateur!AQ169*Calculateur!AS169*VLOOKUP('Données projet'!$B$10,Paramètres!$A$1:$I$89,3,0)*0.475*44/12</f>
        <v>8.723745249945166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52.366212091593816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6</v>
      </c>
      <c r="BD169" s="12">
        <f>IF('Données projet'!$A$88&gt;35,BD168+BC169-BL168,IF(A169&lt;'Données projet'!$A$88,$BA$205^A169,IF(A169='Données projet'!$A$88,'Données projet'!$B$88,BD168+BC169-BL168)))</f>
        <v>368.99999999999972</v>
      </c>
      <c r="BE169" s="13">
        <f>BD169*VLOOKUP('Données projet'!$B$11,Paramètres!$A$1:$I$89,3,0)*VLOOKUP('Données projet'!$B$11,Paramètres!$A$1:$I$89,5,0)</f>
        <v>374.16599999999971</v>
      </c>
      <c r="BF169" s="13">
        <f t="shared" si="167"/>
        <v>86.519041415334357</v>
      </c>
      <c r="BG169" s="20">
        <f t="shared" si="168"/>
        <v>802.35978046504022</v>
      </c>
      <c r="BH169" s="59">
        <f t="shared" si="116"/>
        <v>1095.6931137983736</v>
      </c>
      <c r="BI169" s="59">
        <f ca="1">AVERAGE(OFFSET($BH$3,0,0,'Données projet'!$E$11+1,1))-AVERAGE(OFFSET($H$3,0,0,'Données projet'!$E$11+1,1))</f>
        <v>345.3294887586967</v>
      </c>
      <c r="BJ169" s="59">
        <f t="shared" si="146"/>
        <v>164.23448598618114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48.909661115640752</v>
      </c>
      <c r="BQ169" s="21">
        <f>EXP(-LN(2)/25)*BQ168+(1-EXP(-LN(2)/25))/(LN(2)/25)*Calculateur!BL169*Calculateur!BN169*VLOOKUP('Données projet'!$B$11,Paramètres!$A$1:$I$89,3,0)*0.475*44/12</f>
        <v>9.7766110559730333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58.686272171613787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289.07218105343333</v>
      </c>
      <c r="CE169" s="59">
        <f t="shared" si="148"/>
        <v>217.57508587672368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30.237200454006032</v>
      </c>
      <c r="CL169" s="21">
        <f>EXP(-LN(2)/25)*CL168+(1-EXP(-LN(2)/25))/(LN(2)/25)*Calculateur!CG169*Calculateur!CI169*VLOOKUP('Données projet'!$B$12,Paramètres!$A$1:$I$89,3,0)*0.475*44/12</f>
        <v>6.8656260229464507</v>
      </c>
      <c r="CM169" s="21">
        <f>EXP(-LN(2)/2)*CM168+(1-EXP(-LN(2)/2))/(LN(2)/2)*CG169*CJ169*VLOOKUP('Données projet'!$B$12,Paramètres!$A$1:$I$89,3,0)*0.475*44/12</f>
        <v>8.8127765172265241E-12</v>
      </c>
      <c r="CN169" s="22">
        <f t="shared" si="172"/>
        <v>37.102826476961297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1.7053025658242404E-13</v>
      </c>
      <c r="CU169" s="17">
        <f>CT169*VLOOKUP('Données projet'!$B$13,Paramètres!$A$1:$I$89,3,0)*VLOOKUP('Données projet'!$B$13,Paramètres!$A$1:$I$89,5,0)</f>
        <v>1.4897523215040567E-13</v>
      </c>
      <c r="CV169" s="13">
        <f t="shared" si="173"/>
        <v>2.136562777003313E-12</v>
      </c>
      <c r="CW169" s="20">
        <f t="shared" si="174"/>
        <v>3.9806453659427267E-12</v>
      </c>
      <c r="CX169" s="59">
        <f t="shared" si="122"/>
        <v>293.33333333333729</v>
      </c>
      <c r="CY169" s="59">
        <f ca="1">AVERAGE(OFFSET($CX$3,0,0,'Données projet'!$E$13+1,1))-AVERAGE(OFFSET($H$3,0,0,'Données projet'!$E$13+1,1))</f>
        <v>237.8483058552178</v>
      </c>
      <c r="CZ169" s="59">
        <f t="shared" si="150"/>
        <v>313.36201272119723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13.095780261104913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1.4633843991205131E-13</v>
      </c>
      <c r="DI169" s="22">
        <f t="shared" si="175"/>
        <v>13.095780261105059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6</v>
      </c>
      <c r="DO169" s="12">
        <f>IF('Données projet'!$A$166&gt;35,DO168+DN169-DW168,IF(A169&lt;'Données projet'!$A$166,$DL$205^A169,IF(A169='Données projet'!$A$166,'Données projet'!$B$166,DO168+DN169-DW168)))</f>
        <v>368.99999999999972</v>
      </c>
      <c r="DP169" s="17">
        <f>DO169*VLOOKUP('Données projet'!$B$14,Paramètres!$A$1:$I$89,3,0)*VLOOKUP('Données projet'!$B$14,Paramètres!$A$1:$I$89,5,0)</f>
        <v>356.89679999999976</v>
      </c>
      <c r="DQ169" s="13">
        <f t="shared" si="176"/>
        <v>82.981017152077428</v>
      </c>
      <c r="DR169" s="20">
        <f t="shared" si="177"/>
        <v>766.12053153986756</v>
      </c>
      <c r="DS169" s="59">
        <f t="shared" si="125"/>
        <v>1059.4538648732009</v>
      </c>
      <c r="DT169" s="59">
        <f ca="1">AVERAGE(OFFSET($DS$3,0,0,'Données projet'!$E$14+1,1))-AVERAGE(OFFSET($H$3,0,0,'Données projet'!$E$14+1,1))</f>
        <v>325.01961068962373</v>
      </c>
      <c r="DU169" s="59">
        <f t="shared" si="152"/>
        <v>155.12737608540039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46.652292141072692</v>
      </c>
      <c r="EB169" s="21">
        <f>EXP(-LN(2)/25)*EB168+(1-EXP(-LN(2)/25))/(LN(2)/25)*Calculateur!DW169*Calculateur!DY169*VLOOKUP('Données projet'!$B$14,Paramètres!$A$1:$I$89,3,0)*0.475*44/12</f>
        <v>9.3253828533896606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55.977674994462355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-1.7053025658242404E-13</v>
      </c>
      <c r="EK169" s="17">
        <f>EJ169*VLOOKUP('Données projet'!$B$15,Paramètres!$A$1:$I$89,3,0)*VLOOKUP('Données projet'!$B$15,Paramètres!$A$1:$I$89,5,0)</f>
        <v>-1.1439169611549005E-13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178.09619481964575</v>
      </c>
      <c r="EP169" s="59">
        <f t="shared" si="154"/>
        <v>178.65167777495174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16.301107003777904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3.9887675018552199E-12</v>
      </c>
      <c r="EY169" s="22">
        <f t="shared" si="181"/>
        <v>16.301107003781894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-1.3567387213697657E-13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219.43439115440339</v>
      </c>
      <c r="FK169" s="59">
        <f t="shared" si="156"/>
        <v>217.8880462742099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19.333871097504026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4.7308637812701474E-12</v>
      </c>
      <c r="FT169" s="22">
        <f t="shared" si="184"/>
        <v>19.333871097508759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191.77102466144095</v>
      </c>
      <c r="GF169" s="59">
        <f t="shared" si="158"/>
        <v>205.57161411620217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14.242962269664531</v>
      </c>
      <c r="GM169" s="21">
        <f>EXP(-LN(2)/25)*GM168+(1-EXP(-LN(2)/25))/(LN(2)/25)*Calculateur!GH169*Calculateur!GJ169*VLOOKUP('Données projet'!$B$17,Paramètres!$A$1:$I$89,3,0)*0.475*44/12</f>
        <v>1.2865931503527404</v>
      </c>
      <c r="GN169" s="21">
        <f>EXP(-LN(2)/2)*GN168+(1-EXP(-LN(2)/2))/(LN(2)/2)*GH169*GK169*VLOOKUP('Données projet'!$B$17,Paramètres!$A$1:$I$89,3,0)*0.475*44/12</f>
        <v>4.7699132346716813E-15</v>
      </c>
      <c r="GO169" s="21">
        <f t="shared" si="187"/>
        <v>15.529555420017276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84.31577618130467</v>
      </c>
      <c r="T170" s="59">
        <f t="shared" si="142"/>
        <v>527.2140904310653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8.1103745240779439</v>
      </c>
      <c r="AA170" s="21">
        <f>EXP(-LN(2)/25)*AA169+(1-EXP(-LN(2)/25))/(LN(2)/25)*Calculateur!V170*Calculateur!X170*VLOOKUP('Données projet'!$B$9,Paramètres!$A$1:$I$89,3,0)*0.475*44/12</f>
        <v>0.78972580012677618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8.9001003242047201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6</v>
      </c>
      <c r="AI170" s="13">
        <f>IF('Données projet'!$A$62&gt;35,AI169+AH170-AQ169,IF(A170&lt;'Données projet'!$A$62,$AF$205^A170,IF(A170='Données projet'!$A$62,'Données projet'!$B$62,AI169+AH170-AQ169)))</f>
        <v>374.99999999999972</v>
      </c>
      <c r="AJ170" s="13">
        <f>AI170*VLOOKUP('Données projet'!$B$10,Paramètres!$A$1:$I$89,3,0)*VLOOKUP('Données projet'!$B$10,Paramètres!$A$1:$I$89,5,0)</f>
        <v>339.29999999999973</v>
      </c>
      <c r="AK170" s="13">
        <f t="shared" si="164"/>
        <v>79.355304647150447</v>
      </c>
      <c r="AL170" s="20">
        <f t="shared" si="165"/>
        <v>729.15798892711973</v>
      </c>
      <c r="AM170" s="59">
        <f t="shared" si="113"/>
        <v>1022.491322260453</v>
      </c>
      <c r="AN170" s="59">
        <f ca="1">AVERAGE(OFFSET($AM$3,0,0,'Données projet'!$E$10+1,1))-AVERAGE(OFFSET($H$3,0,0,'Données projet'!$E$10+1,1))</f>
        <v>297.90790572649428</v>
      </c>
      <c r="AO170" s="59">
        <f t="shared" si="144"/>
        <v>142.96889776844506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42.786664686160258</v>
      </c>
      <c r="AV170" s="21">
        <f>EXP(-LN(2)/25)*AV169+(1-EXP(-LN(2)/25))/(LN(2)/25)*Calculateur!AQ170*Calculateur!AS170*VLOOKUP('Données projet'!$B$10,Paramètres!$A$1:$I$89,3,0)*0.475*44/12</f>
        <v>8.4851939773235916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51.271858663483847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6</v>
      </c>
      <c r="BD170" s="12">
        <f>IF('Données projet'!$A$88&gt;35,BD169+BC170-BL169,IF(A170&lt;'Données projet'!$A$88,$BA$205^A170,IF(A170='Données projet'!$A$88,'Données projet'!$B$88,BD169+BC170-BL169)))</f>
        <v>374.99999999999972</v>
      </c>
      <c r="BE170" s="13">
        <f>BD170*VLOOKUP('Données projet'!$B$11,Paramètres!$A$1:$I$89,3,0)*VLOOKUP('Données projet'!$B$11,Paramètres!$A$1:$I$89,5,0)</f>
        <v>380.24999999999977</v>
      </c>
      <c r="BF170" s="13">
        <f t="shared" si="167"/>
        <v>87.760932682061437</v>
      </c>
      <c r="BG170" s="20">
        <f t="shared" si="168"/>
        <v>815.11904108792316</v>
      </c>
      <c r="BH170" s="59">
        <f t="shared" si="116"/>
        <v>1108.4523744212565</v>
      </c>
      <c r="BI170" s="59">
        <f ca="1">AVERAGE(OFFSET($BH$3,0,0,'Données projet'!$E$11+1,1))-AVERAGE(OFFSET($H$3,0,0,'Données projet'!$E$11+1,1))</f>
        <v>345.3294887586967</v>
      </c>
      <c r="BJ170" s="59">
        <f t="shared" si="146"/>
        <v>164.23448598618114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47.950572493110656</v>
      </c>
      <c r="BQ170" s="21">
        <f>EXP(-LN(2)/25)*BQ169+(1-EXP(-LN(2)/25))/(LN(2)/25)*Calculateur!BL170*Calculateur!BN170*VLOOKUP('Données projet'!$B$11,Paramètres!$A$1:$I$89,3,0)*0.475*44/12</f>
        <v>9.5092691125178206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57.459841605628476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289.07218105343333</v>
      </c>
      <c r="CE170" s="59">
        <f t="shared" si="148"/>
        <v>217.57508587672368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29.644267395974168</v>
      </c>
      <c r="CL170" s="21">
        <f>EXP(-LN(2)/25)*CL169+(1-EXP(-LN(2)/25))/(LN(2)/25)*Calculateur!CG170*Calculateur!CI170*VLOOKUP('Données projet'!$B$12,Paramètres!$A$1:$I$89,3,0)*0.475*44/12</f>
        <v>6.6778851183013987</v>
      </c>
      <c r="CM170" s="21">
        <f>EXP(-LN(2)/2)*CM169+(1-EXP(-LN(2)/2))/(LN(2)/2)*CG170*CJ170*VLOOKUP('Données projet'!$B$12,Paramètres!$A$1:$I$89,3,0)*0.475*44/12</f>
        <v>6.2315740364124402E-12</v>
      </c>
      <c r="CN170" s="22">
        <f t="shared" si="172"/>
        <v>36.322152514281797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1.7053025658242404E-13</v>
      </c>
      <c r="CU170" s="17">
        <f>CT170*VLOOKUP('Données projet'!$B$13,Paramètres!$A$1:$I$89,3,0)*VLOOKUP('Données projet'!$B$13,Paramètres!$A$1:$I$89,5,0)</f>
        <v>1.4897523215040567E-13</v>
      </c>
      <c r="CV170" s="13">
        <f t="shared" si="173"/>
        <v>2.136562777003313E-12</v>
      </c>
      <c r="CW170" s="20">
        <f t="shared" si="174"/>
        <v>3.9806453659427267E-12</v>
      </c>
      <c r="CX170" s="59">
        <f t="shared" si="122"/>
        <v>293.33333333333729</v>
      </c>
      <c r="CY170" s="59">
        <f ca="1">AVERAGE(OFFSET($CX$3,0,0,'Données projet'!$E$13+1,1))-AVERAGE(OFFSET($H$3,0,0,'Données projet'!$E$13+1,1))</f>
        <v>237.8483058552178</v>
      </c>
      <c r="CZ170" s="59">
        <f t="shared" si="150"/>
        <v>313.36201272119723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12.838979997821891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1.034769032100716E-13</v>
      </c>
      <c r="DI170" s="22">
        <f t="shared" si="175"/>
        <v>12.838979997821994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6</v>
      </c>
      <c r="DO170" s="12">
        <f>IF('Données projet'!$A$166&gt;35,DO169+DN170-DW169,IF(A170&lt;'Données projet'!$A$166,$DL$205^A170,IF(A170='Données projet'!$A$166,'Données projet'!$B$166,DO169+DN170-DW169)))</f>
        <v>374.99999999999972</v>
      </c>
      <c r="DP170" s="17">
        <f>DO170*VLOOKUP('Données projet'!$B$14,Paramètres!$A$1:$I$89,3,0)*VLOOKUP('Données projet'!$B$14,Paramètres!$A$1:$I$89,5,0)</f>
        <v>362.69999999999976</v>
      </c>
      <c r="DQ170" s="13">
        <f t="shared" si="176"/>
        <v>84.172123743406701</v>
      </c>
      <c r="DR170" s="20">
        <f t="shared" si="177"/>
        <v>778.30228218643288</v>
      </c>
      <c r="DS170" s="59">
        <f t="shared" si="125"/>
        <v>1071.6356155197661</v>
      </c>
      <c r="DT170" s="59">
        <f ca="1">AVERAGE(OFFSET($DS$3,0,0,'Données projet'!$E$14+1,1))-AVERAGE(OFFSET($H$3,0,0,'Données projet'!$E$14+1,1))</f>
        <v>325.01961068962373</v>
      </c>
      <c r="DU170" s="59">
        <f t="shared" si="152"/>
        <v>155.12737608540039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45.737469147274759</v>
      </c>
      <c r="EB170" s="21">
        <f>EXP(-LN(2)/25)*EB169+(1-EXP(-LN(2)/25))/(LN(2)/25)*Calculateur!DW170*Calculateur!DY170*VLOOKUP('Données projet'!$B$14,Paramètres!$A$1:$I$89,3,0)*0.475*44/12</f>
        <v>9.07037976886315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54.807848916137907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-1.7053025658242404E-13</v>
      </c>
      <c r="EK170" s="17">
        <f>EJ170*VLOOKUP('Données projet'!$B$15,Paramètres!$A$1:$I$89,3,0)*VLOOKUP('Données projet'!$B$15,Paramètres!$A$1:$I$89,5,0)</f>
        <v>-1.1439169611549005E-13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178.09619481964575</v>
      </c>
      <c r="EP170" s="59">
        <f t="shared" si="154"/>
        <v>178.65167777495174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15.981452238127332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2.8204845491383508E-12</v>
      </c>
      <c r="EY170" s="22">
        <f t="shared" si="181"/>
        <v>15.981452238130153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-1.3567387213697657E-13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219.43439115440339</v>
      </c>
      <c r="FK170" s="59">
        <f t="shared" si="156"/>
        <v>217.8880462742099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18.954745677778931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3.345225860605953E-12</v>
      </c>
      <c r="FT170" s="22">
        <f t="shared" si="184"/>
        <v>18.954745677782277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191.77102466144095</v>
      </c>
      <c r="GF170" s="59">
        <f t="shared" si="158"/>
        <v>205.57161411620217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13.96366646690559</v>
      </c>
      <c r="GM170" s="21">
        <f>EXP(-LN(2)/25)*GM169+(1-EXP(-LN(2)/25))/(LN(2)/25)*Calculateur!GH170*Calculateur!GJ170*VLOOKUP('Données projet'!$B$17,Paramètres!$A$1:$I$89,3,0)*0.475*44/12</f>
        <v>1.2514111929973515</v>
      </c>
      <c r="GN170" s="21">
        <f>EXP(-LN(2)/2)*GN169+(1-EXP(-LN(2)/2))/(LN(2)/2)*GH170*GK170*VLOOKUP('Données projet'!$B$17,Paramètres!$A$1:$I$89,3,0)*0.475*44/12</f>
        <v>3.3728379939078057E-15</v>
      </c>
      <c r="GO170" s="21">
        <f t="shared" si="187"/>
        <v>15.215077659902946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84.31577618130467</v>
      </c>
      <c r="T171" s="59">
        <f t="shared" si="142"/>
        <v>527.2140904310653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7.9513350265007752</v>
      </c>
      <c r="AA171" s="21">
        <f>EXP(-LN(2)/25)*AA170+(1-EXP(-LN(2)/25))/(LN(2)/25)*Calculateur!V171*Calculateur!X171*VLOOKUP('Données projet'!$B$9,Paramètres!$A$1:$I$89,3,0)*0.475*44/12</f>
        <v>0.76813070659243465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8.7194657330932106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6</v>
      </c>
      <c r="AI171" s="13">
        <f>IF('Données projet'!$A$62&gt;35,AI170+AH171-AQ170,IF(A171&lt;'Données projet'!$A$62,$AF$205^A171,IF(A171='Données projet'!$A$62,'Données projet'!$B$62,AI170+AH171-AQ170)))</f>
        <v>380.99999999999972</v>
      </c>
      <c r="AJ171" s="13">
        <f>AI171*VLOOKUP('Données projet'!$B$10,Paramètres!$A$1:$I$89,3,0)*VLOOKUP('Données projet'!$B$10,Paramètres!$A$1:$I$89,5,0)</f>
        <v>344.72879999999975</v>
      </c>
      <c r="AK171" s="13">
        <f t="shared" si="164"/>
        <v>80.476159663038629</v>
      </c>
      <c r="AL171" s="20">
        <f t="shared" si="165"/>
        <v>740.56530474645842</v>
      </c>
      <c r="AM171" s="59">
        <f t="shared" si="113"/>
        <v>1033.8986380797917</v>
      </c>
      <c r="AN171" s="59">
        <f ca="1">AVERAGE(OFFSET($AM$3,0,0,'Données projet'!$E$10+1,1))-AVERAGE(OFFSET($H$3,0,0,'Données projet'!$E$10+1,1))</f>
        <v>297.90790572649428</v>
      </c>
      <c r="AO171" s="59">
        <f t="shared" si="144"/>
        <v>142.96889776844506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41.947644288953221</v>
      </c>
      <c r="AV171" s="21">
        <f>EXP(-LN(2)/25)*AV170+(1-EXP(-LN(2)/25))/(LN(2)/25)*Calculateur!AQ171*Calculateur!AS171*VLOOKUP('Données projet'!$B$10,Paramètres!$A$1:$I$89,3,0)*0.475*44/12</f>
        <v>8.25316590179672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50.200810190749941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6</v>
      </c>
      <c r="BD171" s="12">
        <f>IF('Données projet'!$A$88&gt;35,BD170+BC171-BL170,IF(A171&lt;'Données projet'!$A$88,$BA$205^A171,IF(A171='Données projet'!$A$88,'Données projet'!$B$88,BD170+BC171-BL170)))</f>
        <v>380.99999999999972</v>
      </c>
      <c r="BE171" s="13">
        <f>BD171*VLOOKUP('Données projet'!$B$11,Paramètres!$A$1:$I$89,3,0)*VLOOKUP('Données projet'!$B$11,Paramètres!$A$1:$I$89,5,0)</f>
        <v>386.33399999999978</v>
      </c>
      <c r="BF171" s="13">
        <f t="shared" si="167"/>
        <v>89.000513098683939</v>
      </c>
      <c r="BG171" s="20">
        <f t="shared" si="168"/>
        <v>827.87427698020747</v>
      </c>
      <c r="BH171" s="59">
        <f t="shared" si="116"/>
        <v>1121.2076103135407</v>
      </c>
      <c r="BI171" s="59">
        <f ca="1">AVERAGE(OFFSET($BH$3,0,0,'Données projet'!$E$11+1,1))-AVERAGE(OFFSET($H$3,0,0,'Données projet'!$E$11+1,1))</f>
        <v>345.3294887586967</v>
      </c>
      <c r="BJ171" s="59">
        <f t="shared" si="146"/>
        <v>164.23448598618114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47.010291013482082</v>
      </c>
      <c r="BQ171" s="21">
        <f>EXP(-LN(2)/25)*BQ170+(1-EXP(-LN(2)/25))/(LN(2)/25)*Calculateur!BL171*Calculateur!BN171*VLOOKUP('Données projet'!$B$11,Paramètres!$A$1:$I$89,3,0)*0.475*44/12</f>
        <v>9.2492376485652912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56.259528662047373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289.07218105343333</v>
      </c>
      <c r="CE171" s="59">
        <f t="shared" si="148"/>
        <v>217.57508587672368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29.062961393556854</v>
      </c>
      <c r="CL171" s="21">
        <f>EXP(-LN(2)/25)*CL170+(1-EXP(-LN(2)/25))/(LN(2)/25)*Calculateur!CG171*Calculateur!CI171*VLOOKUP('Données projet'!$B$12,Paramètres!$A$1:$I$89,3,0)*0.475*44/12</f>
        <v>6.4952779985667313</v>
      </c>
      <c r="CM171" s="21">
        <f>EXP(-LN(2)/2)*CM170+(1-EXP(-LN(2)/2))/(LN(2)/2)*CG171*CJ171*VLOOKUP('Données projet'!$B$12,Paramètres!$A$1:$I$89,3,0)*0.475*44/12</f>
        <v>4.406388258613262E-12</v>
      </c>
      <c r="CN171" s="22">
        <f t="shared" si="172"/>
        <v>35.558239392127987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1.7053025658242404E-13</v>
      </c>
      <c r="CU171" s="17">
        <f>CT171*VLOOKUP('Données projet'!$B$13,Paramètres!$A$1:$I$89,3,0)*VLOOKUP('Données projet'!$B$13,Paramètres!$A$1:$I$89,5,0)</f>
        <v>1.4897523215040567E-13</v>
      </c>
      <c r="CV171" s="13">
        <f t="shared" si="173"/>
        <v>2.136562777003313E-12</v>
      </c>
      <c r="CW171" s="20">
        <f t="shared" si="174"/>
        <v>3.9806453659427267E-12</v>
      </c>
      <c r="CX171" s="59">
        <f t="shared" si="122"/>
        <v>293.33333333333729</v>
      </c>
      <c r="CY171" s="59">
        <f ca="1">AVERAGE(OFFSET($CX$3,0,0,'Données projet'!$E$13+1,1))-AVERAGE(OFFSET($H$3,0,0,'Données projet'!$E$13+1,1))</f>
        <v>237.8483058552178</v>
      </c>
      <c r="CZ171" s="59">
        <f t="shared" si="150"/>
        <v>313.36201272119723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12.587215431069154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7.3169219956025656E-14</v>
      </c>
      <c r="DI171" s="22">
        <f t="shared" si="175"/>
        <v>12.587215431069227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6</v>
      </c>
      <c r="DO171" s="12">
        <f>IF('Données projet'!$A$166&gt;35,DO170+DN171-DW170,IF(A171&lt;'Données projet'!$A$166,$DL$205^A171,IF(A171='Données projet'!$A$166,'Données projet'!$B$166,DO170+DN171-DW170)))</f>
        <v>380.99999999999972</v>
      </c>
      <c r="DP171" s="17">
        <f>DO171*VLOOKUP('Données projet'!$B$14,Paramètres!$A$1:$I$89,3,0)*VLOOKUP('Données projet'!$B$14,Paramètres!$A$1:$I$89,5,0)</f>
        <v>368.50319999999977</v>
      </c>
      <c r="DQ171" s="13">
        <f t="shared" si="176"/>
        <v>85.361013982254164</v>
      </c>
      <c r="DR171" s="20">
        <f t="shared" si="177"/>
        <v>790.48017268575893</v>
      </c>
      <c r="DS171" s="59">
        <f t="shared" si="125"/>
        <v>1083.8135060190923</v>
      </c>
      <c r="DT171" s="59">
        <f ca="1">AVERAGE(OFFSET($DS$3,0,0,'Données projet'!$E$14+1,1))-AVERAGE(OFFSET($H$3,0,0,'Données projet'!$E$14+1,1))</f>
        <v>325.01961068962373</v>
      </c>
      <c r="DU171" s="59">
        <f t="shared" si="152"/>
        <v>155.12737608540039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44.840585274398272</v>
      </c>
      <c r="EB171" s="21">
        <f>EXP(-LN(2)/25)*EB170+(1-EXP(-LN(2)/25))/(LN(2)/25)*Calculateur!DW171*Calculateur!DY171*VLOOKUP('Données projet'!$B$14,Paramètres!$A$1:$I$89,3,0)*0.475*44/12</f>
        <v>8.8223497570930451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53.662935031491315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-1.7053025658242404E-13</v>
      </c>
      <c r="EK171" s="17">
        <f>EJ171*VLOOKUP('Données projet'!$B$15,Paramètres!$A$1:$I$89,3,0)*VLOOKUP('Données projet'!$B$15,Paramètres!$A$1:$I$89,5,0)</f>
        <v>-1.1439169611549005E-13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178.09619481964575</v>
      </c>
      <c r="EP171" s="59">
        <f t="shared" si="154"/>
        <v>178.65167777495174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15.668065707461013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1.9943837509276099E-12</v>
      </c>
      <c r="EY171" s="22">
        <f t="shared" si="181"/>
        <v>15.668065707463008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-1.3567387213697657E-13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219.43439115440339</v>
      </c>
      <c r="FK171" s="59">
        <f t="shared" si="156"/>
        <v>217.8880462742099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18.583054676290971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2.3654318906350737E-12</v>
      </c>
      <c r="FT171" s="22">
        <f t="shared" si="184"/>
        <v>18.583054676293337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191.77102466144095</v>
      </c>
      <c r="GF171" s="59">
        <f t="shared" si="158"/>
        <v>205.57161411620217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13.689847484485133</v>
      </c>
      <c r="GM171" s="21">
        <f>EXP(-LN(2)/25)*GM170+(1-EXP(-LN(2)/25))/(LN(2)/25)*Calculateur!GH171*Calculateur!GJ171*VLOOKUP('Données projet'!$B$17,Paramètres!$A$1:$I$89,3,0)*0.475*44/12</f>
        <v>1.2171912881159843</v>
      </c>
      <c r="GN171" s="21">
        <f>EXP(-LN(2)/2)*GN170+(1-EXP(-LN(2)/2))/(LN(2)/2)*GH171*GK171*VLOOKUP('Données projet'!$B$17,Paramètres!$A$1:$I$89,3,0)*0.475*44/12</f>
        <v>2.3849566173358406E-15</v>
      </c>
      <c r="GO171" s="21">
        <f t="shared" si="187"/>
        <v>14.907038772601119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84.31577618130467</v>
      </c>
      <c r="T172" s="59">
        <f t="shared" si="142"/>
        <v>527.2140904310653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7.79541419646658</v>
      </c>
      <c r="AA172" s="21">
        <f>EXP(-LN(2)/25)*AA171+(1-EXP(-LN(2)/25))/(LN(2)/25)*Calculateur!V172*Calculateur!X172*VLOOKUP('Données projet'!$B$9,Paramètres!$A$1:$I$89,3,0)*0.475*44/12</f>
        <v>0.7471261320264263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8.5425403284930059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6</v>
      </c>
      <c r="AI172" s="13">
        <f>IF('Données projet'!$A$62&gt;35,AI171+AH172-AQ171,IF(A172&lt;'Données projet'!$A$62,$AF$205^A172,IF(A172='Données projet'!$A$62,'Données projet'!$B$62,AI171+AH172-AQ171)))</f>
        <v>386.99999999999972</v>
      </c>
      <c r="AJ172" s="13">
        <f>AI172*VLOOKUP('Données projet'!$B$10,Paramètres!$A$1:$I$89,3,0)*VLOOKUP('Données projet'!$B$10,Paramètres!$A$1:$I$89,5,0)</f>
        <v>350.15759999999972</v>
      </c>
      <c r="AK172" s="13">
        <f t="shared" si="164"/>
        <v>81.594961864510594</v>
      </c>
      <c r="AL172" s="20">
        <f t="shared" si="165"/>
        <v>751.96904524735544</v>
      </c>
      <c r="AM172" s="59">
        <f t="shared" si="113"/>
        <v>1045.3023785806888</v>
      </c>
      <c r="AN172" s="59">
        <f ca="1">AVERAGE(OFFSET($AM$3,0,0,'Données projet'!$E$10+1,1))-AVERAGE(OFFSET($H$3,0,0,'Données projet'!$E$10+1,1))</f>
        <v>297.90790572649428</v>
      </c>
      <c r="AO172" s="59">
        <f t="shared" si="144"/>
        <v>142.96889776844506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41.125076569983506</v>
      </c>
      <c r="AV172" s="21">
        <f>EXP(-LN(2)/25)*AV171+(1-EXP(-LN(2)/25))/(LN(2)/25)*Calculateur!AQ172*Calculateur!AS172*VLOOKUP('Données projet'!$B$10,Paramètres!$A$1:$I$89,3,0)*0.475*44/12</f>
        <v>8.0274826461969564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49.152559216180464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6</v>
      </c>
      <c r="BD172" s="12">
        <f>IF('Données projet'!$A$88&gt;35,BD171+BC172-BL171,IF(A172&lt;'Données projet'!$A$88,$BA$205^A172,IF(A172='Données projet'!$A$88,'Données projet'!$B$88,BD171+BC172-BL171)))</f>
        <v>386.99999999999972</v>
      </c>
      <c r="BE172" s="13">
        <f>BD172*VLOOKUP('Données projet'!$B$11,Paramètres!$A$1:$I$89,3,0)*VLOOKUP('Données projet'!$B$11,Paramètres!$A$1:$I$89,5,0)</f>
        <v>392.41799999999972</v>
      </c>
      <c r="BF172" s="13">
        <f t="shared" si="167"/>
        <v>90.237823258660029</v>
      </c>
      <c r="BG172" s="20">
        <f t="shared" si="168"/>
        <v>840.62555884216579</v>
      </c>
      <c r="BH172" s="59">
        <f t="shared" si="116"/>
        <v>1133.9588921754992</v>
      </c>
      <c r="BI172" s="59">
        <f ca="1">AVERAGE(OFFSET($BH$3,0,0,'Données projet'!$E$11+1,1))-AVERAGE(OFFSET($H$3,0,0,'Données projet'!$E$11+1,1))</f>
        <v>345.3294887586967</v>
      </c>
      <c r="BJ172" s="59">
        <f t="shared" si="146"/>
        <v>164.23448598618114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46.08844788015395</v>
      </c>
      <c r="BQ172" s="21">
        <f>EXP(-LN(2)/25)*BQ171+(1-EXP(-LN(2)/25))/(LN(2)/25)*Calculateur!BL172*Calculateur!BN172*VLOOKUP('Données projet'!$B$11,Paramètres!$A$1:$I$89,3,0)*0.475*44/12</f>
        <v>8.9963167586690052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55.084764638822953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289.07218105343333</v>
      </c>
      <c r="CE172" s="59">
        <f t="shared" si="148"/>
        <v>217.57508587672368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28.493054447285292</v>
      </c>
      <c r="CL172" s="21">
        <f>EXP(-LN(2)/25)*CL171+(1-EXP(-LN(2)/25))/(LN(2)/25)*Calculateur!CG172*Calculateur!CI172*VLOOKUP('Données projet'!$B$12,Paramètres!$A$1:$I$89,3,0)*0.475*44/12</f>
        <v>6.3176642801240996</v>
      </c>
      <c r="CM172" s="21">
        <f>EXP(-LN(2)/2)*CM171+(1-EXP(-LN(2)/2))/(LN(2)/2)*CG172*CJ172*VLOOKUP('Données projet'!$B$12,Paramètres!$A$1:$I$89,3,0)*0.475*44/12</f>
        <v>3.1157870182062201E-12</v>
      </c>
      <c r="CN172" s="22">
        <f t="shared" si="172"/>
        <v>34.810718727412514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1.7053025658242404E-13</v>
      </c>
      <c r="CU172" s="17">
        <f>CT172*VLOOKUP('Données projet'!$B$13,Paramètres!$A$1:$I$89,3,0)*VLOOKUP('Données projet'!$B$13,Paramètres!$A$1:$I$89,5,0)</f>
        <v>1.4897523215040567E-13</v>
      </c>
      <c r="CV172" s="13">
        <f t="shared" si="173"/>
        <v>2.136562777003313E-12</v>
      </c>
      <c r="CW172" s="20">
        <f t="shared" si="174"/>
        <v>3.9806453659427267E-12</v>
      </c>
      <c r="CX172" s="59">
        <f t="shared" si="122"/>
        <v>293.33333333333729</v>
      </c>
      <c r="CY172" s="59">
        <f ca="1">AVERAGE(OFFSET($CX$3,0,0,'Données projet'!$E$13+1,1))-AVERAGE(OFFSET($H$3,0,0,'Données projet'!$E$13+1,1))</f>
        <v>237.8483058552178</v>
      </c>
      <c r="CZ172" s="59">
        <f t="shared" si="150"/>
        <v>313.36201272119723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12.340387813909217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5.1738451605035801E-14</v>
      </c>
      <c r="DI172" s="22">
        <f t="shared" si="175"/>
        <v>12.340387813909269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6</v>
      </c>
      <c r="DO172" s="12">
        <f>IF('Données projet'!$A$166&gt;35,DO171+DN172-DW171,IF(A172&lt;'Données projet'!$A$166,$DL$205^A172,IF(A172='Données projet'!$A$166,'Données projet'!$B$166,DO171+DN172-DW171)))</f>
        <v>386.99999999999972</v>
      </c>
      <c r="DP172" s="17">
        <f>DO172*VLOOKUP('Données projet'!$B$14,Paramètres!$A$1:$I$89,3,0)*VLOOKUP('Données projet'!$B$14,Paramètres!$A$1:$I$89,5,0)</f>
        <v>374.30639999999977</v>
      </c>
      <c r="DQ172" s="13">
        <f t="shared" si="176"/>
        <v>86.547726802089201</v>
      </c>
      <c r="DR172" s="20">
        <f t="shared" si="177"/>
        <v>802.65427084697149</v>
      </c>
      <c r="DS172" s="59">
        <f t="shared" si="125"/>
        <v>1095.9876041803047</v>
      </c>
      <c r="DT172" s="59">
        <f ca="1">AVERAGE(OFFSET($DS$3,0,0,'Données projet'!$E$14+1,1))-AVERAGE(OFFSET($H$3,0,0,'Données projet'!$E$14+1,1))</f>
        <v>325.01961068962373</v>
      </c>
      <c r="DU172" s="59">
        <f t="shared" si="152"/>
        <v>155.12737608540039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43.961288747223747</v>
      </c>
      <c r="EB172" s="21">
        <f>EXP(-LN(2)/25)*EB171+(1-EXP(-LN(2)/25))/(LN(2)/25)*Calculateur!DW172*Calculateur!DY172*VLOOKUP('Données projet'!$B$14,Paramètres!$A$1:$I$89,3,0)*0.475*44/12</f>
        <v>8.5811021390381264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52.54239088626187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-1.7053025658242404E-13</v>
      </c>
      <c r="EK172" s="17">
        <f>EJ172*VLOOKUP('Données projet'!$B$15,Paramètres!$A$1:$I$89,3,0)*VLOOKUP('Données projet'!$B$15,Paramètres!$A$1:$I$89,5,0)</f>
        <v>-1.1439169611549005E-13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178.09619481964575</v>
      </c>
      <c r="EP172" s="59">
        <f t="shared" si="154"/>
        <v>178.65167777495174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15.36082449551415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1.4102422745691754E-12</v>
      </c>
      <c r="EY172" s="22">
        <f t="shared" si="181"/>
        <v>15.36082449551556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-1.3567387213697657E-13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219.43439115440339</v>
      </c>
      <c r="FK172" s="59">
        <f t="shared" si="156"/>
        <v>217.8880462742099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18.218652308633065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1.6726129303029765E-12</v>
      </c>
      <c r="FT172" s="22">
        <f t="shared" si="184"/>
        <v>18.218652308634738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191.77102466144095</v>
      </c>
      <c r="GF172" s="59">
        <f t="shared" si="158"/>
        <v>205.57161411620217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13.421397925296853</v>
      </c>
      <c r="GM172" s="21">
        <f>EXP(-LN(2)/25)*GM171+(1-EXP(-LN(2)/25))/(LN(2)/25)*Calculateur!GH172*Calculateur!GJ172*VLOOKUP('Données projet'!$B$17,Paramètres!$A$1:$I$89,3,0)*0.475*44/12</f>
        <v>1.1839071283331448</v>
      </c>
      <c r="GN172" s="21">
        <f>EXP(-LN(2)/2)*GN171+(1-EXP(-LN(2)/2))/(LN(2)/2)*GH172*GK172*VLOOKUP('Données projet'!$B$17,Paramètres!$A$1:$I$89,3,0)*0.475*44/12</f>
        <v>1.6864189969539028E-15</v>
      </c>
      <c r="GO172" s="21">
        <f t="shared" si="187"/>
        <v>14.60530505363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84.31577618130467</v>
      </c>
      <c r="T173" s="59">
        <f t="shared" si="142"/>
        <v>527.2140904310653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7.6425508788070395</v>
      </c>
      <c r="AA173" s="21">
        <f>EXP(-LN(2)/25)*AA172+(1-EXP(-LN(2)/25))/(LN(2)/25)*Calculateur!V173*Calculateur!X173*VLOOKUP('Données projet'!$B$9,Paramètres!$A$1:$I$89,3,0)*0.475*44/12</f>
        <v>0.72669592865650801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8.3692468074635471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6</v>
      </c>
      <c r="AI173" s="13">
        <f>IF('Données projet'!$A$62&gt;35,AI172+AH173-AQ172,IF(A173&lt;'Données projet'!$A$62,$AF$205^A173,IF(A173='Données projet'!$A$62,'Données projet'!$B$62,AI172+AH173-AQ172)))</f>
        <v>392.99999999999972</v>
      </c>
      <c r="AJ173" s="13">
        <f>AI173*VLOOKUP('Données projet'!$B$10,Paramètres!$A$1:$I$89,3,0)*VLOOKUP('Données projet'!$B$10,Paramètres!$A$1:$I$89,5,0)</f>
        <v>355.58639999999974</v>
      </c>
      <c r="AK173" s="13">
        <f t="shared" si="164"/>
        <v>82.711746753583299</v>
      </c>
      <c r="AL173" s="20">
        <f t="shared" si="165"/>
        <v>763.36927226249054</v>
      </c>
      <c r="AM173" s="59">
        <f t="shared" si="113"/>
        <v>1056.7026055958238</v>
      </c>
      <c r="AN173" s="59">
        <f ca="1">AVERAGE(OFFSET($AM$3,0,0,'Données projet'!$E$10+1,1))-AVERAGE(OFFSET($H$3,0,0,'Données projet'!$E$10+1,1))</f>
        <v>297.90790572649428</v>
      </c>
      <c r="AO173" s="59">
        <f t="shared" si="144"/>
        <v>142.96889776844506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40.318638902266017</v>
      </c>
      <c r="AV173" s="21">
        <f>EXP(-LN(2)/25)*AV172+(1-EXP(-LN(2)/25))/(LN(2)/25)*Calculateur!AQ173*Calculateur!AS173*VLOOKUP('Données projet'!$B$10,Paramètres!$A$1:$I$89,3,0)*0.475*44/12</f>
        <v>7.8079707110897356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48.126609613355754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6</v>
      </c>
      <c r="BD173" s="12">
        <f>IF('Données projet'!$A$88&gt;35,BD172+BC173-BL172,IF(A173&lt;'Données projet'!$A$88,$BA$205^A173,IF(A173='Données projet'!$A$88,'Données projet'!$B$88,BD172+BC173-BL172)))</f>
        <v>392.99999999999972</v>
      </c>
      <c r="BE173" s="13">
        <f>BD173*VLOOKUP('Données projet'!$B$11,Paramètres!$A$1:$I$89,3,0)*VLOOKUP('Données projet'!$B$11,Paramètres!$A$1:$I$89,5,0)</f>
        <v>398.50199999999973</v>
      </c>
      <c r="BF173" s="13">
        <f t="shared" si="167"/>
        <v>91.47290242452118</v>
      </c>
      <c r="BG173" s="20">
        <f t="shared" si="168"/>
        <v>853.3729550560405</v>
      </c>
      <c r="BH173" s="59">
        <f t="shared" si="116"/>
        <v>1146.7062883893739</v>
      </c>
      <c r="BI173" s="59">
        <f ca="1">AVERAGE(OFFSET($BH$3,0,0,'Données projet'!$E$11+1,1))-AVERAGE(OFFSET($H$3,0,0,'Données projet'!$E$11+1,1))</f>
        <v>345.3294887586967</v>
      </c>
      <c r="BJ173" s="59">
        <f t="shared" si="146"/>
        <v>164.23448598618114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45.18468152840159</v>
      </c>
      <c r="BQ173" s="21">
        <f>EXP(-LN(2)/25)*BQ172+(1-EXP(-LN(2)/25))/(LN(2)/25)*Calculateur!BL173*Calculateur!BN173*VLOOKUP('Données projet'!$B$11,Paramètres!$A$1:$I$89,3,0)*0.475*44/12</f>
        <v>8.7503120038074638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53.934993532209056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289.07218105343333</v>
      </c>
      <c r="CE173" s="59">
        <f t="shared" si="148"/>
        <v>217.57508587672368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27.934323028621201</v>
      </c>
      <c r="CL173" s="21">
        <f>EXP(-LN(2)/25)*CL172+(1-EXP(-LN(2)/25))/(LN(2)/25)*Calculateur!CG173*Calculateur!CI173*VLOOKUP('Données projet'!$B$12,Paramètres!$A$1:$I$89,3,0)*0.475*44/12</f>
        <v>6.1449074181525809</v>
      </c>
      <c r="CM173" s="21">
        <f>EXP(-LN(2)/2)*CM172+(1-EXP(-LN(2)/2))/(LN(2)/2)*CG173*CJ173*VLOOKUP('Données projet'!$B$12,Paramètres!$A$1:$I$89,3,0)*0.475*44/12</f>
        <v>2.203194129306631E-12</v>
      </c>
      <c r="CN173" s="22">
        <f t="shared" si="172"/>
        <v>34.079230446775981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1.7053025658242404E-13</v>
      </c>
      <c r="CU173" s="17">
        <f>CT173*VLOOKUP('Données projet'!$B$13,Paramètres!$A$1:$I$89,3,0)*VLOOKUP('Données projet'!$B$13,Paramètres!$A$1:$I$89,5,0)</f>
        <v>1.4897523215040567E-13</v>
      </c>
      <c r="CV173" s="13">
        <f t="shared" si="173"/>
        <v>2.136562777003313E-12</v>
      </c>
      <c r="CW173" s="20">
        <f t="shared" si="174"/>
        <v>3.9806453659427267E-12</v>
      </c>
      <c r="CX173" s="59">
        <f t="shared" si="122"/>
        <v>293.33333333333729</v>
      </c>
      <c r="CY173" s="59">
        <f ca="1">AVERAGE(OFFSET($CX$3,0,0,'Données projet'!$E$13+1,1))-AVERAGE(OFFSET($H$3,0,0,'Données projet'!$E$13+1,1))</f>
        <v>237.8483058552178</v>
      </c>
      <c r="CZ173" s="59">
        <f t="shared" si="150"/>
        <v>313.36201272119723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12.098400335771805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3.6584609978012828E-14</v>
      </c>
      <c r="DI173" s="22">
        <f t="shared" si="175"/>
        <v>12.098400335771842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6</v>
      </c>
      <c r="DO173" s="12">
        <f>IF('Données projet'!$A$166&gt;35,DO172+DN173-DW172,IF(A173&lt;'Données projet'!$A$166,$DL$205^A173,IF(A173='Données projet'!$A$166,'Données projet'!$B$166,DO172+DN173-DW172)))</f>
        <v>392.99999999999972</v>
      </c>
      <c r="DP173" s="17">
        <f>DO173*VLOOKUP('Données projet'!$B$14,Paramètres!$A$1:$I$89,3,0)*VLOOKUP('Données projet'!$B$14,Paramètres!$A$1:$I$89,5,0)</f>
        <v>380.10959999999972</v>
      </c>
      <c r="DQ173" s="13">
        <f t="shared" si="176"/>
        <v>87.732299859880072</v>
      </c>
      <c r="DR173" s="20">
        <f t="shared" si="177"/>
        <v>814.8246422559572</v>
      </c>
      <c r="DS173" s="59">
        <f t="shared" si="125"/>
        <v>1108.1579755892906</v>
      </c>
      <c r="DT173" s="59">
        <f ca="1">AVERAGE(OFFSET($DS$3,0,0,'Données projet'!$E$14+1,1))-AVERAGE(OFFSET($H$3,0,0,'Données projet'!$E$14+1,1))</f>
        <v>325.01961068962373</v>
      </c>
      <c r="DU173" s="59">
        <f t="shared" si="152"/>
        <v>155.12737608540039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43.099234688629188</v>
      </c>
      <c r="EB173" s="21">
        <f>EXP(-LN(2)/25)*EB172+(1-EXP(-LN(2)/25))/(LN(2)/25)*Calculateur!DW173*Calculateur!DY173*VLOOKUP('Données projet'!$B$14,Paramètres!$A$1:$I$89,3,0)*0.475*44/12</f>
        <v>8.3464514497855795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51.445686138414771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-1.7053025658242404E-13</v>
      </c>
      <c r="EK173" s="17">
        <f>EJ173*VLOOKUP('Données projet'!$B$15,Paramètres!$A$1:$I$89,3,0)*VLOOKUP('Données projet'!$B$15,Paramètres!$A$1:$I$89,5,0)</f>
        <v>-1.1439169611549005E-13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178.09619481964575</v>
      </c>
      <c r="EP173" s="59">
        <f t="shared" si="154"/>
        <v>178.65167777495174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15.05960809633493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9.9719187546380496E-13</v>
      </c>
      <c r="EY173" s="22">
        <f t="shared" si="181"/>
        <v>15.059608096335927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-1.3567387213697657E-13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219.43439115440339</v>
      </c>
      <c r="FK173" s="59">
        <f t="shared" si="156"/>
        <v>217.8880462742099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17.861395649141432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1.1827159453175369E-12</v>
      </c>
      <c r="FT173" s="22">
        <f t="shared" si="184"/>
        <v>17.861395649142615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191.77102466144095</v>
      </c>
      <c r="GF173" s="59">
        <f t="shared" si="158"/>
        <v>205.57161411620217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13.158212498226192</v>
      </c>
      <c r="GM173" s="21">
        <f>EXP(-LN(2)/25)*GM172+(1-EXP(-LN(2)/25))/(LN(2)/25)*Calculateur!GH173*Calculateur!GJ173*VLOOKUP('Données projet'!$B$17,Paramètres!$A$1:$I$89,3,0)*0.475*44/12</f>
        <v>1.1515331256499048</v>
      </c>
      <c r="GN173" s="21">
        <f>EXP(-LN(2)/2)*GN172+(1-EXP(-LN(2)/2))/(LN(2)/2)*GH173*GK173*VLOOKUP('Données projet'!$B$17,Paramètres!$A$1:$I$89,3,0)*0.475*44/12</f>
        <v>1.1924783086679203E-15</v>
      </c>
      <c r="GO173" s="21">
        <f t="shared" si="187"/>
        <v>14.309745623876099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84.31577618130467</v>
      </c>
      <c r="T174" s="59">
        <f t="shared" si="142"/>
        <v>527.2140904310653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7.4926851175693852</v>
      </c>
      <c r="AA174" s="21">
        <f>EXP(-LN(2)/25)*AA173+(1-EXP(-LN(2)/25))/(LN(2)/25)*Calculateur!V174*Calculateur!X174*VLOOKUP('Données projet'!$B$9,Paramètres!$A$1:$I$89,3,0)*0.475*44/12</f>
        <v>0.70682439027211774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8.199509507841503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>
        <f>VLOOKUP(A174,'Données projet'!$A$61:$I$81,2,0)</f>
        <v>399</v>
      </c>
      <c r="AG174" s="12">
        <f>VLOOKUP(A174,'Données projet'!$A$61:$I$81,9,0)</f>
        <v>6</v>
      </c>
      <c r="AH174" s="12">
        <f t="array" ref="AH174">INDEX(AG:AG,MIN(IF(ISNUMBER(AG174:AG370),ROW(AG174:AG370),"")))</f>
        <v>6</v>
      </c>
      <c r="AI174" s="13">
        <f>IF('Données projet'!$A$62&gt;35,AI173+AH174-AQ173,IF(A174&lt;'Données projet'!$A$62,$AF$205^A174,IF(A174='Données projet'!$A$62,'Données projet'!$B$62,AI173+AH174-AQ173)))</f>
        <v>398.99999999999972</v>
      </c>
      <c r="AJ174" s="13">
        <f>AI174*VLOOKUP('Données projet'!$B$10,Paramètres!$A$1:$I$89,3,0)*VLOOKUP('Données projet'!$B$10,Paramètres!$A$1:$I$89,5,0)</f>
        <v>361.01519999999971</v>
      </c>
      <c r="AK174" s="13">
        <f t="shared" si="164"/>
        <v>83.826548686038024</v>
      </c>
      <c r="AL174" s="20">
        <f t="shared" si="165"/>
        <v>774.76604562818238</v>
      </c>
      <c r="AM174" s="59">
        <f t="shared" si="113"/>
        <v>1068.0993789615156</v>
      </c>
      <c r="AN174" s="59">
        <f ca="1">AVERAGE(OFFSET($AM$3,0,0,'Données projet'!$E$10+1,1))-AVERAGE(OFFSET($H$3,0,0,'Données projet'!$E$10+1,1))</f>
        <v>297.90790572649428</v>
      </c>
      <c r="AO174" s="59">
        <f t="shared" si="144"/>
        <v>142.96889776844506</v>
      </c>
      <c r="AP174" s="15" t="str">
        <f>IF(ISNA(VLOOKUP(A174,'Données projet'!$A$61:$I$81,3,0)),0,VLOOKUP(A174,'Données projet'!$A$61:$I$81,3,0))</f>
        <v>CR</v>
      </c>
      <c r="AQ174" s="15">
        <f>IF(ISNA(VLOOKUP(A174,'Données projet'!$A$61:$I$81,4,0)),0,VLOOKUP(A174,'Données projet'!$A$61:$I$81,4,0))</f>
        <v>399</v>
      </c>
      <c r="AR174" s="16">
        <f>IF(ISNA(VLOOKUP(A174,'Données projet'!$A$61:$I$81,5,0)),0%,VLOOKUP(A174,'Données projet'!$A$61:$I$81,5,0)*VLOOKUP('Données projet'!$B$10,Paramètres!$A$1:$I$89,7,0))</f>
        <v>0.30099999999999999</v>
      </c>
      <c r="AS174" s="16">
        <f>IF(ISNA(VLOOKUP(A174,'Données projet'!$A$61:$I$81,6,0)),0%,VLOOKUP(A174,'Données projet'!$A$61:$I$81,6,0)*VLOOKUP('Données projet'!$B$10,Paramètres!$A$1:$I$89,7,0))</f>
        <v>4.3000000000000003E-2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159.65458964384439</v>
      </c>
      <c r="AV174" s="21">
        <f>EXP(-LN(2)/25)*AV173+(1-EXP(-LN(2)/25))/(LN(2)/25)*Calculateur!AQ174*Calculateur!AS174*VLOOKUP('Données projet'!$B$10,Paramètres!$A$1:$I$89,3,0)*0.475*44/12</f>
        <v>24.687831421715423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184.34242106555982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>
        <f>VLOOKUP(A174,'Données projet'!$A$87:$I$107,2,0)</f>
        <v>399</v>
      </c>
      <c r="BB174" s="12">
        <f>VLOOKUP(A174,'Données projet'!$A$87:$I$107,9,0)</f>
        <v>6</v>
      </c>
      <c r="BC174" s="12">
        <f t="array" ref="BC174">INDEX(BB:BB,MIN(IF(ISNUMBER(BB174:BB370),ROW(BB174:BB370),"")))</f>
        <v>6</v>
      </c>
      <c r="BD174" s="12">
        <f>IF('Données projet'!$A$88&gt;35,BD173+BC174-BL173,IF(A174&lt;'Données projet'!$A$88,$BA$205^A174,IF(A174='Données projet'!$A$88,'Données projet'!$B$88,BD173+BC174-BL173)))</f>
        <v>398.99999999999972</v>
      </c>
      <c r="BE174" s="13">
        <f>BD174*VLOOKUP('Données projet'!$B$11,Paramètres!$A$1:$I$89,3,0)*VLOOKUP('Données projet'!$B$11,Paramètres!$A$1:$I$89,5,0)</f>
        <v>404.58599999999979</v>
      </c>
      <c r="BF174" s="13">
        <f t="shared" si="167"/>
        <v>92.705788591148689</v>
      </c>
      <c r="BG174" s="20">
        <f t="shared" si="168"/>
        <v>866.11653179625011</v>
      </c>
      <c r="BH174" s="59">
        <f t="shared" si="116"/>
        <v>1159.4498651295835</v>
      </c>
      <c r="BI174" s="59">
        <f ca="1">AVERAGE(OFFSET($BH$3,0,0,'Données projet'!$E$11+1,1))-AVERAGE(OFFSET($H$3,0,0,'Données projet'!$E$11+1,1))</f>
        <v>345.3294887586967</v>
      </c>
      <c r="BJ174" s="59">
        <f t="shared" si="146"/>
        <v>164.23448598618114</v>
      </c>
      <c r="BK174" s="15" t="str">
        <f>IF(ISNA(VLOOKUP(A174,'Données projet'!$A$87:$I$107,3,0)),0,VLOOKUP(A174,'Données projet'!$A$87:$I$107,3,0))</f>
        <v>CR</v>
      </c>
      <c r="BL174" s="15">
        <f>IF(ISNA(VLOOKUP(A174,'Données projet'!$A$87:$I$107,4,0)),0,VLOOKUP(A174,'Données projet'!$A$87:$I$107,4,0))</f>
        <v>399</v>
      </c>
      <c r="BM174" s="16">
        <f>IF(ISNA(VLOOKUP(A174,'Données projet'!$A$87:$I$107,5,0)),0%,VLOOKUP(A174,'Données projet'!$A$87:$I$107,5,0)*VLOOKUP('Données projet'!$B$11,Paramètres!$A$1:$I$89,7,0))</f>
        <v>0.30099999999999999</v>
      </c>
      <c r="BN174" s="16">
        <f>IF(ISNA(VLOOKUP(A174,'Données projet'!$A$87:$I$107,6,0)),0%,VLOOKUP(A174,'Données projet'!$A$87:$I$107,6,0)*VLOOKUP('Données projet'!$B$11,Paramètres!$A$1:$I$89,7,0))</f>
        <v>4.3000000000000003E-2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178.92324701465321</v>
      </c>
      <c r="BQ174" s="21">
        <f>EXP(-LN(2)/25)*BQ173+(1-EXP(-LN(2)/25))/(LN(2)/25)*Calculateur!BL174*Calculateur!BN174*VLOOKUP('Données projet'!$B$11,Paramètres!$A$1:$I$89,3,0)*0.475*44/12</f>
        <v>27.667397282956941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206.59064429761014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289.07218105343333</v>
      </c>
      <c r="CE174" s="59">
        <f t="shared" si="148"/>
        <v>217.57508587672368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27.386547992284598</v>
      </c>
      <c r="CL174" s="21">
        <f>EXP(-LN(2)/25)*CL173+(1-EXP(-LN(2)/25))/(LN(2)/25)*Calculateur!CG174*Calculateur!CI174*VLOOKUP('Données projet'!$B$12,Paramètres!$A$1:$I$89,3,0)*0.475*44/12</f>
        <v>5.9768746016565615</v>
      </c>
      <c r="CM174" s="21">
        <f>EXP(-LN(2)/2)*CM173+(1-EXP(-LN(2)/2))/(LN(2)/2)*CG174*CJ174*VLOOKUP('Données projet'!$B$12,Paramètres!$A$1:$I$89,3,0)*0.475*44/12</f>
        <v>1.5578935091031101E-12</v>
      </c>
      <c r="CN174" s="22">
        <f t="shared" si="172"/>
        <v>33.363422593942715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1.7053025658242404E-13</v>
      </c>
      <c r="CU174" s="17">
        <f>CT174*VLOOKUP('Données projet'!$B$13,Paramètres!$A$1:$I$89,3,0)*VLOOKUP('Données projet'!$B$13,Paramètres!$A$1:$I$89,5,0)</f>
        <v>1.4897523215040567E-13</v>
      </c>
      <c r="CV174" s="13">
        <f t="shared" si="173"/>
        <v>2.136562777003313E-12</v>
      </c>
      <c r="CW174" s="20">
        <f t="shared" si="174"/>
        <v>3.9806453659427267E-12</v>
      </c>
      <c r="CX174" s="59">
        <f t="shared" si="122"/>
        <v>293.33333333333729</v>
      </c>
      <c r="CY174" s="59">
        <f ca="1">AVERAGE(OFFSET($CX$3,0,0,'Données projet'!$E$13+1,1))-AVERAGE(OFFSET($H$3,0,0,'Données projet'!$E$13+1,1))</f>
        <v>237.8483058552178</v>
      </c>
      <c r="CZ174" s="59">
        <f t="shared" si="150"/>
        <v>313.36201272119723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11.861158084482879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2.58692258025179E-14</v>
      </c>
      <c r="DI174" s="22">
        <f t="shared" si="175"/>
        <v>11.861158084482906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>
        <f>VLOOKUP(A174,'Données projet'!$A$165:$I$185,2,0)</f>
        <v>399</v>
      </c>
      <c r="DM174" s="12">
        <f>VLOOKUP(A174,'Données projet'!$A$165:$I$185,9,0)</f>
        <v>6</v>
      </c>
      <c r="DN174" s="12">
        <f t="array" ref="DN174">INDEX(DM:DM,MIN(IF(ISNUMBER(DM174:DM370),ROW(DM174:DM370),"")))</f>
        <v>6</v>
      </c>
      <c r="DO174" s="12">
        <f>IF('Données projet'!$A$166&gt;35,DO173+DN174-DW173,IF(A174&lt;'Données projet'!$A$166,$DL$205^A174,IF(A174='Données projet'!$A$166,'Données projet'!$B$166,DO173+DN174-DW173)))</f>
        <v>398.99999999999972</v>
      </c>
      <c r="DP174" s="17">
        <f>DO174*VLOOKUP('Données projet'!$B$14,Paramètres!$A$1:$I$89,3,0)*VLOOKUP('Données projet'!$B$14,Paramètres!$A$1:$I$89,5,0)</f>
        <v>385.91279999999972</v>
      </c>
      <c r="DQ174" s="13">
        <f t="shared" si="176"/>
        <v>88.914769596782989</v>
      </c>
      <c r="DR174" s="20">
        <f t="shared" si="177"/>
        <v>826.99135038106317</v>
      </c>
      <c r="DS174" s="59">
        <f t="shared" si="125"/>
        <v>1120.3246837143965</v>
      </c>
      <c r="DT174" s="59">
        <f ca="1">AVERAGE(OFFSET($DS$3,0,0,'Données projet'!$E$14+1,1))-AVERAGE(OFFSET($H$3,0,0,'Données projet'!$E$14+1,1))</f>
        <v>325.01961068962373</v>
      </c>
      <c r="DU174" s="59">
        <f t="shared" si="152"/>
        <v>155.12737608540039</v>
      </c>
      <c r="DV174" s="15" t="str">
        <f>IF(ISNA(VLOOKUP(A174,'Données projet'!$A$165:$I$185,3,0)),0,VLOOKUP(A174,'Données projet'!$A$165:$I$185,3,0))</f>
        <v>CR</v>
      </c>
      <c r="DW174" s="15">
        <f>IF(ISNA(VLOOKUP(A174,'Données projet'!$A$165:$I$185,4,0)),0,VLOOKUP(A174,'Données projet'!$A$165:$I$185,4,0))</f>
        <v>399</v>
      </c>
      <c r="DX174" s="16">
        <f>IF(ISNA(VLOOKUP(A174,'Données projet'!$A$165:$I$185,5,0)),0%,VLOOKUP(A174,'Données projet'!$A$165:$I$185,5,0)*VLOOKUP('Données projet'!$B$14,Paramètres!$A$1:$I$89,7,0))</f>
        <v>0.30099999999999999</v>
      </c>
      <c r="DY174" s="16">
        <f>IF(ISNA(VLOOKUP(A174,'Données projet'!$A$165:$I$185,6,0)),0%,VLOOKUP(A174,'Données projet'!$A$165:$I$185,6,0)*VLOOKUP('Données projet'!$B$14,Paramètres!$A$1:$I$89,7,0))</f>
        <v>4.3000000000000003E-2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170.66525099859226</v>
      </c>
      <c r="EB174" s="21">
        <f>EXP(-LN(2)/25)*EB173+(1-EXP(-LN(2)/25))/(LN(2)/25)*Calculateur!DW174*Calculateur!DY174*VLOOKUP('Données projet'!$B$14,Paramètres!$A$1:$I$89,3,0)*0.475*44/12</f>
        <v>26.390440485281999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197.05569148387426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-1.7053025658242404E-13</v>
      </c>
      <c r="EK174" s="17">
        <f>EJ174*VLOOKUP('Données projet'!$B$15,Paramètres!$A$1:$I$89,3,0)*VLOOKUP('Données projet'!$B$15,Paramètres!$A$1:$I$89,5,0)</f>
        <v>-1.1439169611549005E-13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178.09619481964575</v>
      </c>
      <c r="EP174" s="59">
        <f t="shared" si="154"/>
        <v>178.65167777495174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14.764298367019753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7.0512113728458769E-13</v>
      </c>
      <c r="EY174" s="22">
        <f t="shared" si="181"/>
        <v>14.764298367020459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-1.3567387213697657E-13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219.43439115440339</v>
      </c>
      <c r="FK174" s="59">
        <f t="shared" si="156"/>
        <v>217.8880462742099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17.511144574837385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8.3630646515148825E-13</v>
      </c>
      <c r="FT174" s="22">
        <f t="shared" si="184"/>
        <v>17.51114457483822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191.77102466144095</v>
      </c>
      <c r="GF174" s="59">
        <f t="shared" si="158"/>
        <v>205.57161411620217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12.900187976853125</v>
      </c>
      <c r="GM174" s="21">
        <f>EXP(-LN(2)/25)*GM173+(1-EXP(-LN(2)/25))/(LN(2)/25)*Calculateur!GH174*Calculateur!GJ174*VLOOKUP('Données projet'!$B$17,Paramètres!$A$1:$I$89,3,0)*0.475*44/12</f>
        <v>1.1200443917725129</v>
      </c>
      <c r="GN174" s="21">
        <f>EXP(-LN(2)/2)*GN173+(1-EXP(-LN(2)/2))/(LN(2)/2)*GH174*GK174*VLOOKUP('Données projet'!$B$17,Paramètres!$A$1:$I$89,3,0)*0.475*44/12</f>
        <v>8.4320949847695142E-16</v>
      </c>
      <c r="GO174" s="21">
        <f t="shared" si="187"/>
        <v>14.020232368625638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84.31577618130467</v>
      </c>
      <c r="T175" s="59">
        <f t="shared" si="142"/>
        <v>527.2140904310653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7.3457581325005128</v>
      </c>
      <c r="AA175" s="21">
        <f>EXP(-LN(2)/25)*AA174+(1-EXP(-LN(2)/25))/(LN(2)/25)*Calculateur!V175*Calculateur!X175*VLOOKUP('Données projet'!$B$9,Paramètres!$A$1:$I$89,3,0)*0.475*44/12</f>
        <v>0.68749624014984745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8.0332543726503598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-2.8421709430404007E-13</v>
      </c>
      <c r="AJ175" s="13">
        <f>AI175*VLOOKUP('Données projet'!$B$10,Paramètres!$A$1:$I$89,3,0)*VLOOKUP('Données projet'!$B$10,Paramètres!$A$1:$I$89,5,0)</f>
        <v>-2.5715962692629546E-13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297.90790572649428</v>
      </c>
      <c r="AO175" s="59">
        <f t="shared" si="144"/>
        <v>142.96889776844506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156.52386052061283</v>
      </c>
      <c r="AV175" s="21">
        <f>EXP(-LN(2)/25)*AV174+(1-EXP(-LN(2)/25))/(LN(2)/25)*Calculateur!AQ175*Calculateur!AS175*VLOOKUP('Données projet'!$B$10,Paramètres!$A$1:$I$89,3,0)*0.475*44/12</f>
        <v>24.012741373211984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180.53660189382481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-2.8421709430404007E-13</v>
      </c>
      <c r="BE175" s="13">
        <f>BD175*VLOOKUP('Données projet'!$B$11,Paramètres!$A$1:$I$89,3,0)*VLOOKUP('Données projet'!$B$11,Paramètres!$A$1:$I$89,5,0)</f>
        <v>-2.8819613362429665E-13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345.3294887586967</v>
      </c>
      <c r="BJ175" s="59">
        <f t="shared" si="146"/>
        <v>164.23448598618114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175.41467127310062</v>
      </c>
      <c r="BQ175" s="21">
        <f>EXP(-LN(2)/25)*BQ174+(1-EXP(-LN(2)/25))/(LN(2)/25)*Calculateur!BL175*Calculateur!BN175*VLOOKUP('Données projet'!$B$11,Paramètres!$A$1:$I$89,3,0)*0.475*44/12</f>
        <v>26.910830849289294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202.32550212238991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289.07218105343333</v>
      </c>
      <c r="CE175" s="59">
        <f t="shared" si="148"/>
        <v>217.57508587672368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26.849514490300773</v>
      </c>
      <c r="CL175" s="21">
        <f>EXP(-LN(2)/25)*CL174+(1-EXP(-LN(2)/25))/(LN(2)/25)*Calculateur!CG175*Calculateur!CI175*VLOOKUP('Données projet'!$B$12,Paramètres!$A$1:$I$89,3,0)*0.475*44/12</f>
        <v>5.8134366513640883</v>
      </c>
      <c r="CM175" s="21">
        <f>EXP(-LN(2)/2)*CM174+(1-EXP(-LN(2)/2))/(LN(2)/2)*CG175*CJ175*VLOOKUP('Données projet'!$B$12,Paramètres!$A$1:$I$89,3,0)*0.475*44/12</f>
        <v>1.1015970646533155E-12</v>
      </c>
      <c r="CN175" s="22">
        <f t="shared" si="172"/>
        <v>32.662951141665964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1.7053025658242404E-13</v>
      </c>
      <c r="CU175" s="17">
        <f>CT175*VLOOKUP('Données projet'!$B$13,Paramètres!$A$1:$I$89,3,0)*VLOOKUP('Données projet'!$B$13,Paramètres!$A$1:$I$89,5,0)</f>
        <v>1.4897523215040567E-13</v>
      </c>
      <c r="CV175" s="13">
        <f t="shared" si="173"/>
        <v>2.136562777003313E-12</v>
      </c>
      <c r="CW175" s="20">
        <f t="shared" si="174"/>
        <v>3.9806453659427267E-12</v>
      </c>
      <c r="CX175" s="59">
        <f t="shared" si="122"/>
        <v>293.33333333333729</v>
      </c>
      <c r="CY175" s="59">
        <f ca="1">AVERAGE(OFFSET($CX$3,0,0,'Données projet'!$E$13+1,1))-AVERAGE(OFFSET($H$3,0,0,'Données projet'!$E$13+1,1))</f>
        <v>237.8483058552178</v>
      </c>
      <c r="CZ175" s="59">
        <f t="shared" si="150"/>
        <v>313.36201272119723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11.628568009038245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1.8292304989006414E-14</v>
      </c>
      <c r="DI175" s="22">
        <f t="shared" si="175"/>
        <v>11.628568009038263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-2.8421709430404007E-13</v>
      </c>
      <c r="DP175" s="17">
        <f>DO175*VLOOKUP('Données projet'!$B$14,Paramètres!$A$1:$I$89,3,0)*VLOOKUP('Données projet'!$B$14,Paramètres!$A$1:$I$89,5,0)</f>
        <v>-2.7489477361086758E-13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325.01961068962373</v>
      </c>
      <c r="DU175" s="59">
        <f t="shared" si="152"/>
        <v>155.12737608540039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167.31860952203439</v>
      </c>
      <c r="EB175" s="21">
        <f>EXP(-LN(2)/25)*EB174+(1-EXP(-LN(2)/25))/(LN(2)/25)*Calculateur!DW175*Calculateur!DY175*VLOOKUP('Données projet'!$B$14,Paramètres!$A$1:$I$89,3,0)*0.475*44/12</f>
        <v>25.668792502399015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192.98740202443341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-1.7053025658242404E-13</v>
      </c>
      <c r="EK175" s="17">
        <f>EJ175*VLOOKUP('Données projet'!$B$15,Paramètres!$A$1:$I$89,3,0)*VLOOKUP('Données projet'!$B$15,Paramètres!$A$1:$I$89,5,0)</f>
        <v>-1.1439169611549005E-13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178.09619481964575</v>
      </c>
      <c r="EP175" s="59">
        <f t="shared" si="154"/>
        <v>178.65167777495174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14.474779481375297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4.9859593773190248E-13</v>
      </c>
      <c r="EY175" s="22">
        <f t="shared" si="181"/>
        <v>14.474779481375796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-1.3567387213697657E-13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219.43439115440339</v>
      </c>
      <c r="FK175" s="59">
        <f t="shared" si="156"/>
        <v>217.8880462742099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17.16776171046838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5.9135797265876843E-13</v>
      </c>
      <c r="FT175" s="22">
        <f t="shared" si="184"/>
        <v>17.167761710468969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191.77102466144095</v>
      </c>
      <c r="GF175" s="59">
        <f t="shared" si="158"/>
        <v>205.57161411620217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12.647223158964767</v>
      </c>
      <c r="GM175" s="21">
        <f>EXP(-LN(2)/25)*GM174+(1-EXP(-LN(2)/25))/(LN(2)/25)*Calculateur!GH175*Calculateur!GJ175*VLOOKUP('Données projet'!$B$17,Paramètres!$A$1:$I$89,3,0)*0.475*44/12</f>
        <v>1.0894167189789188</v>
      </c>
      <c r="GN175" s="21">
        <f>EXP(-LN(2)/2)*GN174+(1-EXP(-LN(2)/2))/(LN(2)/2)*GH175*GK175*VLOOKUP('Données projet'!$B$17,Paramètres!$A$1:$I$89,3,0)*0.475*44/12</f>
        <v>5.9623915433396016E-16</v>
      </c>
      <c r="GO175" s="21">
        <f t="shared" si="187"/>
        <v>13.736639877943686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84.31577618130467</v>
      </c>
      <c r="T176" s="59">
        <f t="shared" si="142"/>
        <v>527.2140904310653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7.2017122959922286</v>
      </c>
      <c r="AA176" s="21">
        <f>EXP(-LN(2)/25)*AA175+(1-EXP(-LN(2)/25))/(LN(2)/25)*Calculateur!V176*Calculateur!X176*VLOOKUP('Données projet'!$B$9,Paramètres!$A$1:$I$89,3,0)*0.475*44/12</f>
        <v>0.66869661930909385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7.8704089153013221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-2.8421709430404007E-13</v>
      </c>
      <c r="AJ176" s="13">
        <f>AI176*VLOOKUP('Données projet'!$B$10,Paramètres!$A$1:$I$89,3,0)*VLOOKUP('Données projet'!$B$10,Paramètres!$A$1:$I$89,5,0)</f>
        <v>-2.5715962692629546E-13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297.90790572649428</v>
      </c>
      <c r="AO176" s="59">
        <f t="shared" si="144"/>
        <v>142.96889776844506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153.45452308593164</v>
      </c>
      <c r="AV176" s="21">
        <f>EXP(-LN(2)/25)*AV175+(1-EXP(-LN(2)/25))/(LN(2)/25)*Calculateur!AQ176*Calculateur!AS176*VLOOKUP('Données projet'!$B$10,Paramètres!$A$1:$I$89,3,0)*0.475*44/12</f>
        <v>23.356111697586314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176.81063478351797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-2.8421709430404007E-13</v>
      </c>
      <c r="BE176" s="13">
        <f>BD176*VLOOKUP('Données projet'!$B$11,Paramètres!$A$1:$I$89,3,0)*VLOOKUP('Données projet'!$B$11,Paramètres!$A$1:$I$89,5,0)</f>
        <v>-2.8819613362429665E-13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345.3294887586967</v>
      </c>
      <c r="BJ176" s="59">
        <f t="shared" si="146"/>
        <v>164.23448598618114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171.97489656181997</v>
      </c>
      <c r="BQ176" s="21">
        <f>EXP(-LN(2)/25)*BQ175+(1-EXP(-LN(2)/25))/(LN(2)/25)*Calculateur!BL176*Calculateur!BN176*VLOOKUP('Données projet'!$B$11,Paramètres!$A$1:$I$89,3,0)*0.475*44/12</f>
        <v>26.174952764536389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198.14984932635636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289.07218105343333</v>
      </c>
      <c r="CE176" s="59">
        <f t="shared" si="148"/>
        <v>217.57508587672368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26.323011887732761</v>
      </c>
      <c r="CL176" s="21">
        <f>EXP(-LN(2)/25)*CL175+(1-EXP(-LN(2)/25))/(LN(2)/25)*Calculateur!CG176*Calculateur!CI176*VLOOKUP('Données projet'!$B$12,Paramètres!$A$1:$I$89,3,0)*0.475*44/12</f>
        <v>5.6544679204171908</v>
      </c>
      <c r="CM176" s="21">
        <f>EXP(-LN(2)/2)*CM175+(1-EXP(-LN(2)/2))/(LN(2)/2)*CG176*CJ176*VLOOKUP('Données projet'!$B$12,Paramètres!$A$1:$I$89,3,0)*0.475*44/12</f>
        <v>7.7894675455155503E-13</v>
      </c>
      <c r="CN176" s="22">
        <f t="shared" si="172"/>
        <v>31.977479808150729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1.7053025658242404E-13</v>
      </c>
      <c r="CU176" s="17">
        <f>CT176*VLOOKUP('Données projet'!$B$13,Paramètres!$A$1:$I$89,3,0)*VLOOKUP('Données projet'!$B$13,Paramètres!$A$1:$I$89,5,0)</f>
        <v>1.4897523215040567E-13</v>
      </c>
      <c r="CV176" s="13">
        <f t="shared" si="173"/>
        <v>2.136562777003313E-12</v>
      </c>
      <c r="CW176" s="20">
        <f t="shared" si="174"/>
        <v>3.9806453659427267E-12</v>
      </c>
      <c r="CX176" s="59">
        <f t="shared" si="122"/>
        <v>293.33333333333729</v>
      </c>
      <c r="CY176" s="59">
        <f ca="1">AVERAGE(OFFSET($CX$3,0,0,'Données projet'!$E$13+1,1))-AVERAGE(OFFSET($H$3,0,0,'Données projet'!$E$13+1,1))</f>
        <v>237.8483058552178</v>
      </c>
      <c r="CZ176" s="59">
        <f t="shared" si="150"/>
        <v>313.36201272119723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11.400538883107142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1.293461290125895E-14</v>
      </c>
      <c r="DI176" s="22">
        <f t="shared" si="175"/>
        <v>11.400538883107155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-2.8421709430404007E-13</v>
      </c>
      <c r="DP176" s="17">
        <f>DO176*VLOOKUP('Données projet'!$B$14,Paramètres!$A$1:$I$89,3,0)*VLOOKUP('Données projet'!$B$14,Paramètres!$A$1:$I$89,5,0)</f>
        <v>-2.7489477361086758E-13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325.01961068962373</v>
      </c>
      <c r="DU176" s="59">
        <f t="shared" si="152"/>
        <v>155.12737608540039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164.03759364358208</v>
      </c>
      <c r="EB176" s="21">
        <f>EXP(-LN(2)/25)*EB175+(1-EXP(-LN(2)/25))/(LN(2)/25)*Calculateur!DW176*Calculateur!DY176*VLOOKUP('Données projet'!$B$14,Paramètres!$A$1:$I$89,3,0)*0.475*44/12</f>
        <v>24.966878021557783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189.00447166513987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-1.7053025658242404E-13</v>
      </c>
      <c r="EK176" s="17">
        <f>EJ176*VLOOKUP('Données projet'!$B$15,Paramètres!$A$1:$I$89,3,0)*VLOOKUP('Données projet'!$B$15,Paramètres!$A$1:$I$89,5,0)</f>
        <v>-1.1439169611549005E-13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178.09619481964575</v>
      </c>
      <c r="EP176" s="59">
        <f t="shared" si="154"/>
        <v>178.65167777495174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14.190937884489244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3.5256056864229384E-13</v>
      </c>
      <c r="EY176" s="22">
        <f t="shared" si="181"/>
        <v>14.190937884489596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-1.3567387213697657E-13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219.43439115440339</v>
      </c>
      <c r="FK176" s="59">
        <f t="shared" si="156"/>
        <v>217.8880462742099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16.831112374626784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4.1815323257574413E-13</v>
      </c>
      <c r="FT176" s="22">
        <f t="shared" si="184"/>
        <v>16.831112374627203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191.77102466144095</v>
      </c>
      <c r="GF176" s="59">
        <f t="shared" si="158"/>
        <v>205.57161411620217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12.399218826861896</v>
      </c>
      <c r="GM176" s="21">
        <f>EXP(-LN(2)/25)*GM175+(1-EXP(-LN(2)/25))/(LN(2)/25)*Calculateur!GH176*Calculateur!GJ176*VLOOKUP('Données projet'!$B$17,Paramètres!$A$1:$I$89,3,0)*0.475*44/12</f>
        <v>1.059626561508505</v>
      </c>
      <c r="GN176" s="21">
        <f>EXP(-LN(2)/2)*GN175+(1-EXP(-LN(2)/2))/(LN(2)/2)*GH176*GK176*VLOOKUP('Données projet'!$B$17,Paramètres!$A$1:$I$89,3,0)*0.475*44/12</f>
        <v>4.2160474923847571E-16</v>
      </c>
      <c r="GO176" s="21">
        <f t="shared" si="187"/>
        <v>13.458845388370401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84.31577618130467</v>
      </c>
      <c r="T177" s="59">
        <f t="shared" si="142"/>
        <v>527.2140904310653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7.060491110478587</v>
      </c>
      <c r="AA177" s="21">
        <f>EXP(-LN(2)/25)*AA176+(1-EXP(-LN(2)/25))/(LN(2)/25)*Calculateur!V177*Calculateur!X177*VLOOKUP('Données projet'!$B$9,Paramètres!$A$1:$I$89,3,0)*0.475*44/12</f>
        <v>0.65041107508885976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7.7109021855674467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-2.8421709430404007E-13</v>
      </c>
      <c r="AJ177" s="13">
        <f>AI177*VLOOKUP('Données projet'!$B$10,Paramètres!$A$1:$I$89,3,0)*VLOOKUP('Données projet'!$B$10,Paramètres!$A$1:$I$89,5,0)</f>
        <v>-2.5715962692629546E-13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297.90790572649428</v>
      </c>
      <c r="AO177" s="59">
        <f t="shared" si="144"/>
        <v>142.96889776844506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150.44537348623356</v>
      </c>
      <c r="AV177" s="21">
        <f>EXP(-LN(2)/25)*AV176+(1-EXP(-LN(2)/25))/(LN(2)/25)*Calculateur!AQ177*Calculateur!AS177*VLOOKUP('Données projet'!$B$10,Paramètres!$A$1:$I$89,3,0)*0.475*44/12</f>
        <v>22.717437594971283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173.16281108120484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-2.8421709430404007E-13</v>
      </c>
      <c r="BE177" s="13">
        <f>BD177*VLOOKUP('Données projet'!$B$11,Paramètres!$A$1:$I$89,3,0)*VLOOKUP('Données projet'!$B$11,Paramètres!$A$1:$I$89,5,0)</f>
        <v>-2.8819613362429665E-13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345.3294887586967</v>
      </c>
      <c r="BJ177" s="59">
        <f t="shared" si="146"/>
        <v>164.23448598618114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168.60257373457213</v>
      </c>
      <c r="BQ177" s="21">
        <f>EXP(-LN(2)/25)*BQ176+(1-EXP(-LN(2)/25))/(LN(2)/25)*Calculateur!BL177*Calculateur!BN177*VLOOKUP('Données projet'!$B$11,Paramètres!$A$1:$I$89,3,0)*0.475*44/12</f>
        <v>25.4591973047092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194.06177103928133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289.07218105343333</v>
      </c>
      <c r="CE177" s="59">
        <f t="shared" si="148"/>
        <v>217.57508587672368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25.80683368006623</v>
      </c>
      <c r="CL177" s="21">
        <f>EXP(-LN(2)/25)*CL176+(1-EXP(-LN(2)/25))/(LN(2)/25)*Calculateur!CG177*Calculateur!CI177*VLOOKUP('Données projet'!$B$12,Paramètres!$A$1:$I$89,3,0)*0.475*44/12</f>
        <v>5.4998461977778383</v>
      </c>
      <c r="CM177" s="21">
        <f>EXP(-LN(2)/2)*CM176+(1-EXP(-LN(2)/2))/(LN(2)/2)*CG177*CJ177*VLOOKUP('Données projet'!$B$12,Paramètres!$A$1:$I$89,3,0)*0.475*44/12</f>
        <v>5.5079853232665776E-13</v>
      </c>
      <c r="CN177" s="22">
        <f t="shared" si="172"/>
        <v>31.306679877844619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1.7053025658242404E-13</v>
      </c>
      <c r="CU177" s="17">
        <f>CT177*VLOOKUP('Données projet'!$B$13,Paramètres!$A$1:$I$89,3,0)*VLOOKUP('Données projet'!$B$13,Paramètres!$A$1:$I$89,5,0)</f>
        <v>1.4897523215040567E-13</v>
      </c>
      <c r="CV177" s="13">
        <f t="shared" si="173"/>
        <v>2.136562777003313E-12</v>
      </c>
      <c r="CW177" s="20">
        <f t="shared" si="174"/>
        <v>3.9806453659427267E-12</v>
      </c>
      <c r="CX177" s="59">
        <f t="shared" si="122"/>
        <v>293.33333333333729</v>
      </c>
      <c r="CY177" s="59">
        <f ca="1">AVERAGE(OFFSET($CX$3,0,0,'Données projet'!$E$13+1,1))-AVERAGE(OFFSET($H$3,0,0,'Données projet'!$E$13+1,1))</f>
        <v>237.8483058552178</v>
      </c>
      <c r="CZ177" s="59">
        <f t="shared" si="150"/>
        <v>313.36201272119723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11.176981269251515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9.146152494503207E-15</v>
      </c>
      <c r="DI177" s="22">
        <f t="shared" si="175"/>
        <v>11.176981269251524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-2.8421709430404007E-13</v>
      </c>
      <c r="DP177" s="17">
        <f>DO177*VLOOKUP('Données projet'!$B$14,Paramètres!$A$1:$I$89,3,0)*VLOOKUP('Données projet'!$B$14,Paramètres!$A$1:$I$89,5,0)</f>
        <v>-2.7489477361086758E-13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325.01961068962373</v>
      </c>
      <c r="DU177" s="59">
        <f t="shared" si="152"/>
        <v>155.12737608540039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160.82091648528416</v>
      </c>
      <c r="EB177" s="21">
        <f>EXP(-LN(2)/25)*EB176+(1-EXP(-LN(2)/25))/(LN(2)/25)*Calculateur!DW177*Calculateur!DY177*VLOOKUP('Données projet'!$B$14,Paramètres!$A$1:$I$89,3,0)*0.475*44/12</f>
        <v>24.284157429107232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185.1050739143914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-1.7053025658242404E-13</v>
      </c>
      <c r="EK177" s="17">
        <f>EJ177*VLOOKUP('Données projet'!$B$15,Paramètres!$A$1:$I$89,3,0)*VLOOKUP('Données projet'!$B$15,Paramètres!$A$1:$I$89,5,0)</f>
        <v>-1.1439169611549005E-13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178.09619481964575</v>
      </c>
      <c r="EP177" s="59">
        <f t="shared" si="154"/>
        <v>178.65167777495174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13.912662248191848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2.4929796886595124E-13</v>
      </c>
      <c r="EY177" s="22">
        <f t="shared" si="181"/>
        <v>13.912662248192097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-1.3567387213697657E-13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219.43439115440339</v>
      </c>
      <c r="FK177" s="59">
        <f t="shared" si="156"/>
        <v>217.8880462742099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16.501064526925223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2.9567898632938422E-13</v>
      </c>
      <c r="FT177" s="22">
        <f t="shared" si="184"/>
        <v>16.501064526925518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191.77102466144095</v>
      </c>
      <c r="GF177" s="59">
        <f t="shared" si="158"/>
        <v>205.57161411620217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12.156077708443856</v>
      </c>
      <c r="GM177" s="21">
        <f>EXP(-LN(2)/25)*GM176+(1-EXP(-LN(2)/25))/(LN(2)/25)*Calculateur!GH177*Calculateur!GJ177*VLOOKUP('Données projet'!$B$17,Paramètres!$A$1:$I$89,3,0)*0.475*44/12</f>
        <v>1.0306510174607157</v>
      </c>
      <c r="GN177" s="21">
        <f>EXP(-LN(2)/2)*GN176+(1-EXP(-LN(2)/2))/(LN(2)/2)*GH177*GK177*VLOOKUP('Données projet'!$B$17,Paramètres!$A$1:$I$89,3,0)*0.475*44/12</f>
        <v>2.9811957716698008E-16</v>
      </c>
      <c r="GO177" s="21">
        <f t="shared" si="187"/>
        <v>13.186728725904572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84.31577618130467</v>
      </c>
      <c r="T178" s="59">
        <f t="shared" si="142"/>
        <v>527.2140904310653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6.9220391862764501</v>
      </c>
      <c r="AA178" s="21">
        <f>EXP(-LN(2)/25)*AA177+(1-EXP(-LN(2)/25))/(LN(2)/25)*Calculateur!V178*Calculateur!X178*VLOOKUP('Données projet'!$B$9,Paramètres!$A$1:$I$89,3,0)*0.475*44/12</f>
        <v>0.632625550036923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7.5546647363133728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-2.8421709430404007E-13</v>
      </c>
      <c r="AJ178" s="13">
        <f>AI178*VLOOKUP('Données projet'!$B$10,Paramètres!$A$1:$I$89,3,0)*VLOOKUP('Données projet'!$B$10,Paramètres!$A$1:$I$89,5,0)</f>
        <v>-2.5715962692629546E-13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297.90790572649428</v>
      </c>
      <c r="AO178" s="59">
        <f t="shared" si="144"/>
        <v>142.96889776844506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147.49523147478556</v>
      </c>
      <c r="AV178" s="21">
        <f>EXP(-LN(2)/25)*AV177+(1-EXP(-LN(2)/25))/(LN(2)/25)*Calculateur!AQ178*Calculateur!AS178*VLOOKUP('Données projet'!$B$10,Paramètres!$A$1:$I$89,3,0)*0.475*44/12</f>
        <v>22.096228069278673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169.59145954406424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-2.8421709430404007E-13</v>
      </c>
      <c r="BE178" s="13">
        <f>BD178*VLOOKUP('Données projet'!$B$11,Paramètres!$A$1:$I$89,3,0)*VLOOKUP('Données projet'!$B$11,Paramètres!$A$1:$I$89,5,0)</f>
        <v>-2.8819613362429665E-13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345.3294887586967</v>
      </c>
      <c r="BJ178" s="59">
        <f t="shared" si="146"/>
        <v>164.23448598618114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165.29638010105279</v>
      </c>
      <c r="BQ178" s="21">
        <f>EXP(-LN(2)/25)*BQ177+(1-EXP(-LN(2)/25))/(LN(2)/25)*Calculateur!BL178*Calculateur!BN178*VLOOKUP('Données projet'!$B$11,Paramètres!$A$1:$I$89,3,0)*0.475*44/12</f>
        <v>24.763014215570927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190.05939431662372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289.07218105343333</v>
      </c>
      <c r="CE178" s="59">
        <f t="shared" si="148"/>
        <v>217.57508587672368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25.300777412214419</v>
      </c>
      <c r="CL178" s="21">
        <f>EXP(-LN(2)/25)*CL177+(1-EXP(-LN(2)/25))/(LN(2)/25)*Calculateur!CG178*Calculateur!CI178*VLOOKUP('Données projet'!$B$12,Paramètres!$A$1:$I$89,3,0)*0.475*44/12</f>
        <v>5.3494526142752621</v>
      </c>
      <c r="CM178" s="21">
        <f>EXP(-LN(2)/2)*CM177+(1-EXP(-LN(2)/2))/(LN(2)/2)*CG178*CJ178*VLOOKUP('Données projet'!$B$12,Paramètres!$A$1:$I$89,3,0)*0.475*44/12</f>
        <v>3.8947337727577751E-13</v>
      </c>
      <c r="CN178" s="22">
        <f t="shared" si="172"/>
        <v>30.650230026490071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1.7053025658242404E-13</v>
      </c>
      <c r="CU178" s="17">
        <f>CT178*VLOOKUP('Données projet'!$B$13,Paramètres!$A$1:$I$89,3,0)*VLOOKUP('Données projet'!$B$13,Paramètres!$A$1:$I$89,5,0)</f>
        <v>1.4897523215040567E-13</v>
      </c>
      <c r="CV178" s="13">
        <f t="shared" si="173"/>
        <v>2.136562777003313E-12</v>
      </c>
      <c r="CW178" s="20">
        <f t="shared" si="174"/>
        <v>3.9806453659427267E-12</v>
      </c>
      <c r="CX178" s="59">
        <f t="shared" si="122"/>
        <v>293.33333333333729</v>
      </c>
      <c r="CY178" s="59">
        <f ca="1">AVERAGE(OFFSET($CX$3,0,0,'Données projet'!$E$13+1,1))-AVERAGE(OFFSET($H$3,0,0,'Données projet'!$E$13+1,1))</f>
        <v>237.8483058552178</v>
      </c>
      <c r="CZ178" s="59">
        <f t="shared" si="150"/>
        <v>313.36201272119723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10.957807483846915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6.4673064506294751E-15</v>
      </c>
      <c r="DI178" s="22">
        <f t="shared" si="175"/>
        <v>10.957807483846922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-2.8421709430404007E-13</v>
      </c>
      <c r="DP178" s="17">
        <f>DO178*VLOOKUP('Données projet'!$B$14,Paramètres!$A$1:$I$89,3,0)*VLOOKUP('Données projet'!$B$14,Paramètres!$A$1:$I$89,5,0)</f>
        <v>-2.7489477361086758E-13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325.01961068962373</v>
      </c>
      <c r="DU178" s="59">
        <f t="shared" si="152"/>
        <v>155.12737608540039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157.66731640408111</v>
      </c>
      <c r="EB178" s="21">
        <f>EXP(-LN(2)/25)*EB177+(1-EXP(-LN(2)/25))/(LN(2)/25)*Calculateur!DW178*Calculateur!DY178*VLOOKUP('Données projet'!$B$14,Paramètres!$A$1:$I$89,3,0)*0.475*44/12</f>
        <v>23.620105867159957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181.28742227124107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-1.7053025658242404E-13</v>
      </c>
      <c r="EK178" s="17">
        <f>EJ178*VLOOKUP('Données projet'!$B$15,Paramètres!$A$1:$I$89,3,0)*VLOOKUP('Données projet'!$B$15,Paramètres!$A$1:$I$89,5,0)</f>
        <v>-1.1439169611549005E-13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178.09619481964575</v>
      </c>
      <c r="EP178" s="59">
        <f t="shared" si="154"/>
        <v>178.65167777495174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13.639843427390867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1.7628028432114692E-13</v>
      </c>
      <c r="EY178" s="22">
        <f t="shared" si="181"/>
        <v>13.639843427391042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-1.3567387213697657E-13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219.43439115440339</v>
      </c>
      <c r="FK178" s="59">
        <f t="shared" si="156"/>
        <v>217.8880462742099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16.17748871620778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2.0907661628787206E-13</v>
      </c>
      <c r="FT178" s="22">
        <f t="shared" si="184"/>
        <v>16.177488716207989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191.77102466144095</v>
      </c>
      <c r="GF178" s="59">
        <f t="shared" si="158"/>
        <v>205.57161411620217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11.917704439056555</v>
      </c>
      <c r="GM178" s="21">
        <f>EXP(-LN(2)/25)*GM177+(1-EXP(-LN(2)/25))/(LN(2)/25)*Calculateur!GH178*Calculateur!GJ178*VLOOKUP('Données projet'!$B$17,Paramètres!$A$1:$I$89,3,0)*0.475*44/12</f>
        <v>1.0024678111886711</v>
      </c>
      <c r="GN178" s="21">
        <f>EXP(-LN(2)/2)*GN177+(1-EXP(-LN(2)/2))/(LN(2)/2)*GH178*GK178*VLOOKUP('Données projet'!$B$17,Paramètres!$A$1:$I$89,3,0)*0.475*44/12</f>
        <v>2.1080237461923785E-16</v>
      </c>
      <c r="GO178" s="21">
        <f t="shared" si="187"/>
        <v>12.920172250245226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84.31577618130467</v>
      </c>
      <c r="T179" s="59">
        <f t="shared" si="142"/>
        <v>527.2140904310653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6.7863022198605822</v>
      </c>
      <c r="AA179" s="21">
        <f>EXP(-LN(2)/25)*AA178+(1-EXP(-LN(2)/25))/(LN(2)/25)*Calculateur!V179*Calculateur!X179*VLOOKUP('Données projet'!$B$9,Paramètres!$A$1:$I$89,3,0)*0.475*44/12</f>
        <v>0.6153263711028315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7.4016285909634139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-2.8421709430404007E-13</v>
      </c>
      <c r="AJ179" s="13">
        <f>AI179*VLOOKUP('Données projet'!$B$10,Paramètres!$A$1:$I$89,3,0)*VLOOKUP('Données projet'!$B$10,Paramètres!$A$1:$I$89,5,0)</f>
        <v>-2.5715962692629546E-13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297.90790572649428</v>
      </c>
      <c r="AO179" s="59">
        <f t="shared" si="144"/>
        <v>142.96889776844506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144.60293994877307</v>
      </c>
      <c r="AV179" s="21">
        <f>EXP(-LN(2)/25)*AV178+(1-EXP(-LN(2)/25))/(LN(2)/25)*Calculateur!AQ179*Calculateur!AS179*VLOOKUP('Données projet'!$B$10,Paramètres!$A$1:$I$89,3,0)*0.475*44/12</f>
        <v>21.492005550734117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166.09494549950719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-2.8421709430404007E-13</v>
      </c>
      <c r="BE179" s="13">
        <f>BD179*VLOOKUP('Données projet'!$B$11,Paramètres!$A$1:$I$89,3,0)*VLOOKUP('Données projet'!$B$11,Paramètres!$A$1:$I$89,5,0)</f>
        <v>-2.8819613362429665E-13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345.3294887586967</v>
      </c>
      <c r="BJ179" s="59">
        <f t="shared" si="146"/>
        <v>164.23448598618114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162.05501890810777</v>
      </c>
      <c r="BQ179" s="21">
        <f>EXP(-LN(2)/25)*BQ178+(1-EXP(-LN(2)/25))/(LN(2)/25)*Calculateur!BL179*Calculateur!BN179*VLOOKUP('Données projet'!$B$11,Paramètres!$A$1:$I$89,3,0)*0.475*44/12</f>
        <v>24.085868289615817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186.1408871977236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289.07218105343333</v>
      </c>
      <c r="CE179" s="59">
        <f t="shared" si="148"/>
        <v>217.57508587672368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24.804644599111338</v>
      </c>
      <c r="CL179" s="21">
        <f>EXP(-LN(2)/25)*CL178+(1-EXP(-LN(2)/25))/(LN(2)/25)*Calculateur!CG179*Calculateur!CI179*VLOOKUP('Données projet'!$B$12,Paramètres!$A$1:$I$89,3,0)*0.475*44/12</f>
        <v>5.2031715512224181</v>
      </c>
      <c r="CM179" s="21">
        <f>EXP(-LN(2)/2)*CM178+(1-EXP(-LN(2)/2))/(LN(2)/2)*CG179*CJ179*VLOOKUP('Données projet'!$B$12,Paramètres!$A$1:$I$89,3,0)*0.475*44/12</f>
        <v>2.7539926616332888E-13</v>
      </c>
      <c r="CN179" s="22">
        <f t="shared" si="172"/>
        <v>30.007816150334033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1.7053025658242404E-13</v>
      </c>
      <c r="CU179" s="17">
        <f>CT179*VLOOKUP('Données projet'!$B$13,Paramètres!$A$1:$I$89,3,0)*VLOOKUP('Données projet'!$B$13,Paramètres!$A$1:$I$89,5,0)</f>
        <v>1.4897523215040567E-13</v>
      </c>
      <c r="CV179" s="13">
        <f t="shared" si="173"/>
        <v>2.136562777003313E-12</v>
      </c>
      <c r="CW179" s="20">
        <f t="shared" si="174"/>
        <v>3.9806453659427267E-12</v>
      </c>
      <c r="CX179" s="59">
        <f t="shared" si="122"/>
        <v>293.33333333333729</v>
      </c>
      <c r="CY179" s="59">
        <f ca="1">AVERAGE(OFFSET($CX$3,0,0,'Données projet'!$E$13+1,1))-AVERAGE(OFFSET($H$3,0,0,'Données projet'!$E$13+1,1))</f>
        <v>237.8483058552178</v>
      </c>
      <c r="CZ179" s="59">
        <f t="shared" si="150"/>
        <v>313.36201272119723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10.742931562691291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4.5730762472516035E-15</v>
      </c>
      <c r="DI179" s="22">
        <f t="shared" si="175"/>
        <v>10.742931562691297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-2.8421709430404007E-13</v>
      </c>
      <c r="DP179" s="17">
        <f>DO179*VLOOKUP('Données projet'!$B$14,Paramètres!$A$1:$I$89,3,0)*VLOOKUP('Données projet'!$B$14,Paramètres!$A$1:$I$89,5,0)</f>
        <v>-2.7489477361086758E-13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325.01961068962373</v>
      </c>
      <c r="DU179" s="59">
        <f t="shared" si="152"/>
        <v>155.12737608540039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154.57555649696431</v>
      </c>
      <c r="EB179" s="21">
        <f>EXP(-LN(2)/25)*EB178+(1-EXP(-LN(2)/25))/(LN(2)/25)*Calculateur!DW179*Calculateur!DY179*VLOOKUP('Données projet'!$B$14,Paramètres!$A$1:$I$89,3,0)*0.475*44/12</f>
        <v>22.974212830095084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177.54976932705938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-1.7053025658242404E-13</v>
      </c>
      <c r="EK179" s="17">
        <f>EJ179*VLOOKUP('Données projet'!$B$15,Paramètres!$A$1:$I$89,3,0)*VLOOKUP('Données projet'!$B$15,Paramètres!$A$1:$I$89,5,0)</f>
        <v>-1.1439169611549005E-13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178.09619481964575</v>
      </c>
      <c r="EP179" s="59">
        <f t="shared" si="154"/>
        <v>178.65167777495174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13.372374417262742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1.2464898443297562E-13</v>
      </c>
      <c r="EY179" s="22">
        <f t="shared" si="181"/>
        <v>13.372374417262867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-1.3567387213697657E-13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219.43439115440339</v>
      </c>
      <c r="FK179" s="59">
        <f t="shared" si="156"/>
        <v>217.8880462742099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15.860258029776748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1.4783949316469211E-13</v>
      </c>
      <c r="FT179" s="22">
        <f t="shared" si="184"/>
        <v>15.860258029776896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191.77102466144095</v>
      </c>
      <c r="GF179" s="59">
        <f t="shared" si="158"/>
        <v>205.57161411620217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11.684005524088601</v>
      </c>
      <c r="GM179" s="21">
        <f>EXP(-LN(2)/25)*GM178+(1-EXP(-LN(2)/25))/(LN(2)/25)*Calculateur!GH179*Calculateur!GJ179*VLOOKUP('Données projet'!$B$17,Paramètres!$A$1:$I$89,3,0)*0.475*44/12</f>
        <v>0.97505527617422594</v>
      </c>
      <c r="GN179" s="21">
        <f>EXP(-LN(2)/2)*GN178+(1-EXP(-LN(2)/2))/(LN(2)/2)*GH179*GK179*VLOOKUP('Données projet'!$B$17,Paramètres!$A$1:$I$89,3,0)*0.475*44/12</f>
        <v>1.4905978858349004E-16</v>
      </c>
      <c r="GO179" s="21">
        <f t="shared" si="187"/>
        <v>12.659060800262827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84.31577618130467</v>
      </c>
      <c r="T180" s="59">
        <f t="shared" si="142"/>
        <v>527.2140904310653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6.653226972564755</v>
      </c>
      <c r="AA180" s="21">
        <f>EXP(-LN(2)/25)*AA179+(1-EXP(-LN(2)/25))/(LN(2)/25)*Calculateur!V180*Calculateur!X180*VLOOKUP('Données projet'!$B$9,Paramètres!$A$1:$I$89,3,0)*0.475*44/12</f>
        <v>0.59850023912641703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7.251727211691172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-2.8421709430404007E-13</v>
      </c>
      <c r="AJ180" s="13">
        <f>AI180*VLOOKUP('Données projet'!$B$10,Paramètres!$A$1:$I$89,3,0)*VLOOKUP('Données projet'!$B$10,Paramètres!$A$1:$I$89,5,0)</f>
        <v>-2.5715962692629546E-13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297.90790572649428</v>
      </c>
      <c r="AO180" s="59">
        <f t="shared" si="144"/>
        <v>142.96889776844506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141.76736449546206</v>
      </c>
      <c r="AV180" s="21">
        <f>EXP(-LN(2)/25)*AV179+(1-EXP(-LN(2)/25))/(LN(2)/25)*Calculateur!AQ180*Calculateur!AS180*VLOOKUP('Données projet'!$B$10,Paramètres!$A$1:$I$89,3,0)*0.475*44/12</f>
        <v>20.90430552873384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162.67167002419589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-2.8421709430404007E-13</v>
      </c>
      <c r="BE180" s="13">
        <f>BD180*VLOOKUP('Données projet'!$B$11,Paramètres!$A$1:$I$89,3,0)*VLOOKUP('Données projet'!$B$11,Paramètres!$A$1:$I$89,5,0)</f>
        <v>-2.8819613362429665E-13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345.3294887586967</v>
      </c>
      <c r="BJ180" s="59">
        <f t="shared" si="146"/>
        <v>164.23448598618114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158.8772188311213</v>
      </c>
      <c r="BQ180" s="21">
        <f>EXP(-LN(2)/25)*BQ179+(1-EXP(-LN(2)/25))/(LN(2)/25)*Calculateur!BL180*Calculateur!BN180*VLOOKUP('Données projet'!$B$11,Paramètres!$A$1:$I$89,3,0)*0.475*44/12</f>
        <v>23.427238954615508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182.30445778573682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289.07218105343333</v>
      </c>
      <c r="CE180" s="59">
        <f t="shared" si="148"/>
        <v>217.57508587672368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24.318240647862073</v>
      </c>
      <c r="CL180" s="21">
        <f>EXP(-LN(2)/25)*CL179+(1-EXP(-LN(2)/25))/(LN(2)/25)*Calculateur!CG180*Calculateur!CI180*VLOOKUP('Données projet'!$B$12,Paramètres!$A$1:$I$89,3,0)*0.475*44/12</f>
        <v>5.0608905515313412</v>
      </c>
      <c r="CM180" s="21">
        <f>EXP(-LN(2)/2)*CM179+(1-EXP(-LN(2)/2))/(LN(2)/2)*CG180*CJ180*VLOOKUP('Données projet'!$B$12,Paramètres!$A$1:$I$89,3,0)*0.475*44/12</f>
        <v>1.9473668863788876E-13</v>
      </c>
      <c r="CN180" s="22">
        <f t="shared" si="172"/>
        <v>29.379131199393608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1.7053025658242404E-13</v>
      </c>
      <c r="CU180" s="17">
        <f>CT180*VLOOKUP('Données projet'!$B$13,Paramètres!$A$1:$I$89,3,0)*VLOOKUP('Données projet'!$B$13,Paramètres!$A$1:$I$89,5,0)</f>
        <v>1.4897523215040567E-13</v>
      </c>
      <c r="CV180" s="13">
        <f t="shared" si="173"/>
        <v>2.136562777003313E-12</v>
      </c>
      <c r="CW180" s="20">
        <f t="shared" si="174"/>
        <v>3.9806453659427267E-12</v>
      </c>
      <c r="CX180" s="59">
        <f t="shared" si="122"/>
        <v>293.33333333333729</v>
      </c>
      <c r="CY180" s="59">
        <f ca="1">AVERAGE(OFFSET($CX$3,0,0,'Données projet'!$E$13+1,1))-AVERAGE(OFFSET($H$3,0,0,'Données projet'!$E$13+1,1))</f>
        <v>237.8483058552178</v>
      </c>
      <c r="CZ180" s="59">
        <f t="shared" si="150"/>
        <v>313.36201272119723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10.532269227288159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3.2336532253147376E-15</v>
      </c>
      <c r="DI180" s="22">
        <f t="shared" si="175"/>
        <v>10.532269227288163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-2.8421709430404007E-13</v>
      </c>
      <c r="DP180" s="17">
        <f>DO180*VLOOKUP('Données projet'!$B$14,Paramètres!$A$1:$I$89,3,0)*VLOOKUP('Données projet'!$B$14,Paramètres!$A$1:$I$89,5,0)</f>
        <v>-2.7489477361086758E-13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325.01961068962373</v>
      </c>
      <c r="DU180" s="59">
        <f t="shared" si="152"/>
        <v>155.12737608540039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151.54442411583875</v>
      </c>
      <c r="EB180" s="21">
        <f>EXP(-LN(2)/25)*EB179+(1-EXP(-LN(2)/25))/(LN(2)/25)*Calculateur!DW180*Calculateur!DY180*VLOOKUP('Données projet'!$B$14,Paramètres!$A$1:$I$89,3,0)*0.475*44/12</f>
        <v>22.345981772094788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173.89040588793353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-1.7053025658242404E-13</v>
      </c>
      <c r="EK180" s="17">
        <f>EJ180*VLOOKUP('Données projet'!$B$15,Paramètres!$A$1:$I$89,3,0)*VLOOKUP('Données projet'!$B$15,Paramètres!$A$1:$I$89,5,0)</f>
        <v>-1.1439169611549005E-13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178.09619481964575</v>
      </c>
      <c r="EP180" s="59">
        <f t="shared" si="154"/>
        <v>178.65167777495174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13.110150311283242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8.8140142160573461E-14</v>
      </c>
      <c r="EY180" s="22">
        <f t="shared" si="181"/>
        <v>13.110150311283331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-1.3567387213697657E-13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219.43439115440339</v>
      </c>
      <c r="FK180" s="59">
        <f t="shared" si="156"/>
        <v>217.8880462742099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15.549248043615016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1.0453830814393603E-13</v>
      </c>
      <c r="FT180" s="22">
        <f t="shared" si="184"/>
        <v>15.549248043615121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191.77102466144095</v>
      </c>
      <c r="GF180" s="59">
        <f t="shared" si="158"/>
        <v>205.57161411620217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11.454889302300906</v>
      </c>
      <c r="GM180" s="21">
        <f>EXP(-LN(2)/25)*GM179+(1-EXP(-LN(2)/25))/(LN(2)/25)*Calculateur!GH180*Calculateur!GJ180*VLOOKUP('Données projet'!$B$17,Paramètres!$A$1:$I$89,3,0)*0.475*44/12</f>
        <v>0.94839233837131331</v>
      </c>
      <c r="GN180" s="21">
        <f>EXP(-LN(2)/2)*GN179+(1-EXP(-LN(2)/2))/(LN(2)/2)*GH180*GK180*VLOOKUP('Données projet'!$B$17,Paramètres!$A$1:$I$89,3,0)*0.475*44/12</f>
        <v>1.0540118730961893E-16</v>
      </c>
      <c r="GO180" s="21">
        <f t="shared" si="187"/>
        <v>12.403281640672219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84.31577618130467</v>
      </c>
      <c r="T181" s="59">
        <f t="shared" si="142"/>
        <v>527.2140904310653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6.5227612497005127</v>
      </c>
      <c r="AA181" s="21">
        <f>EXP(-LN(2)/25)*AA180+(1-EXP(-LN(2)/25))/(LN(2)/25)*Calculateur!V181*Calculateur!X181*VLOOKUP('Données projet'!$B$9,Paramètres!$A$1:$I$89,3,0)*0.475*44/12</f>
        <v>0.58213421861374548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7.1048954683142584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-2.8421709430404007E-13</v>
      </c>
      <c r="AJ181" s="13">
        <f>AI181*VLOOKUP('Données projet'!$B$10,Paramètres!$A$1:$I$89,3,0)*VLOOKUP('Données projet'!$B$10,Paramètres!$A$1:$I$89,5,0)</f>
        <v>-2.5715962692629546E-13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297.90790572649428</v>
      </c>
      <c r="AO181" s="59">
        <f t="shared" si="144"/>
        <v>142.96889776844506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138.98739294726025</v>
      </c>
      <c r="AV181" s="21">
        <f>EXP(-LN(2)/25)*AV180+(1-EXP(-LN(2)/25))/(LN(2)/25)*Calculateur!AQ181*Calculateur!AS181*VLOOKUP('Données projet'!$B$10,Paramètres!$A$1:$I$89,3,0)*0.475*44/12</f>
        <v>20.332676194740962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159.32006914200122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-2.8421709430404007E-13</v>
      </c>
      <c r="BE181" s="13">
        <f>BD181*VLOOKUP('Données projet'!$B$11,Paramètres!$A$1:$I$89,3,0)*VLOOKUP('Données projet'!$B$11,Paramètres!$A$1:$I$89,5,0)</f>
        <v>-2.8819613362429665E-13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345.3294887586967</v>
      </c>
      <c r="BJ181" s="59">
        <f t="shared" si="146"/>
        <v>164.23448598618114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155.76173347537787</v>
      </c>
      <c r="BQ181" s="21">
        <f>EXP(-LN(2)/25)*BQ180+(1-EXP(-LN(2)/25))/(LN(2)/25)*Calculateur!BL181*Calculateur!BN181*VLOOKUP('Données projet'!$B$11,Paramètres!$A$1:$I$89,3,0)*0.475*44/12</f>
        <v>22.786619873416594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178.54835334879445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289.07218105343333</v>
      </c>
      <c r="CE181" s="59">
        <f t="shared" si="148"/>
        <v>217.57508587672368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23.841374781419688</v>
      </c>
      <c r="CL181" s="21">
        <f>EXP(-LN(2)/25)*CL180+(1-EXP(-LN(2)/25))/(LN(2)/25)*Calculateur!CG181*Calculateur!CI181*VLOOKUP('Données projet'!$B$12,Paramètres!$A$1:$I$89,3,0)*0.475*44/12</f>
        <v>4.9225002332590497</v>
      </c>
      <c r="CM181" s="21">
        <f>EXP(-LN(2)/2)*CM180+(1-EXP(-LN(2)/2))/(LN(2)/2)*CG181*CJ181*VLOOKUP('Données projet'!$B$12,Paramètres!$A$1:$I$89,3,0)*0.475*44/12</f>
        <v>1.3769963308166444E-13</v>
      </c>
      <c r="CN181" s="22">
        <f t="shared" si="172"/>
        <v>28.763875014678877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1.7053025658242404E-13</v>
      </c>
      <c r="CU181" s="17">
        <f>CT181*VLOOKUP('Données projet'!$B$13,Paramètres!$A$1:$I$89,3,0)*VLOOKUP('Données projet'!$B$13,Paramètres!$A$1:$I$89,5,0)</f>
        <v>1.4897523215040567E-13</v>
      </c>
      <c r="CV181" s="13">
        <f t="shared" si="173"/>
        <v>2.136562777003313E-12</v>
      </c>
      <c r="CW181" s="20">
        <f t="shared" si="174"/>
        <v>3.9806453659427267E-12</v>
      </c>
      <c r="CX181" s="59">
        <f t="shared" si="122"/>
        <v>293.33333333333729</v>
      </c>
      <c r="CY181" s="59">
        <f ca="1">AVERAGE(OFFSET($CX$3,0,0,'Données projet'!$E$13+1,1))-AVERAGE(OFFSET($H$3,0,0,'Données projet'!$E$13+1,1))</f>
        <v>237.8483058552178</v>
      </c>
      <c r="CZ181" s="59">
        <f t="shared" si="150"/>
        <v>313.36201272119723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10.325737851790945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2.2865381236258018E-15</v>
      </c>
      <c r="DI181" s="22">
        <f t="shared" si="175"/>
        <v>10.325737851790947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-2.8421709430404007E-13</v>
      </c>
      <c r="DP181" s="17">
        <f>DO181*VLOOKUP('Données projet'!$B$14,Paramètres!$A$1:$I$89,3,0)*VLOOKUP('Données projet'!$B$14,Paramètres!$A$1:$I$89,5,0)</f>
        <v>-2.7489477361086758E-13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325.01961068962373</v>
      </c>
      <c r="DU181" s="59">
        <f t="shared" si="152"/>
        <v>155.12737608540039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148.57273039189886</v>
      </c>
      <c r="EB181" s="21">
        <f>EXP(-LN(2)/25)*EB180+(1-EXP(-LN(2)/25))/(LN(2)/25)*Calculateur!DW181*Calculateur!DY181*VLOOKUP('Données projet'!$B$14,Paramètres!$A$1:$I$89,3,0)*0.475*44/12</f>
        <v>21.734929725412748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170.3076601173116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-1.7053025658242404E-13</v>
      </c>
      <c r="EK181" s="17">
        <f>EJ181*VLOOKUP('Données projet'!$B$15,Paramètres!$A$1:$I$89,3,0)*VLOOKUP('Données projet'!$B$15,Paramètres!$A$1:$I$89,5,0)</f>
        <v>-1.1439169611549005E-13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178.09619481964575</v>
      </c>
      <c r="EP181" s="59">
        <f t="shared" si="154"/>
        <v>178.65167777495174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12.853068260081088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6.232449221648781E-14</v>
      </c>
      <c r="EY181" s="22">
        <f t="shared" si="181"/>
        <v>12.85306826008115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-1.3567387213697657E-13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219.43439115440339</v>
      </c>
      <c r="FK181" s="59">
        <f t="shared" si="156"/>
        <v>217.8880462742099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15.244336773584555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7.3919746582346054E-14</v>
      </c>
      <c r="FT181" s="22">
        <f t="shared" si="184"/>
        <v>15.24433677358463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191.77102466144095</v>
      </c>
      <c r="GF181" s="59">
        <f t="shared" si="158"/>
        <v>205.57161411620217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11.230265909875371</v>
      </c>
      <c r="GM181" s="21">
        <f>EXP(-LN(2)/25)*GM180+(1-EXP(-LN(2)/25))/(LN(2)/25)*Calculateur!GH181*Calculateur!GJ181*VLOOKUP('Données projet'!$B$17,Paramètres!$A$1:$I$89,3,0)*0.475*44/12</f>
        <v>0.92245850000476426</v>
      </c>
      <c r="GN181" s="21">
        <f>EXP(-LN(2)/2)*GN180+(1-EXP(-LN(2)/2))/(LN(2)/2)*GH181*GK181*VLOOKUP('Données projet'!$B$17,Paramètres!$A$1:$I$89,3,0)*0.475*44/12</f>
        <v>7.452989429174502E-17</v>
      </c>
      <c r="GO181" s="21">
        <f t="shared" si="187"/>
        <v>12.152724409880134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84.31577618130467</v>
      </c>
      <c r="T182" s="59">
        <f t="shared" si="142"/>
        <v>527.2140904310653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6.3948538800854049</v>
      </c>
      <c r="AA182" s="21">
        <f>EXP(-LN(2)/25)*AA181+(1-EXP(-LN(2)/25))/(LN(2)/25)*Calculateur!V182*Calculateur!X182*VLOOKUP('Données projet'!$B$9,Paramètres!$A$1:$I$89,3,0)*0.475*44/12</f>
        <v>0.56621572779264451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6.9610696078780494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-2.8421709430404007E-13</v>
      </c>
      <c r="AJ182" s="13">
        <f>AI182*VLOOKUP('Données projet'!$B$10,Paramètres!$A$1:$I$89,3,0)*VLOOKUP('Données projet'!$B$10,Paramètres!$A$1:$I$89,5,0)</f>
        <v>-2.5715962692629546E-13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297.90790572649428</v>
      </c>
      <c r="AO182" s="59">
        <f t="shared" si="144"/>
        <v>142.96889776844506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136.26193494550344</v>
      </c>
      <c r="AV182" s="21">
        <f>EXP(-LN(2)/25)*AV181+(1-EXP(-LN(2)/25))/(LN(2)/25)*Calculateur!AQ182*Calculateur!AS182*VLOOKUP('Données projet'!$B$10,Paramètres!$A$1:$I$89,3,0)*0.475*44/12</f>
        <v>19.776678094946799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156.03861304045023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-2.8421709430404007E-13</v>
      </c>
      <c r="BE182" s="13">
        <f>BD182*VLOOKUP('Données projet'!$B$11,Paramètres!$A$1:$I$89,3,0)*VLOOKUP('Données projet'!$B$11,Paramètres!$A$1:$I$89,5,0)</f>
        <v>-2.8819613362429665E-13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345.3294887586967</v>
      </c>
      <c r="BJ182" s="59">
        <f t="shared" si="146"/>
        <v>164.23448598618114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152.70734088720212</v>
      </c>
      <c r="BQ182" s="21">
        <f>EXP(-LN(2)/25)*BQ181+(1-EXP(-LN(2)/25))/(LN(2)/25)*Calculateur!BL182*Calculateur!BN182*VLOOKUP('Données projet'!$B$11,Paramètres!$A$1:$I$89,3,0)*0.475*44/12</f>
        <v>22.163518554681758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174.87085944188388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289.07218105343333</v>
      </c>
      <c r="CE182" s="59">
        <f t="shared" si="148"/>
        <v>217.57508587672368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23.373859963758782</v>
      </c>
      <c r="CL182" s="21">
        <f>EXP(-LN(2)/25)*CL181+(1-EXP(-LN(2)/25))/(LN(2)/25)*Calculateur!CG182*Calculateur!CI182*VLOOKUP('Données projet'!$B$12,Paramètres!$A$1:$I$89,3,0)*0.475*44/12</f>
        <v>4.787894205517544</v>
      </c>
      <c r="CM182" s="21">
        <f>EXP(-LN(2)/2)*CM181+(1-EXP(-LN(2)/2))/(LN(2)/2)*CG182*CJ182*VLOOKUP('Données projet'!$B$12,Paramètres!$A$1:$I$89,3,0)*0.475*44/12</f>
        <v>9.7368344318944379E-14</v>
      </c>
      <c r="CN182" s="22">
        <f t="shared" si="172"/>
        <v>28.161754169276424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1.7053025658242404E-13</v>
      </c>
      <c r="CU182" s="17">
        <f>CT182*VLOOKUP('Données projet'!$B$13,Paramètres!$A$1:$I$89,3,0)*VLOOKUP('Données projet'!$B$13,Paramètres!$A$1:$I$89,5,0)</f>
        <v>1.4897523215040567E-13</v>
      </c>
      <c r="CV182" s="13">
        <f t="shared" si="173"/>
        <v>2.136562777003313E-12</v>
      </c>
      <c r="CW182" s="20">
        <f t="shared" si="174"/>
        <v>3.9806453659427267E-12</v>
      </c>
      <c r="CX182" s="59">
        <f t="shared" si="122"/>
        <v>293.33333333333729</v>
      </c>
      <c r="CY182" s="59">
        <f ca="1">AVERAGE(OFFSET($CX$3,0,0,'Données projet'!$E$13+1,1))-AVERAGE(OFFSET($H$3,0,0,'Données projet'!$E$13+1,1))</f>
        <v>237.8483058552178</v>
      </c>
      <c r="CZ182" s="59">
        <f t="shared" si="150"/>
        <v>313.36201272119723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10.12325643059553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1.6168266126573688E-15</v>
      </c>
      <c r="DI182" s="22">
        <f t="shared" si="175"/>
        <v>10.123256430595532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-2.8421709430404007E-13</v>
      </c>
      <c r="DP182" s="17">
        <f>DO182*VLOOKUP('Données projet'!$B$14,Paramètres!$A$1:$I$89,3,0)*VLOOKUP('Données projet'!$B$14,Paramètres!$A$1:$I$89,5,0)</f>
        <v>-2.7489477361086758E-13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325.01961068962373</v>
      </c>
      <c r="DU182" s="59">
        <f t="shared" si="152"/>
        <v>155.12737608540039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145.65930976933123</v>
      </c>
      <c r="EB182" s="21">
        <f>EXP(-LN(2)/25)*EB181+(1-EXP(-LN(2)/25))/(LN(2)/25)*Calculateur!DW182*Calculateur!DY182*VLOOKUP('Données projet'!$B$14,Paramètres!$A$1:$I$89,3,0)*0.475*44/12</f>
        <v>21.140586929081056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166.79989669841228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-1.7053025658242404E-13</v>
      </c>
      <c r="EK182" s="17">
        <f>EJ182*VLOOKUP('Données projet'!$B$15,Paramètres!$A$1:$I$89,3,0)*VLOOKUP('Données projet'!$B$15,Paramètres!$A$1:$I$89,5,0)</f>
        <v>-1.1439169611549005E-13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178.09619481964575</v>
      </c>
      <c r="EP182" s="59">
        <f t="shared" si="154"/>
        <v>178.65167777495174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12.601027431098441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4.407007108028673E-14</v>
      </c>
      <c r="EY182" s="22">
        <f t="shared" si="181"/>
        <v>12.601027431098485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-1.3567387213697657E-13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219.43439115440339</v>
      </c>
      <c r="FK182" s="59">
        <f t="shared" si="156"/>
        <v>217.8880462742099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14.94540462758188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5.2269154071968016E-14</v>
      </c>
      <c r="FT182" s="22">
        <f t="shared" si="184"/>
        <v>14.945404627581931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191.77102466144095</v>
      </c>
      <c r="GF182" s="59">
        <f t="shared" si="158"/>
        <v>205.57161411620217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11.010047245168559</v>
      </c>
      <c r="GM182" s="21">
        <f>EXP(-LN(2)/25)*GM181+(1-EXP(-LN(2)/25))/(LN(2)/25)*Calculateur!GH182*Calculateur!GJ182*VLOOKUP('Données projet'!$B$17,Paramètres!$A$1:$I$89,3,0)*0.475*44/12</f>
        <v>0.89723382381214978</v>
      </c>
      <c r="GN182" s="21">
        <f>EXP(-LN(2)/2)*GN181+(1-EXP(-LN(2)/2))/(LN(2)/2)*GH182*GK182*VLOOKUP('Données projet'!$B$17,Paramètres!$A$1:$I$89,3,0)*0.475*44/12</f>
        <v>5.2700593654809464E-17</v>
      </c>
      <c r="GO182" s="21">
        <f t="shared" si="187"/>
        <v>11.907281068980708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84.31577618130467</v>
      </c>
      <c r="T183" s="59">
        <f t="shared" si="142"/>
        <v>527.2140904310653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6.2694546959726569</v>
      </c>
      <c r="AA183" s="21">
        <f>EXP(-LN(2)/25)*AA182+(1-EXP(-LN(2)/25))/(LN(2)/25)*Calculateur!V183*Calculateur!X183*VLOOKUP('Données projet'!$B$9,Paramètres!$A$1:$I$89,3,0)*0.475*44/12</f>
        <v>0.55073252894016367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6.8201872249128206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-2.8421709430404007E-13</v>
      </c>
      <c r="AJ183" s="13">
        <f>AI183*VLOOKUP('Données projet'!$B$10,Paramètres!$A$1:$I$89,3,0)*VLOOKUP('Données projet'!$B$10,Paramètres!$A$1:$I$89,5,0)</f>
        <v>-2.5715962692629546E-13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297.90790572649428</v>
      </c>
      <c r="AO183" s="59">
        <f t="shared" si="144"/>
        <v>142.96889776844506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133.58992151279585</v>
      </c>
      <c r="AV183" s="21">
        <f>EXP(-LN(2)/25)*AV182+(1-EXP(-LN(2)/25))/(LN(2)/25)*Calculateur!AQ183*Calculateur!AS183*VLOOKUP('Données projet'!$B$10,Paramètres!$A$1:$I$89,3,0)*0.475*44/12</f>
        <v>19.23588379243018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152.82580530522603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-2.8421709430404007E-13</v>
      </c>
      <c r="BE183" s="13">
        <f>BD183*VLOOKUP('Données projet'!$B$11,Paramètres!$A$1:$I$89,3,0)*VLOOKUP('Données projet'!$B$11,Paramètres!$A$1:$I$89,5,0)</f>
        <v>-2.8819613362429665E-13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345.3294887586967</v>
      </c>
      <c r="BJ183" s="59">
        <f t="shared" si="146"/>
        <v>164.23448598618114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149.712843074685</v>
      </c>
      <c r="BQ183" s="21">
        <f>EXP(-LN(2)/25)*BQ182+(1-EXP(-LN(2)/25))/(LN(2)/25)*Calculateur!BL183*Calculateur!BN183*VLOOKUP('Données projet'!$B$11,Paramètres!$A$1:$I$89,3,0)*0.475*44/12</f>
        <v>21.5574559742752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171.2702990489602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289.07218105343333</v>
      </c>
      <c r="CE183" s="59">
        <f t="shared" si="148"/>
        <v>217.57508587672368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22.915512826516323</v>
      </c>
      <c r="CL183" s="21">
        <f>EXP(-LN(2)/25)*CL182+(1-EXP(-LN(2)/25))/(LN(2)/25)*Calculateur!CG183*Calculateur!CI183*VLOOKUP('Données projet'!$B$12,Paramètres!$A$1:$I$89,3,0)*0.475*44/12</f>
        <v>4.6569689866832533</v>
      </c>
      <c r="CM183" s="21">
        <f>EXP(-LN(2)/2)*CM182+(1-EXP(-LN(2)/2))/(LN(2)/2)*CG183*CJ183*VLOOKUP('Données projet'!$B$12,Paramètres!$A$1:$I$89,3,0)*0.475*44/12</f>
        <v>6.884981654083222E-14</v>
      </c>
      <c r="CN183" s="22">
        <f t="shared" si="172"/>
        <v>27.572481813199644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1.7053025658242404E-13</v>
      </c>
      <c r="CU183" s="17">
        <f>CT183*VLOOKUP('Données projet'!$B$13,Paramètres!$A$1:$I$89,3,0)*VLOOKUP('Données projet'!$B$13,Paramètres!$A$1:$I$89,5,0)</f>
        <v>1.4897523215040567E-13</v>
      </c>
      <c r="CV183" s="13">
        <f t="shared" si="173"/>
        <v>2.136562777003313E-12</v>
      </c>
      <c r="CW183" s="20">
        <f t="shared" si="174"/>
        <v>3.9806453659427267E-12</v>
      </c>
      <c r="CX183" s="59">
        <f t="shared" si="122"/>
        <v>293.33333333333729</v>
      </c>
      <c r="CY183" s="59">
        <f ca="1">AVERAGE(OFFSET($CX$3,0,0,'Données projet'!$E$13+1,1))-AVERAGE(OFFSET($H$3,0,0,'Données projet'!$E$13+1,1))</f>
        <v>237.8483058552178</v>
      </c>
      <c r="CZ183" s="59">
        <f t="shared" si="150"/>
        <v>313.36201272119723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9.9247455465682854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1.1432690618129009E-15</v>
      </c>
      <c r="DI183" s="22">
        <f t="shared" si="175"/>
        <v>9.9247455465682872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-2.8421709430404007E-13</v>
      </c>
      <c r="DP183" s="17">
        <f>DO183*VLOOKUP('Données projet'!$B$14,Paramètres!$A$1:$I$89,3,0)*VLOOKUP('Données projet'!$B$14,Paramètres!$A$1:$I$89,5,0)</f>
        <v>-2.7489477361086758E-13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325.01961068962373</v>
      </c>
      <c r="DU183" s="59">
        <f t="shared" si="152"/>
        <v>155.12737608540039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142.80301954816105</v>
      </c>
      <c r="EB183" s="21">
        <f>EXP(-LN(2)/25)*EB182+(1-EXP(-LN(2)/25))/(LN(2)/25)*Calculateur!DW183*Calculateur!DY183*VLOOKUP('Données projet'!$B$14,Paramètres!$A$1:$I$89,3,0)*0.475*44/12</f>
        <v>20.562496467770185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163.36551601593123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-1.7053025658242404E-13</v>
      </c>
      <c r="EK183" s="17">
        <f>EJ183*VLOOKUP('Données projet'!$B$15,Paramètres!$A$1:$I$89,3,0)*VLOOKUP('Données projet'!$B$15,Paramètres!$A$1:$I$89,5,0)</f>
        <v>-1.1439169611549005E-13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178.09619481964575</v>
      </c>
      <c r="EP183" s="59">
        <f t="shared" si="154"/>
        <v>178.65167777495174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12.353928969042418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3.1162246108243905E-14</v>
      </c>
      <c r="EY183" s="22">
        <f t="shared" si="181"/>
        <v>12.35392896904245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-1.3567387213697657E-13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219.43439115440339</v>
      </c>
      <c r="FK183" s="59">
        <f t="shared" si="156"/>
        <v>217.8880462742099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14.652334358631713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3.6959873291173027E-14</v>
      </c>
      <c r="FT183" s="22">
        <f t="shared" si="184"/>
        <v>14.65233435863175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191.77102466144095</v>
      </c>
      <c r="GF183" s="59">
        <f t="shared" si="158"/>
        <v>205.57161411620217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10.794146934156526</v>
      </c>
      <c r="GM183" s="21">
        <f>EXP(-LN(2)/25)*GM182+(1-EXP(-LN(2)/25))/(LN(2)/25)*Calculateur!GH183*Calculateur!GJ183*VLOOKUP('Données projet'!$B$17,Paramètres!$A$1:$I$89,3,0)*0.475*44/12</f>
        <v>0.87269891771653041</v>
      </c>
      <c r="GN183" s="21">
        <f>EXP(-LN(2)/2)*GN182+(1-EXP(-LN(2)/2))/(LN(2)/2)*GH183*GK183*VLOOKUP('Données projet'!$B$17,Paramètres!$A$1:$I$89,3,0)*0.475*44/12</f>
        <v>3.726494714587251E-17</v>
      </c>
      <c r="GO183" s="21">
        <f t="shared" si="187"/>
        <v>11.666845851873056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84.31577618130467</v>
      </c>
      <c r="T184" s="59">
        <f t="shared" si="142"/>
        <v>527.2140904310653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6.1465145133744103</v>
      </c>
      <c r="AA184" s="21">
        <f>EXP(-LN(2)/25)*AA183+(1-EXP(-LN(2)/25))/(LN(2)/25)*Calculateur!V184*Calculateur!X184*VLOOKUP('Données projet'!$B$9,Paramètres!$A$1:$I$89,3,0)*0.475*44/12</f>
        <v>0.53567271897452995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6.68218723234894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-2.8421709430404007E-13</v>
      </c>
      <c r="AJ184" s="13">
        <f>AI184*VLOOKUP('Données projet'!$B$10,Paramètres!$A$1:$I$89,3,0)*VLOOKUP('Données projet'!$B$10,Paramètres!$A$1:$I$89,5,0)</f>
        <v>-2.5715962692629546E-13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297.90790572649428</v>
      </c>
      <c r="AO184" s="59">
        <f t="shared" si="144"/>
        <v>142.96889776844506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130.97030463373639</v>
      </c>
      <c r="AV184" s="21">
        <f>EXP(-LN(2)/25)*AV183+(1-EXP(-LN(2)/25))/(LN(2)/25)*Calculateur!AQ184*Calculateur!AS184*VLOOKUP('Données projet'!$B$10,Paramètres!$A$1:$I$89,3,0)*0.475*44/12</f>
        <v>18.709877538555013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149.68018217229141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-2.8421709430404007E-13</v>
      </c>
      <c r="BE184" s="13">
        <f>BD184*VLOOKUP('Données projet'!$B$11,Paramètres!$A$1:$I$89,3,0)*VLOOKUP('Données projet'!$B$11,Paramètres!$A$1:$I$89,5,0)</f>
        <v>-2.8819613362429665E-13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345.3294887586967</v>
      </c>
      <c r="BJ184" s="59">
        <f t="shared" si="146"/>
        <v>164.23448598618114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146.777065537808</v>
      </c>
      <c r="BQ184" s="21">
        <f>EXP(-LN(2)/25)*BQ183+(1-EXP(-LN(2)/25))/(LN(2)/25)*Calculateur!BL184*Calculateur!BN184*VLOOKUP('Données projet'!$B$11,Paramètres!$A$1:$I$89,3,0)*0.475*44/12</f>
        <v>20.967966207001304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167.7450317448093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289.07218105343333</v>
      </c>
      <c r="CE184" s="59">
        <f t="shared" si="148"/>
        <v>217.57508587672368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22.466153597071042</v>
      </c>
      <c r="CL184" s="21">
        <f>EXP(-LN(2)/25)*CL183+(1-EXP(-LN(2)/25))/(LN(2)/25)*Calculateur!CG184*Calculateur!CI184*VLOOKUP('Données projet'!$B$12,Paramètres!$A$1:$I$89,3,0)*0.475*44/12</f>
        <v>4.5296239248430448</v>
      </c>
      <c r="CM184" s="21">
        <f>EXP(-LN(2)/2)*CM183+(1-EXP(-LN(2)/2))/(LN(2)/2)*CG184*CJ184*VLOOKUP('Données projet'!$B$12,Paramètres!$A$1:$I$89,3,0)*0.475*44/12</f>
        <v>4.8684172159472189E-14</v>
      </c>
      <c r="CN184" s="22">
        <f t="shared" si="172"/>
        <v>26.995777521914135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1.7053025658242404E-13</v>
      </c>
      <c r="CU184" s="17">
        <f>CT184*VLOOKUP('Données projet'!$B$13,Paramètres!$A$1:$I$89,3,0)*VLOOKUP('Données projet'!$B$13,Paramètres!$A$1:$I$89,5,0)</f>
        <v>1.4897523215040567E-13</v>
      </c>
      <c r="CV184" s="13">
        <f t="shared" si="173"/>
        <v>2.136562777003313E-12</v>
      </c>
      <c r="CW184" s="20">
        <f t="shared" si="174"/>
        <v>3.9806453659427267E-12</v>
      </c>
      <c r="CX184" s="59">
        <f t="shared" si="122"/>
        <v>293.33333333333729</v>
      </c>
      <c r="CY184" s="59">
        <f ca="1">AVERAGE(OFFSET($CX$3,0,0,'Données projet'!$E$13+1,1))-AVERAGE(OFFSET($H$3,0,0,'Données projet'!$E$13+1,1))</f>
        <v>237.8483058552178</v>
      </c>
      <c r="CZ184" s="59">
        <f t="shared" si="150"/>
        <v>313.36201272119723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9.7301273398971322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8.0841330632868439E-16</v>
      </c>
      <c r="DI184" s="22">
        <f t="shared" si="175"/>
        <v>9.7301273398971322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-2.8421709430404007E-13</v>
      </c>
      <c r="DP184" s="17">
        <f>DO184*VLOOKUP('Données projet'!$B$14,Paramètres!$A$1:$I$89,3,0)*VLOOKUP('Données projet'!$B$14,Paramètres!$A$1:$I$89,5,0)</f>
        <v>-2.7489477361086758E-13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325.01961068962373</v>
      </c>
      <c r="DU184" s="59">
        <f t="shared" si="152"/>
        <v>155.12737608540039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140.002739436063</v>
      </c>
      <c r="EB184" s="21">
        <f>EXP(-LN(2)/25)*EB183+(1-EXP(-LN(2)/25))/(LN(2)/25)*Calculateur!DW184*Calculateur!DY184*VLOOKUP('Données projet'!$B$14,Paramètres!$A$1:$I$89,3,0)*0.475*44/12</f>
        <v>20.000213920524317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160.00295335658731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-1.7053025658242404E-13</v>
      </c>
      <c r="EK184" s="17">
        <f>EJ184*VLOOKUP('Données projet'!$B$15,Paramètres!$A$1:$I$89,3,0)*VLOOKUP('Données projet'!$B$15,Paramètres!$A$1:$I$89,5,0)</f>
        <v>-1.1439169611549005E-13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178.09619481964575</v>
      </c>
      <c r="EP184" s="59">
        <f t="shared" si="154"/>
        <v>178.65167777495174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12.111675957112132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2.2035035540143365E-14</v>
      </c>
      <c r="EY184" s="22">
        <f t="shared" si="181"/>
        <v>12.111675957112153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-1.3567387213697657E-13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219.43439115440339</v>
      </c>
      <c r="FK184" s="59">
        <f t="shared" si="156"/>
        <v>217.8880462742099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14.365011018900443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2.6134577035984008E-14</v>
      </c>
      <c r="FT184" s="22">
        <f t="shared" si="184"/>
        <v>14.36501101890047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191.77102466144095</v>
      </c>
      <c r="GF184" s="59">
        <f t="shared" si="158"/>
        <v>205.57161411620217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10.582480296557252</v>
      </c>
      <c r="GM184" s="21">
        <f>EXP(-LN(2)/25)*GM183+(1-EXP(-LN(2)/25))/(LN(2)/25)*Calculateur!GH184*Calculateur!GJ184*VLOOKUP('Données projet'!$B$17,Paramètres!$A$1:$I$89,3,0)*0.475*44/12</f>
        <v>0.84883491991833038</v>
      </c>
      <c r="GN184" s="21">
        <f>EXP(-LN(2)/2)*GN183+(1-EXP(-LN(2)/2))/(LN(2)/2)*GH184*GK184*VLOOKUP('Données projet'!$B$17,Paramètres!$A$1:$I$89,3,0)*0.475*44/12</f>
        <v>2.6350296827404732E-17</v>
      </c>
      <c r="GO184" s="21">
        <f t="shared" si="187"/>
        <v>11.431315216475582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84.31577618130467</v>
      </c>
      <c r="T185" s="59">
        <f t="shared" si="142"/>
        <v>527.2140904310653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6.0259851127708082</v>
      </c>
      <c r="AA185" s="21">
        <f>EXP(-LN(2)/25)*AA184+(1-EXP(-LN(2)/25))/(LN(2)/25)*Calculateur!V185*Calculateur!X185*VLOOKUP('Données projet'!$B$9,Paramètres!$A$1:$I$89,3,0)*0.475*44/12</f>
        <v>0.52102472030436742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6.547009833075176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-2.8421709430404007E-13</v>
      </c>
      <c r="AJ185" s="13">
        <f>AI185*VLOOKUP('Données projet'!$B$10,Paramètres!$A$1:$I$89,3,0)*VLOOKUP('Données projet'!$B$10,Paramètres!$A$1:$I$89,5,0)</f>
        <v>-2.5715962692629546E-13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297.90790572649428</v>
      </c>
      <c r="AO185" s="59">
        <f t="shared" si="144"/>
        <v>142.96889776844506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128.40205684386675</v>
      </c>
      <c r="AV185" s="21">
        <f>EXP(-LN(2)/25)*AV184+(1-EXP(-LN(2)/25))/(LN(2)/25)*Calculateur!AQ185*Calculateur!AS185*VLOOKUP('Données projet'!$B$10,Paramètres!$A$1:$I$89,3,0)*0.475*44/12</f>
        <v>18.19825495335353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146.60031179722029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-2.8421709430404007E-13</v>
      </c>
      <c r="BE185" s="13">
        <f>BD185*VLOOKUP('Données projet'!$B$11,Paramètres!$A$1:$I$89,3,0)*VLOOKUP('Données projet'!$B$11,Paramètres!$A$1:$I$89,5,0)</f>
        <v>-2.8819613362429665E-13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345.3294887586967</v>
      </c>
      <c r="BJ185" s="59">
        <f t="shared" si="146"/>
        <v>164.23448598618114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143.8988568077817</v>
      </c>
      <c r="BQ185" s="21">
        <f>EXP(-LN(2)/25)*BQ184+(1-EXP(-LN(2)/25))/(LN(2)/25)*Calculateur!BL185*Calculateur!BN185*VLOOKUP('Données projet'!$B$11,Paramètres!$A$1:$I$89,3,0)*0.475*44/12</f>
        <v>20.394596068413435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164.29345287619515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289.07218105343333</v>
      </c>
      <c r="CE185" s="59">
        <f t="shared" si="148"/>
        <v>217.57508587672368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22.025606028033113</v>
      </c>
      <c r="CL185" s="21">
        <f>EXP(-LN(2)/25)*CL184+(1-EXP(-LN(2)/25))/(LN(2)/25)*Calculateur!CG185*Calculateur!CI185*VLOOKUP('Données projet'!$B$12,Paramètres!$A$1:$I$89,3,0)*0.475*44/12</f>
        <v>4.4057611204156419</v>
      </c>
      <c r="CM185" s="21">
        <f>EXP(-LN(2)/2)*CM184+(1-EXP(-LN(2)/2))/(LN(2)/2)*CG185*CJ185*VLOOKUP('Données projet'!$B$12,Paramètres!$A$1:$I$89,3,0)*0.475*44/12</f>
        <v>3.442490827041611E-14</v>
      </c>
      <c r="CN185" s="22">
        <f t="shared" si="172"/>
        <v>26.431367148448793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1.7053025658242404E-13</v>
      </c>
      <c r="CU185" s="17">
        <f>CT185*VLOOKUP('Données projet'!$B$13,Paramètres!$A$1:$I$89,3,0)*VLOOKUP('Données projet'!$B$13,Paramètres!$A$1:$I$89,5,0)</f>
        <v>1.4897523215040567E-13</v>
      </c>
      <c r="CV185" s="13">
        <f t="shared" si="173"/>
        <v>2.136562777003313E-12</v>
      </c>
      <c r="CW185" s="20">
        <f t="shared" si="174"/>
        <v>3.9806453659427267E-12</v>
      </c>
      <c r="CX185" s="59">
        <f t="shared" si="122"/>
        <v>293.33333333333729</v>
      </c>
      <c r="CY185" s="59">
        <f ca="1">AVERAGE(OFFSET($CX$3,0,0,'Données projet'!$E$13+1,1))-AVERAGE(OFFSET($H$3,0,0,'Données projet'!$E$13+1,1))</f>
        <v>237.8483058552178</v>
      </c>
      <c r="CZ185" s="59">
        <f t="shared" si="150"/>
        <v>313.36201272119723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9.5393254775534153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5.7163453090645044E-16</v>
      </c>
      <c r="DI185" s="22">
        <f t="shared" si="175"/>
        <v>9.5393254775534153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-2.8421709430404007E-13</v>
      </c>
      <c r="DP185" s="17">
        <f>DO185*VLOOKUP('Données projet'!$B$14,Paramètres!$A$1:$I$89,3,0)*VLOOKUP('Données projet'!$B$14,Paramètres!$A$1:$I$89,5,0)</f>
        <v>-2.7489477361086758E-13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325.01961068962373</v>
      </c>
      <c r="DU185" s="59">
        <f t="shared" si="152"/>
        <v>155.12737608540039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137.25737110896097</v>
      </c>
      <c r="EB185" s="21">
        <f>EXP(-LN(2)/25)*EB184+(1-EXP(-LN(2)/25))/(LN(2)/25)*Calculateur!DW185*Calculateur!DY185*VLOOKUP('Données projet'!$B$14,Paramètres!$A$1:$I$89,3,0)*0.475*44/12</f>
        <v>19.453307019102041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156.71067812806302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-1.7053025658242404E-13</v>
      </c>
      <c r="EK185" s="17">
        <f>EJ185*VLOOKUP('Données projet'!$B$15,Paramètres!$A$1:$I$89,3,0)*VLOOKUP('Données projet'!$B$15,Paramètres!$A$1:$I$89,5,0)</f>
        <v>-1.1439169611549005E-13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178.09619481964575</v>
      </c>
      <c r="EP185" s="59">
        <f t="shared" si="154"/>
        <v>178.65167777495174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11.874173378986052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1.5581123054121953E-14</v>
      </c>
      <c r="EY185" s="22">
        <f t="shared" si="181"/>
        <v>11.874173378986068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-1.3567387213697657E-13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219.43439115440339</v>
      </c>
      <c r="FK185" s="59">
        <f t="shared" si="156"/>
        <v>217.8880462742099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14.083321914611371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1.8479936645586513E-14</v>
      </c>
      <c r="FT185" s="22">
        <f t="shared" si="184"/>
        <v>14.083321914611389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191.77102466144095</v>
      </c>
      <c r="GF185" s="59">
        <f t="shared" si="158"/>
        <v>205.57161411620217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10.374964312617399</v>
      </c>
      <c r="GM185" s="21">
        <f>EXP(-LN(2)/25)*GM184+(1-EXP(-LN(2)/25))/(LN(2)/25)*Calculateur!GH185*Calculateur!GJ185*VLOOKUP('Données projet'!$B$17,Paramètres!$A$1:$I$89,3,0)*0.475*44/12</f>
        <v>0.82562348439487521</v>
      </c>
      <c r="GN185" s="21">
        <f>EXP(-LN(2)/2)*GN184+(1-EXP(-LN(2)/2))/(LN(2)/2)*GH185*GK185*VLOOKUP('Données projet'!$B$17,Paramètres!$A$1:$I$89,3,0)*0.475*44/12</f>
        <v>1.8632473572936255E-17</v>
      </c>
      <c r="GO185" s="21">
        <f t="shared" si="187"/>
        <v>11.200587797012274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84.31577618130467</v>
      </c>
      <c r="T186" s="59">
        <f t="shared" si="142"/>
        <v>527.2140904310653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5.9078192201973669</v>
      </c>
      <c r="AA186" s="21">
        <f>EXP(-LN(2)/25)*AA185+(1-EXP(-LN(2)/25))/(LN(2)/25)*Calculateur!V186*Calculateur!X186*VLOOKUP('Données projet'!$B$9,Paramètres!$A$1:$I$89,3,0)*0.475*44/12</f>
        <v>0.50677727192814526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6.4145964921255123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-2.8421709430404007E-13</v>
      </c>
      <c r="AJ186" s="13">
        <f>AI186*VLOOKUP('Données projet'!$B$10,Paramètres!$A$1:$I$89,3,0)*VLOOKUP('Données projet'!$B$10,Paramètres!$A$1:$I$89,5,0)</f>
        <v>-2.5715962692629546E-13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297.90790572649428</v>
      </c>
      <c r="AO186" s="59">
        <f t="shared" si="144"/>
        <v>142.96889776844506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125.88417082667998</v>
      </c>
      <c r="AV186" s="21">
        <f>EXP(-LN(2)/25)*AV185+(1-EXP(-LN(2)/25))/(LN(2)/25)*Calculateur!AQ186*Calculateur!AS186*VLOOKUP('Données projet'!$B$10,Paramètres!$A$1:$I$89,3,0)*0.475*44/12</f>
        <v>17.700622714649441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143.58479354132942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-2.8421709430404007E-13</v>
      </c>
      <c r="BE186" s="13">
        <f>BD186*VLOOKUP('Données projet'!$B$11,Paramètres!$A$1:$I$89,3,0)*VLOOKUP('Données projet'!$B$11,Paramètres!$A$1:$I$89,5,0)</f>
        <v>-2.8819613362429665E-13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345.3294887586967</v>
      </c>
      <c r="BJ186" s="59">
        <f t="shared" si="146"/>
        <v>164.23448598618114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141.07708799541723</v>
      </c>
      <c r="BQ186" s="21">
        <f>EXP(-LN(2)/25)*BQ185+(1-EXP(-LN(2)/25))/(LN(2)/25)*Calculateur!BL186*Calculateur!BN186*VLOOKUP('Données projet'!$B$11,Paramètres!$A$1:$I$89,3,0)*0.475*44/12</f>
        <v>19.836904766417476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160.91399276183472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289.07218105343333</v>
      </c>
      <c r="CE186" s="59">
        <f t="shared" si="148"/>
        <v>217.57508587672368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21.593697328116534</v>
      </c>
      <c r="CL186" s="21">
        <f>EXP(-LN(2)/25)*CL185+(1-EXP(-LN(2)/25))/(LN(2)/25)*Calculateur!CG186*Calculateur!CI186*VLOOKUP('Données projet'!$B$12,Paramètres!$A$1:$I$89,3,0)*0.475*44/12</f>
        <v>4.2852853508889686</v>
      </c>
      <c r="CM186" s="21">
        <f>EXP(-LN(2)/2)*CM185+(1-EXP(-LN(2)/2))/(LN(2)/2)*CG186*CJ186*VLOOKUP('Données projet'!$B$12,Paramètres!$A$1:$I$89,3,0)*0.475*44/12</f>
        <v>2.4342086079736095E-14</v>
      </c>
      <c r="CN186" s="22">
        <f t="shared" si="172"/>
        <v>25.878982679005528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1.7053025658242404E-13</v>
      </c>
      <c r="CU186" s="17">
        <f>CT186*VLOOKUP('Données projet'!$B$13,Paramètres!$A$1:$I$89,3,0)*VLOOKUP('Données projet'!$B$13,Paramètres!$A$1:$I$89,5,0)</f>
        <v>1.4897523215040567E-13</v>
      </c>
      <c r="CV186" s="13">
        <f t="shared" si="173"/>
        <v>2.136562777003313E-12</v>
      </c>
      <c r="CW186" s="20">
        <f t="shared" si="174"/>
        <v>3.9806453659427267E-12</v>
      </c>
      <c r="CX186" s="59">
        <f t="shared" si="122"/>
        <v>293.33333333333729</v>
      </c>
      <c r="CY186" s="59">
        <f ca="1">AVERAGE(OFFSET($CX$3,0,0,'Données projet'!$E$13+1,1))-AVERAGE(OFFSET($H$3,0,0,'Données projet'!$E$13+1,1))</f>
        <v>237.8483058552178</v>
      </c>
      <c r="CZ186" s="59">
        <f t="shared" si="150"/>
        <v>313.36201272119723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9.3522651233526126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4.042066531643422E-16</v>
      </c>
      <c r="DI186" s="22">
        <f t="shared" si="175"/>
        <v>9.3522651233526126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-2.8421709430404007E-13</v>
      </c>
      <c r="DP186" s="17">
        <f>DO186*VLOOKUP('Données projet'!$B$14,Paramètres!$A$1:$I$89,3,0)*VLOOKUP('Données projet'!$B$14,Paramètres!$A$1:$I$89,5,0)</f>
        <v>-2.7489477361086758E-13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325.01961068962373</v>
      </c>
      <c r="DU186" s="59">
        <f t="shared" si="152"/>
        <v>155.12737608540039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134.5658377802441</v>
      </c>
      <c r="EB186" s="21">
        <f>EXP(-LN(2)/25)*EB185+(1-EXP(-LN(2)/25))/(LN(2)/25)*Calculateur!DW186*Calculateur!DY186*VLOOKUP('Données projet'!$B$14,Paramètres!$A$1:$I$89,3,0)*0.475*44/12</f>
        <v>18.921355315659742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153.48719309590385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-1.7053025658242404E-13</v>
      </c>
      <c r="EK186" s="17">
        <f>EJ186*VLOOKUP('Données projet'!$B$15,Paramètres!$A$1:$I$89,3,0)*VLOOKUP('Données projet'!$B$15,Paramètres!$A$1:$I$89,5,0)</f>
        <v>-1.1439169611549005E-13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178.09619481964575</v>
      </c>
      <c r="EP186" s="59">
        <f t="shared" si="154"/>
        <v>178.65167777495174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11.641328081554756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1.1017517770071683E-14</v>
      </c>
      <c r="EY186" s="22">
        <f t="shared" si="181"/>
        <v>11.641328081554766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-1.3567387213697657E-13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219.43439115440339</v>
      </c>
      <c r="FK186" s="59">
        <f t="shared" si="156"/>
        <v>217.8880462742099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13.807156561844021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1.3067288517992004E-14</v>
      </c>
      <c r="FT186" s="22">
        <f t="shared" si="184"/>
        <v>13.807156561844034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191.77102466144095</v>
      </c>
      <c r="GF186" s="59">
        <f t="shared" si="158"/>
        <v>205.57161411620217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10.171517590550355</v>
      </c>
      <c r="GM186" s="21">
        <f>EXP(-LN(2)/25)*GM185+(1-EXP(-LN(2)/25))/(LN(2)/25)*Calculateur!GH186*Calculateur!GJ186*VLOOKUP('Données projet'!$B$17,Paramètres!$A$1:$I$89,3,0)*0.475*44/12</f>
        <v>0.80304676679644527</v>
      </c>
      <c r="GN186" s="21">
        <f>EXP(-LN(2)/2)*GN185+(1-EXP(-LN(2)/2))/(LN(2)/2)*GH186*GK186*VLOOKUP('Données projet'!$B$17,Paramètres!$A$1:$I$89,3,0)*0.475*44/12</f>
        <v>1.3175148413702366E-17</v>
      </c>
      <c r="GO186" s="21">
        <f t="shared" si="187"/>
        <v>10.9745643573468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84.31577618130467</v>
      </c>
      <c r="T187" s="59">
        <f t="shared" si="142"/>
        <v>527.2140904310653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5.7919704887032131</v>
      </c>
      <c r="AA187" s="21">
        <f>EXP(-LN(2)/25)*AA186+(1-EXP(-LN(2)/25))/(LN(2)/25)*Calculateur!V187*Calculateur!X187*VLOOKUP('Données projet'!$B$9,Paramètres!$A$1:$I$89,3,0)*0.475*44/12</f>
        <v>0.49291942077701167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6.2848899094802251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-2.8421709430404007E-13</v>
      </c>
      <c r="AJ187" s="13">
        <f>AI187*VLOOKUP('Données projet'!$B$10,Paramètres!$A$1:$I$89,3,0)*VLOOKUP('Données projet'!$B$10,Paramètres!$A$1:$I$89,5,0)</f>
        <v>-2.5715962692629546E-13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297.90790572649428</v>
      </c>
      <c r="AO187" s="59">
        <f t="shared" si="144"/>
        <v>142.96889776844506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123.41565901853141</v>
      </c>
      <c r="AV187" s="21">
        <f>EXP(-LN(2)/25)*AV186+(1-EXP(-LN(2)/25))/(LN(2)/25)*Calculateur!AQ187*Calculateur!AS187*VLOOKUP('Données projet'!$B$10,Paramètres!$A$1:$I$89,3,0)*0.475*44/12</f>
        <v>17.216598255682058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140.63225727421349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-2.8421709430404007E-13</v>
      </c>
      <c r="BE187" s="13">
        <f>BD187*VLOOKUP('Données projet'!$B$11,Paramètres!$A$1:$I$89,3,0)*VLOOKUP('Données projet'!$B$11,Paramètres!$A$1:$I$89,5,0)</f>
        <v>-2.8819613362429665E-13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345.3294887586967</v>
      </c>
      <c r="BJ187" s="59">
        <f t="shared" si="146"/>
        <v>164.23448598618114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138.31065234835418</v>
      </c>
      <c r="BQ187" s="21">
        <f>EXP(-LN(2)/25)*BQ186+(1-EXP(-LN(2)/25))/(LN(2)/25)*Calculateur!BL187*Calculateur!BN187*VLOOKUP('Données projet'!$B$11,Paramètres!$A$1:$I$89,3,0)*0.475*44/12</f>
        <v>19.294463562402306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157.6051159107565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289.07218105343333</v>
      </c>
      <c r="CE187" s="59">
        <f t="shared" si="148"/>
        <v>217.57508587672368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21.170258094367025</v>
      </c>
      <c r="CL187" s="21">
        <f>EXP(-LN(2)/25)*CL186+(1-EXP(-LN(2)/25))/(LN(2)/25)*Calculateur!CG187*Calculateur!CI187*VLOOKUP('Données projet'!$B$12,Paramètres!$A$1:$I$89,3,0)*0.475*44/12</f>
        <v>4.168103997615547</v>
      </c>
      <c r="CM187" s="21">
        <f>EXP(-LN(2)/2)*CM186+(1-EXP(-LN(2)/2))/(LN(2)/2)*CG187*CJ187*VLOOKUP('Données projet'!$B$12,Paramètres!$A$1:$I$89,3,0)*0.475*44/12</f>
        <v>1.7212454135208055E-14</v>
      </c>
      <c r="CN187" s="22">
        <f t="shared" si="172"/>
        <v>25.338362091982589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1.7053025658242404E-13</v>
      </c>
      <c r="CU187" s="17">
        <f>CT187*VLOOKUP('Données projet'!$B$13,Paramètres!$A$1:$I$89,3,0)*VLOOKUP('Données projet'!$B$13,Paramètres!$A$1:$I$89,5,0)</f>
        <v>1.4897523215040567E-13</v>
      </c>
      <c r="CV187" s="13">
        <f t="shared" si="173"/>
        <v>2.136562777003313E-12</v>
      </c>
      <c r="CW187" s="20">
        <f t="shared" si="174"/>
        <v>3.9806453659427267E-12</v>
      </c>
      <c r="CX187" s="59">
        <f t="shared" si="122"/>
        <v>293.33333333333729</v>
      </c>
      <c r="CY187" s="59">
        <f ca="1">AVERAGE(OFFSET($CX$3,0,0,'Données projet'!$E$13+1,1))-AVERAGE(OFFSET($H$3,0,0,'Données projet'!$E$13+1,1))</f>
        <v>237.8483058552178</v>
      </c>
      <c r="CZ187" s="59">
        <f t="shared" si="150"/>
        <v>313.36201272119723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9.1688729086021379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2.8581726545322522E-16</v>
      </c>
      <c r="DI187" s="22">
        <f t="shared" si="175"/>
        <v>9.1688729086021379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-2.8421709430404007E-13</v>
      </c>
      <c r="DP187" s="17">
        <f>DO187*VLOOKUP('Données projet'!$B$14,Paramètres!$A$1:$I$89,3,0)*VLOOKUP('Données projet'!$B$14,Paramètres!$A$1:$I$89,5,0)</f>
        <v>-2.7489477361086758E-13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325.01961068962373</v>
      </c>
      <c r="DU187" s="59">
        <f t="shared" si="152"/>
        <v>155.12737608540039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131.92708377843013</v>
      </c>
      <c r="EB187" s="21">
        <f>EXP(-LN(2)/25)*EB186+(1-EXP(-LN(2)/25))/(LN(2)/25)*Calculateur!DW187*Calculateur!DY187*VLOOKUP('Données projet'!$B$14,Paramètres!$A$1:$I$89,3,0)*0.475*44/12</f>
        <v>18.403949859522196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150.33103363795232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-1.7053025658242404E-13</v>
      </c>
      <c r="EK187" s="17">
        <f>EJ187*VLOOKUP('Données projet'!$B$15,Paramètres!$A$1:$I$89,3,0)*VLOOKUP('Données projet'!$B$15,Paramètres!$A$1:$I$89,5,0)</f>
        <v>-1.1439169611549005E-13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178.09619481964575</v>
      </c>
      <c r="EP187" s="59">
        <f t="shared" si="154"/>
        <v>178.65167777495174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11.413048738384479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7.7905615270609763E-15</v>
      </c>
      <c r="EY187" s="22">
        <f t="shared" si="181"/>
        <v>11.413048738384486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-1.3567387213697657E-13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219.43439115440339</v>
      </c>
      <c r="FK187" s="59">
        <f t="shared" si="156"/>
        <v>217.8880462742099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13.536406643200205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9.2399683227932567E-15</v>
      </c>
      <c r="FT187" s="22">
        <f t="shared" si="184"/>
        <v>13.536406643200214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191.77102466144095</v>
      </c>
      <c r="GF187" s="59">
        <f t="shared" si="158"/>
        <v>205.57161411620217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9.972060334612797</v>
      </c>
      <c r="GM187" s="21">
        <f>EXP(-LN(2)/25)*GM186+(1-EXP(-LN(2)/25))/(LN(2)/25)*Calculateur!GH187*Calculateur!GJ187*VLOOKUP('Données projet'!$B$17,Paramètres!$A$1:$I$89,3,0)*0.475*44/12</f>
        <v>0.78108741072800236</v>
      </c>
      <c r="GN187" s="21">
        <f>EXP(-LN(2)/2)*GN186+(1-EXP(-LN(2)/2))/(LN(2)/2)*GH187*GK187*VLOOKUP('Données projet'!$B$17,Paramètres!$A$1:$I$89,3,0)*0.475*44/12</f>
        <v>9.3162367864681275E-18</v>
      </c>
      <c r="GO187" s="21">
        <f t="shared" si="187"/>
        <v>10.753147745340799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84.31577618130467</v>
      </c>
      <c r="T188" s="59">
        <f t="shared" si="142"/>
        <v>527.2140904310653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5.678393480172911</v>
      </c>
      <c r="AA188" s="21">
        <f>EXP(-LN(2)/25)*AA187+(1-EXP(-LN(2)/25))/(LN(2)/25)*Calculateur!V188*Calculateur!X188*VLOOKUP('Données projet'!$B$9,Paramètres!$A$1:$I$89,3,0)*0.475*44/12</f>
        <v>0.47944051329435855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6.1578339934672695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-2.8421709430404007E-13</v>
      </c>
      <c r="AJ188" s="13">
        <f>AI188*VLOOKUP('Données projet'!$B$10,Paramètres!$A$1:$I$89,3,0)*VLOOKUP('Données projet'!$B$10,Paramètres!$A$1:$I$89,5,0)</f>
        <v>-2.5715962692629546E-13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297.90790572649428</v>
      </c>
      <c r="AO188" s="59">
        <f t="shared" si="144"/>
        <v>142.96889776844506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120.99555322129711</v>
      </c>
      <c r="AV188" s="21">
        <f>EXP(-LN(2)/25)*AV187+(1-EXP(-LN(2)/25))/(LN(2)/25)*Calculateur!AQ188*Calculateur!AS188*VLOOKUP('Données projet'!$B$10,Paramètres!$A$1:$I$89,3,0)*0.475*44/12</f>
        <v>16.745809470998879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137.74136269229598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-2.8421709430404007E-13</v>
      </c>
      <c r="BE188" s="13">
        <f>BD188*VLOOKUP('Données projet'!$B$11,Paramètres!$A$1:$I$89,3,0)*VLOOKUP('Données projet'!$B$11,Paramètres!$A$1:$I$89,5,0)</f>
        <v>-2.8819613362429665E-13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345.3294887586967</v>
      </c>
      <c r="BJ188" s="59">
        <f t="shared" si="146"/>
        <v>164.23448598618114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135.5984648169709</v>
      </c>
      <c r="BQ188" s="21">
        <f>EXP(-LN(2)/25)*BQ187+(1-EXP(-LN(2)/25))/(LN(2)/25)*Calculateur!BL188*Calculateur!BN188*VLOOKUP('Données projet'!$B$11,Paramètres!$A$1:$I$89,3,0)*0.475*44/12</f>
        <v>18.766855441636675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154.36532025860757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289.07218105343333</v>
      </c>
      <c r="CE188" s="59">
        <f t="shared" si="148"/>
        <v>217.57508587672368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20.755122245718912</v>
      </c>
      <c r="CL188" s="21">
        <f>EXP(-LN(2)/25)*CL187+(1-EXP(-LN(2)/25))/(LN(2)/25)*Calculateur!CG188*Calculateur!CI188*VLOOKUP('Données projet'!$B$12,Paramètres!$A$1:$I$89,3,0)*0.475*44/12</f>
        <v>4.0541269746096873</v>
      </c>
      <c r="CM188" s="21">
        <f>EXP(-LN(2)/2)*CM187+(1-EXP(-LN(2)/2))/(LN(2)/2)*CG188*CJ188*VLOOKUP('Données projet'!$B$12,Paramètres!$A$1:$I$89,3,0)*0.475*44/12</f>
        <v>1.2171043039868047E-14</v>
      </c>
      <c r="CN188" s="22">
        <f t="shared" si="172"/>
        <v>24.80924922032861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1.7053025658242404E-13</v>
      </c>
      <c r="CU188" s="17">
        <f>CT188*VLOOKUP('Données projet'!$B$13,Paramètres!$A$1:$I$89,3,0)*VLOOKUP('Données projet'!$B$13,Paramètres!$A$1:$I$89,5,0)</f>
        <v>1.4897523215040567E-13</v>
      </c>
      <c r="CV188" s="13">
        <f t="shared" si="173"/>
        <v>2.136562777003313E-12</v>
      </c>
      <c r="CW188" s="20">
        <f t="shared" si="174"/>
        <v>3.9806453659427267E-12</v>
      </c>
      <c r="CX188" s="59">
        <f t="shared" si="122"/>
        <v>293.33333333333729</v>
      </c>
      <c r="CY188" s="59">
        <f ca="1">AVERAGE(OFFSET($CX$3,0,0,'Données projet'!$E$13+1,1))-AVERAGE(OFFSET($H$3,0,0,'Données projet'!$E$13+1,1))</f>
        <v>237.8483058552178</v>
      </c>
      <c r="CZ188" s="59">
        <f t="shared" si="150"/>
        <v>313.36201272119723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8.9890769033247153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2.021033265821711E-16</v>
      </c>
      <c r="DI188" s="22">
        <f t="shared" si="175"/>
        <v>8.9890769033247153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-2.8421709430404007E-13</v>
      </c>
      <c r="DP188" s="17">
        <f>DO188*VLOOKUP('Données projet'!$B$14,Paramètres!$A$1:$I$89,3,0)*VLOOKUP('Données projet'!$B$14,Paramètres!$A$1:$I$89,5,0)</f>
        <v>-2.7489477361086758E-13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325.01961068962373</v>
      </c>
      <c r="DU188" s="59">
        <f t="shared" si="152"/>
        <v>155.12737608540039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129.3400741331107</v>
      </c>
      <c r="EB188" s="21">
        <f>EXP(-LN(2)/25)*EB187+(1-EXP(-LN(2)/25))/(LN(2)/25)*Calculateur!DW188*Calculateur!DY188*VLOOKUP('Données projet'!$B$14,Paramètres!$A$1:$I$89,3,0)*0.475*44/12</f>
        <v>17.900692882791901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147.24076701590261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-1.7053025658242404E-13</v>
      </c>
      <c r="EK188" s="17">
        <f>EJ188*VLOOKUP('Données projet'!$B$15,Paramètres!$A$1:$I$89,3,0)*VLOOKUP('Données projet'!$B$15,Paramètres!$A$1:$I$89,5,0)</f>
        <v>-1.1439169611549005E-13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178.09619481964575</v>
      </c>
      <c r="EP188" s="59">
        <f t="shared" si="154"/>
        <v>178.65167777495174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11.189245813897122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5.5087588850358413E-15</v>
      </c>
      <c r="EY188" s="22">
        <f t="shared" si="181"/>
        <v>11.189245813897127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-1.3567387213697657E-13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219.43439115440339</v>
      </c>
      <c r="FK188" s="59">
        <f t="shared" si="156"/>
        <v>217.8880462742099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13.270965965319851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6.533644258996002E-15</v>
      </c>
      <c r="FT188" s="22">
        <f t="shared" si="184"/>
        <v>13.270965965319858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191.77102466144095</v>
      </c>
      <c r="GF188" s="59">
        <f t="shared" si="158"/>
        <v>205.57161411620217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9.7765143138072617</v>
      </c>
      <c r="GM188" s="21">
        <f>EXP(-LN(2)/25)*GM187+(1-EXP(-LN(2)/25))/(LN(2)/25)*Calculateur!GH188*Calculateur!GJ188*VLOOKUP('Données projet'!$B$17,Paramètres!$A$1:$I$89,3,0)*0.475*44/12</f>
        <v>0.75972853440604338</v>
      </c>
      <c r="GN188" s="21">
        <f>EXP(-LN(2)/2)*GN187+(1-EXP(-LN(2)/2))/(LN(2)/2)*GH188*GK188*VLOOKUP('Données projet'!$B$17,Paramètres!$A$1:$I$89,3,0)*0.475*44/12</f>
        <v>6.587574206851183E-18</v>
      </c>
      <c r="GO188" s="21">
        <f t="shared" si="187"/>
        <v>10.536242848213305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84.31577618130467</v>
      </c>
      <c r="T189" s="59">
        <f t="shared" si="142"/>
        <v>527.2140904310653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5.5670436475047529</v>
      </c>
      <c r="AA189" s="21">
        <f>EXP(-LN(2)/25)*AA188+(1-EXP(-LN(2)/25))/(LN(2)/25)*Calculateur!V189*Calculateur!X189*VLOOKUP('Données projet'!$B$9,Paramètres!$A$1:$I$89,3,0)*0.475*44/12</f>
        <v>0.46633018724564351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6.033373834750396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-2.8421709430404007E-13</v>
      </c>
      <c r="AJ189" s="13">
        <f>AI189*VLOOKUP('Données projet'!$B$10,Paramètres!$A$1:$I$89,3,0)*VLOOKUP('Données projet'!$B$10,Paramètres!$A$1:$I$89,5,0)</f>
        <v>-2.5715962692629546E-13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297.90790572649428</v>
      </c>
      <c r="AO189" s="59">
        <f t="shared" si="144"/>
        <v>142.96889776844506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118.6229042226278</v>
      </c>
      <c r="AV189" s="21">
        <f>EXP(-LN(2)/25)*AV188+(1-EXP(-LN(2)/25))/(LN(2)/25)*Calculateur!AQ189*Calculateur!AS189*VLOOKUP('Données projet'!$B$10,Paramètres!$A$1:$I$89,3,0)*0.475*44/12</f>
        <v>16.287894430390566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134.91079865301836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-2.8421709430404007E-13</v>
      </c>
      <c r="BE189" s="13">
        <f>BD189*VLOOKUP('Données projet'!$B$11,Paramètres!$A$1:$I$89,3,0)*VLOOKUP('Données projet'!$B$11,Paramètres!$A$1:$I$89,5,0)</f>
        <v>-2.8819613362429665E-13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345.3294887586967</v>
      </c>
      <c r="BJ189" s="59">
        <f t="shared" si="146"/>
        <v>164.23448598618114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132.93946162880701</v>
      </c>
      <c r="BQ189" s="21">
        <f>EXP(-LN(2)/25)*BQ188+(1-EXP(-LN(2)/25))/(LN(2)/25)*Calculateur!BL189*Calculateur!BN189*VLOOKUP('Données projet'!$B$11,Paramètres!$A$1:$I$89,3,0)*0.475*44/12</f>
        <v>18.253674792679085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151.19313642148609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289.07218105343333</v>
      </c>
      <c r="CE189" s="59">
        <f t="shared" si="148"/>
        <v>217.57508587672368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20.348126957854923</v>
      </c>
      <c r="CL189" s="21">
        <f>EXP(-LN(2)/25)*CL188+(1-EXP(-LN(2)/25))/(LN(2)/25)*Calculateur!CG189*Calculateur!CI189*VLOOKUP('Données projet'!$B$12,Paramètres!$A$1:$I$89,3,0)*0.475*44/12</f>
        <v>3.9432666592917136</v>
      </c>
      <c r="CM189" s="21">
        <f>EXP(-LN(2)/2)*CM188+(1-EXP(-LN(2)/2))/(LN(2)/2)*CG189*CJ189*VLOOKUP('Données projet'!$B$12,Paramètres!$A$1:$I$89,3,0)*0.475*44/12</f>
        <v>8.6062270676040274E-15</v>
      </c>
      <c r="CN189" s="22">
        <f t="shared" si="172"/>
        <v>24.291393617146642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1.7053025658242404E-13</v>
      </c>
      <c r="CU189" s="17">
        <f>CT189*VLOOKUP('Données projet'!$B$13,Paramètres!$A$1:$I$89,3,0)*VLOOKUP('Données projet'!$B$13,Paramètres!$A$1:$I$89,5,0)</f>
        <v>1.4897523215040567E-13</v>
      </c>
      <c r="CV189" s="13">
        <f t="shared" si="173"/>
        <v>2.136562777003313E-12</v>
      </c>
      <c r="CW189" s="20">
        <f t="shared" si="174"/>
        <v>3.9806453659427267E-12</v>
      </c>
      <c r="CX189" s="59">
        <f t="shared" si="122"/>
        <v>293.33333333333729</v>
      </c>
      <c r="CY189" s="59">
        <f ca="1">AVERAGE(OFFSET($CX$3,0,0,'Données projet'!$E$13+1,1))-AVERAGE(OFFSET($H$3,0,0,'Données projet'!$E$13+1,1))</f>
        <v>237.8483058552178</v>
      </c>
      <c r="CZ189" s="59">
        <f t="shared" si="150"/>
        <v>313.36201272119723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8.8128065880460476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1.4290863272661261E-16</v>
      </c>
      <c r="DI189" s="22">
        <f t="shared" si="175"/>
        <v>8.8128065880460476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-2.8421709430404007E-13</v>
      </c>
      <c r="DP189" s="17">
        <f>DO189*VLOOKUP('Données projet'!$B$14,Paramètres!$A$1:$I$89,3,0)*VLOOKUP('Données projet'!$B$14,Paramètres!$A$1:$I$89,5,0)</f>
        <v>-2.7489477361086758E-13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325.01961068962373</v>
      </c>
      <c r="DU189" s="59">
        <f t="shared" si="152"/>
        <v>155.12737608540039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126.80379416901592</v>
      </c>
      <c r="EB189" s="21">
        <f>EXP(-LN(2)/25)*EB188+(1-EXP(-LN(2)/25))/(LN(2)/25)*Calculateur!DW189*Calculateur!DY189*VLOOKUP('Données projet'!$B$14,Paramètres!$A$1:$I$89,3,0)*0.475*44/12</f>
        <v>17.411197494555431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144.21499166357134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-1.7053025658242404E-13</v>
      </c>
      <c r="EK189" s="17">
        <f>EJ189*VLOOKUP('Données projet'!$B$15,Paramètres!$A$1:$I$89,3,0)*VLOOKUP('Données projet'!$B$15,Paramètres!$A$1:$I$89,5,0)</f>
        <v>-1.1439169611549005E-13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178.09619481964575</v>
      </c>
      <c r="EP189" s="59">
        <f t="shared" si="154"/>
        <v>178.65167777495174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10.969831528252657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3.8952807635304881E-15</v>
      </c>
      <c r="EY189" s="22">
        <f t="shared" si="181"/>
        <v>10.96983152825266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-1.3567387213697657E-13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219.43439115440339</v>
      </c>
      <c r="FK189" s="59">
        <f t="shared" si="156"/>
        <v>217.8880462742099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13.010730417229903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4.6199841613966284E-15</v>
      </c>
      <c r="FT189" s="22">
        <f t="shared" si="184"/>
        <v>13.010730417229908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191.77102466144095</v>
      </c>
      <c r="GF189" s="59">
        <f t="shared" si="158"/>
        <v>205.57161411620217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9.5848028311984272</v>
      </c>
      <c r="GM189" s="21">
        <f>EXP(-LN(2)/25)*GM188+(1-EXP(-LN(2)/25))/(LN(2)/25)*Calculateur!GH189*Calculateur!GJ189*VLOOKUP('Données projet'!$B$17,Paramètres!$A$1:$I$89,3,0)*0.475*44/12</f>
        <v>0.73895371768032292</v>
      </c>
      <c r="GN189" s="21">
        <f>EXP(-LN(2)/2)*GN188+(1-EXP(-LN(2)/2))/(LN(2)/2)*GH189*GK189*VLOOKUP('Données projet'!$B$17,Paramètres!$A$1:$I$89,3,0)*0.475*44/12</f>
        <v>4.6581183932340637E-18</v>
      </c>
      <c r="GO189" s="21">
        <f t="shared" si="187"/>
        <v>10.32375654887875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84.31577618130467</v>
      </c>
      <c r="T190" s="59">
        <f t="shared" si="142"/>
        <v>527.2140904310653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5.457877317138526</v>
      </c>
      <c r="AA190" s="21">
        <f>EXP(-LN(2)/25)*AA189+(1-EXP(-LN(2)/25))/(LN(2)/25)*Calculateur!V190*Calculateur!X190*VLOOKUP('Données projet'!$B$9,Paramètres!$A$1:$I$89,3,0)*0.475*44/12</f>
        <v>0.45357836375217264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5.9114556808906986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-2.8421709430404007E-13</v>
      </c>
      <c r="AJ190" s="13">
        <f>AI190*VLOOKUP('Données projet'!$B$10,Paramètres!$A$1:$I$89,3,0)*VLOOKUP('Données projet'!$B$10,Paramètres!$A$1:$I$89,5,0)</f>
        <v>-2.5715962692629546E-13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297.90790572649428</v>
      </c>
      <c r="AO190" s="59">
        <f t="shared" si="144"/>
        <v>142.96889776844506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116.29678142364939</v>
      </c>
      <c r="AV190" s="21">
        <f>EXP(-LN(2)/25)*AV189+(1-EXP(-LN(2)/25))/(LN(2)/25)*Calculateur!AQ190*Calculateur!AS190*VLOOKUP('Données projet'!$B$10,Paramètres!$A$1:$I$89,3,0)*0.475*44/12</f>
        <v>15.842501100648393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132.13928252429778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-2.8421709430404007E-13</v>
      </c>
      <c r="BE190" s="13">
        <f>BD190*VLOOKUP('Données projet'!$B$11,Paramètres!$A$1:$I$89,3,0)*VLOOKUP('Données projet'!$B$11,Paramètres!$A$1:$I$89,5,0)</f>
        <v>-2.8819613362429665E-13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345.3294887586967</v>
      </c>
      <c r="BJ190" s="59">
        <f t="shared" si="146"/>
        <v>164.23448598618114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130.33259987133121</v>
      </c>
      <c r="BQ190" s="21">
        <f>EXP(-LN(2)/25)*BQ189+(1-EXP(-LN(2)/25))/(LN(2)/25)*Calculateur!BL190*Calculateur!BN190*VLOOKUP('Données projet'!$B$11,Paramètres!$A$1:$I$89,3,0)*0.475*44/12</f>
        <v>17.754527095554238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148.08712696688545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289.07218105343333</v>
      </c>
      <c r="CE190" s="59">
        <f t="shared" si="148"/>
        <v>217.57508587672368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19.949112599343334</v>
      </c>
      <c r="CL190" s="21">
        <f>EXP(-LN(2)/25)*CL189+(1-EXP(-LN(2)/25))/(LN(2)/25)*Calculateur!CG190*Calculateur!CI190*VLOOKUP('Données projet'!$B$12,Paramètres!$A$1:$I$89,3,0)*0.475*44/12</f>
        <v>3.8354378251260006</v>
      </c>
      <c r="CM190" s="21">
        <f>EXP(-LN(2)/2)*CM189+(1-EXP(-LN(2)/2))/(LN(2)/2)*CG190*CJ190*VLOOKUP('Données projet'!$B$12,Paramètres!$A$1:$I$89,3,0)*0.475*44/12</f>
        <v>6.0855215199340237E-15</v>
      </c>
      <c r="CN190" s="22">
        <f t="shared" si="172"/>
        <v>23.784550424469341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1.7053025658242404E-13</v>
      </c>
      <c r="CU190" s="17">
        <f>CT190*VLOOKUP('Données projet'!$B$13,Paramètres!$A$1:$I$89,3,0)*VLOOKUP('Données projet'!$B$13,Paramètres!$A$1:$I$89,5,0)</f>
        <v>1.4897523215040567E-13</v>
      </c>
      <c r="CV190" s="13">
        <f t="shared" si="173"/>
        <v>2.136562777003313E-12</v>
      </c>
      <c r="CW190" s="20">
        <f t="shared" si="174"/>
        <v>3.9806453659427267E-12</v>
      </c>
      <c r="CX190" s="59">
        <f t="shared" si="122"/>
        <v>293.33333333333729</v>
      </c>
      <c r="CY190" s="59">
        <f ca="1">AVERAGE(OFFSET($CX$3,0,0,'Données projet'!$E$13+1,1))-AVERAGE(OFFSET($H$3,0,0,'Données projet'!$E$13+1,1))</f>
        <v>237.8483058552178</v>
      </c>
      <c r="CZ190" s="59">
        <f t="shared" si="150"/>
        <v>313.36201272119723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8.6399928261357175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1.0105166329108555E-16</v>
      </c>
      <c r="DI190" s="22">
        <f t="shared" si="175"/>
        <v>8.6399928261357175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-2.8421709430404007E-13</v>
      </c>
      <c r="DP190" s="17">
        <f>DO190*VLOOKUP('Données projet'!$B$14,Paramètres!$A$1:$I$89,3,0)*VLOOKUP('Données projet'!$B$14,Paramètres!$A$1:$I$89,5,0)</f>
        <v>-2.7489477361086758E-13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325.01961068962373</v>
      </c>
      <c r="DU190" s="59">
        <f t="shared" si="152"/>
        <v>155.12737608540039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124.31724910803901</v>
      </c>
      <c r="EB190" s="21">
        <f>EXP(-LN(2)/25)*EB189+(1-EXP(-LN(2)/25))/(LN(2)/25)*Calculateur!DW190*Calculateur!DY190*VLOOKUP('Données projet'!$B$14,Paramètres!$A$1:$I$89,3,0)*0.475*44/12</f>
        <v>16.93508738345173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141.25233649149072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-1.7053025658242404E-13</v>
      </c>
      <c r="EK190" s="17">
        <f>EJ190*VLOOKUP('Données projet'!$B$15,Paramètres!$A$1:$I$89,3,0)*VLOOKUP('Données projet'!$B$15,Paramètres!$A$1:$I$89,5,0)</f>
        <v>-1.1439169611549005E-13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178.09619481964575</v>
      </c>
      <c r="EP190" s="59">
        <f t="shared" si="154"/>
        <v>178.65167777495174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10.75471982292018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2.7543794425179207E-15</v>
      </c>
      <c r="EY190" s="22">
        <f t="shared" si="181"/>
        <v>10.754719822920183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-1.3567387213697657E-13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219.43439115440339</v>
      </c>
      <c r="FK190" s="59">
        <f t="shared" si="156"/>
        <v>217.8880462742099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12.755597929509987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3.266822129498001E-15</v>
      </c>
      <c r="FT190" s="22">
        <f t="shared" si="184"/>
        <v>12.755597929509991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191.77102466144095</v>
      </c>
      <c r="GF190" s="59">
        <f t="shared" si="158"/>
        <v>205.57161411620217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9.3968506938310927</v>
      </c>
      <c r="GM190" s="21">
        <f>EXP(-LN(2)/25)*GM189+(1-EXP(-LN(2)/25))/(LN(2)/25)*Calculateur!GH190*Calculateur!GJ190*VLOOKUP('Données projet'!$B$17,Paramètres!$A$1:$I$89,3,0)*0.475*44/12</f>
        <v>0.71874698941046733</v>
      </c>
      <c r="GN190" s="21">
        <f>EXP(-LN(2)/2)*GN189+(1-EXP(-LN(2)/2))/(LN(2)/2)*GH190*GK190*VLOOKUP('Données projet'!$B$17,Paramètres!$A$1:$I$89,3,0)*0.475*44/12</f>
        <v>3.2937871034255915E-18</v>
      </c>
      <c r="GO190" s="21">
        <f t="shared" si="187"/>
        <v>10.11559768324156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84.31577618130467</v>
      </c>
      <c r="T191" s="59">
        <f t="shared" si="142"/>
        <v>527.2140904310653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5.3508516719258941</v>
      </c>
      <c r="AA191" s="21">
        <f>EXP(-LN(2)/25)*AA190+(1-EXP(-LN(2)/25))/(LN(2)/25)*Calculateur!V191*Calculateur!X191*VLOOKUP('Données projet'!$B$9,Paramètres!$A$1:$I$89,3,0)*0.475*44/12</f>
        <v>0.44117523954271998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5.7920269114686143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-2.8421709430404007E-13</v>
      </c>
      <c r="AJ191" s="13">
        <f>AI191*VLOOKUP('Données projet'!$B$10,Paramètres!$A$1:$I$89,3,0)*VLOOKUP('Données projet'!$B$10,Paramètres!$A$1:$I$89,5,0)</f>
        <v>-2.5715962692629546E-13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297.90790572649428</v>
      </c>
      <c r="AO191" s="59">
        <f t="shared" si="144"/>
        <v>142.96889776844506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114.01627247396414</v>
      </c>
      <c r="AV191" s="21">
        <f>EXP(-LN(2)/25)*AV190+(1-EXP(-LN(2)/25))/(LN(2)/25)*Calculateur!AQ191*Calculateur!AS191*VLOOKUP('Données projet'!$B$10,Paramètres!$A$1:$I$89,3,0)*0.475*44/12</f>
        <v>15.409287074930239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129.42555954889437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-2.8421709430404007E-13</v>
      </c>
      <c r="BE191" s="13">
        <f>BD191*VLOOKUP('Données projet'!$B$11,Paramètres!$A$1:$I$89,3,0)*VLOOKUP('Données projet'!$B$11,Paramètres!$A$1:$I$89,5,0)</f>
        <v>-2.8819613362429665E-13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345.3294887586967</v>
      </c>
      <c r="BJ191" s="59">
        <f t="shared" si="146"/>
        <v>164.23448598618114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127.77685708289084</v>
      </c>
      <c r="BQ191" s="21">
        <f>EXP(-LN(2)/25)*BQ190+(1-EXP(-LN(2)/25))/(LN(2)/25)*Calculateur!BL191*Calculateur!BN191*VLOOKUP('Données projet'!$B$11,Paramètres!$A$1:$I$89,3,0)*0.475*44/12</f>
        <v>17.269028618456307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145.04588570134715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289.07218105343333</v>
      </c>
      <c r="CE191" s="59">
        <f t="shared" si="148"/>
        <v>217.57508587672368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19.55792266902743</v>
      </c>
      <c r="CL191" s="21">
        <f>EXP(-LN(2)/25)*CL190+(1-EXP(-LN(2)/25))/(LN(2)/25)*Calculateur!CG191*Calculateur!CI191*VLOOKUP('Données projet'!$B$12,Paramètres!$A$1:$I$89,3,0)*0.475*44/12</f>
        <v>3.7305575761010208</v>
      </c>
      <c r="CM191" s="21">
        <f>EXP(-LN(2)/2)*CM190+(1-EXP(-LN(2)/2))/(LN(2)/2)*CG191*CJ191*VLOOKUP('Données projet'!$B$12,Paramètres!$A$1:$I$89,3,0)*0.475*44/12</f>
        <v>4.3031135338020137E-15</v>
      </c>
      <c r="CN191" s="22">
        <f t="shared" si="172"/>
        <v>23.288480245128454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1.7053025658242404E-13</v>
      </c>
      <c r="CU191" s="17">
        <f>CT191*VLOOKUP('Données projet'!$B$13,Paramètres!$A$1:$I$89,3,0)*VLOOKUP('Données projet'!$B$13,Paramètres!$A$1:$I$89,5,0)</f>
        <v>1.4897523215040567E-13</v>
      </c>
      <c r="CV191" s="13">
        <f t="shared" si="173"/>
        <v>2.136562777003313E-12</v>
      </c>
      <c r="CW191" s="20">
        <f t="shared" si="174"/>
        <v>3.9806453659427267E-12</v>
      </c>
      <c r="CX191" s="59">
        <f t="shared" si="122"/>
        <v>293.33333333333729</v>
      </c>
      <c r="CY191" s="59">
        <f ca="1">AVERAGE(OFFSET($CX$3,0,0,'Données projet'!$E$13+1,1))-AVERAGE(OFFSET($H$3,0,0,'Données projet'!$E$13+1,1))</f>
        <v>237.8483058552178</v>
      </c>
      <c r="CZ191" s="59">
        <f t="shared" si="150"/>
        <v>313.36201272119723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8.4705678366904635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7.1454316363306305E-17</v>
      </c>
      <c r="DI191" s="22">
        <f t="shared" si="175"/>
        <v>8.4705678366904635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-2.8421709430404007E-13</v>
      </c>
      <c r="DP191" s="17">
        <f>DO191*VLOOKUP('Données projet'!$B$14,Paramètres!$A$1:$I$89,3,0)*VLOOKUP('Données projet'!$B$14,Paramètres!$A$1:$I$89,5,0)</f>
        <v>-2.7489477361086758E-13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325.01961068962373</v>
      </c>
      <c r="DU191" s="59">
        <f t="shared" si="152"/>
        <v>155.12737608540039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121.87946367906513</v>
      </c>
      <c r="EB191" s="21">
        <f>EXP(-LN(2)/25)*EB190+(1-EXP(-LN(2)/25))/(LN(2)/25)*Calculateur!DW191*Calculateur!DY191*VLOOKUP('Données projet'!$B$14,Paramètres!$A$1:$I$89,3,0)*0.475*44/12</f>
        <v>16.471996528373701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138.35146020743883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-1.7053025658242404E-13</v>
      </c>
      <c r="EK191" s="17">
        <f>EJ191*VLOOKUP('Données projet'!$B$15,Paramètres!$A$1:$I$89,3,0)*VLOOKUP('Données projet'!$B$15,Paramètres!$A$1:$I$89,5,0)</f>
        <v>-1.1439169611549005E-13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178.09619481964575</v>
      </c>
      <c r="EP191" s="59">
        <f t="shared" si="154"/>
        <v>178.65167777495174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10.543826326924087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1.9476403817652441E-15</v>
      </c>
      <c r="EY191" s="22">
        <f t="shared" si="181"/>
        <v>10.543826326924089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-1.3567387213697657E-13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219.43439115440339</v>
      </c>
      <c r="FK191" s="59">
        <f t="shared" si="156"/>
        <v>217.8880462742099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12.505468434258807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2.3099920806983142E-15</v>
      </c>
      <c r="FT191" s="22">
        <f t="shared" si="184"/>
        <v>12.505468434258809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191.77102466144095</v>
      </c>
      <c r="GF191" s="59">
        <f t="shared" si="158"/>
        <v>205.57161411620217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9.2125841832380484</v>
      </c>
      <c r="GM191" s="21">
        <f>EXP(-LN(2)/25)*GM190+(1-EXP(-LN(2)/25))/(LN(2)/25)*Calculateur!GH191*Calculateur!GJ191*VLOOKUP('Données projet'!$B$17,Paramètres!$A$1:$I$89,3,0)*0.475*44/12</f>
        <v>0.69909281518777666</v>
      </c>
      <c r="GN191" s="21">
        <f>EXP(-LN(2)/2)*GN190+(1-EXP(-LN(2)/2))/(LN(2)/2)*GH191*GK191*VLOOKUP('Données projet'!$B$17,Paramètres!$A$1:$I$89,3,0)*0.475*44/12</f>
        <v>2.3290591966170319E-18</v>
      </c>
      <c r="GO191" s="21">
        <f t="shared" si="187"/>
        <v>9.9116769984258255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84.31577618130467</v>
      </c>
      <c r="T192" s="59">
        <f t="shared" si="142"/>
        <v>527.2140904310653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5.2459247343366835</v>
      </c>
      <c r="AA192" s="21">
        <f>EXP(-LN(2)/25)*AA191+(1-EXP(-LN(2)/25))/(LN(2)/25)*Calculateur!V192*Calculateur!X192*VLOOKUP('Données projet'!$B$9,Paramètres!$A$1:$I$89,3,0)*0.475*44/12</f>
        <v>0.42911127941702676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5.6750360137537106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-2.8421709430404007E-13</v>
      </c>
      <c r="AJ192" s="13">
        <f>AI192*VLOOKUP('Données projet'!$B$10,Paramètres!$A$1:$I$89,3,0)*VLOOKUP('Données projet'!$B$10,Paramètres!$A$1:$I$89,5,0)</f>
        <v>-2.5715962692629546E-13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297.90790572649428</v>
      </c>
      <c r="AO192" s="59">
        <f t="shared" si="144"/>
        <v>142.96889776844506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111.7804829138091</v>
      </c>
      <c r="AV192" s="21">
        <f>EXP(-LN(2)/25)*AV191+(1-EXP(-LN(2)/25))/(LN(2)/25)*Calculateur!AQ192*Calculateur!AS192*VLOOKUP('Données projet'!$B$10,Paramètres!$A$1:$I$89,3,0)*0.475*44/12</f>
        <v>14.987919309527083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126.76840222333618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-2.8421709430404007E-13</v>
      </c>
      <c r="BE192" s="13">
        <f>BD192*VLOOKUP('Données projet'!$B$11,Paramètres!$A$1:$I$89,3,0)*VLOOKUP('Données projet'!$B$11,Paramètres!$A$1:$I$89,5,0)</f>
        <v>-2.8819613362429665E-13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345.3294887586967</v>
      </c>
      <c r="BJ192" s="59">
        <f t="shared" si="146"/>
        <v>164.23448598618114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125.27123085168262</v>
      </c>
      <c r="BQ192" s="21">
        <f>EXP(-LN(2)/25)*BQ191+(1-EXP(-LN(2)/25))/(LN(2)/25)*Calculateur!BL192*Calculateur!BN192*VLOOKUP('Données projet'!$B$11,Paramètres!$A$1:$I$89,3,0)*0.475*44/12</f>
        <v>16.796806122745874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142.06803697442848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289.07218105343333</v>
      </c>
      <c r="CE192" s="59">
        <f t="shared" si="148"/>
        <v>217.57508587672368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19.174403734642723</v>
      </c>
      <c r="CL192" s="21">
        <f>EXP(-LN(2)/25)*CL191+(1-EXP(-LN(2)/25))/(LN(2)/25)*Calculateur!CG192*Calculateur!CI192*VLOOKUP('Données projet'!$B$12,Paramètres!$A$1:$I$89,3,0)*0.475*44/12</f>
        <v>3.6285452830010416</v>
      </c>
      <c r="CM192" s="21">
        <f>EXP(-LN(2)/2)*CM191+(1-EXP(-LN(2)/2))/(LN(2)/2)*CG192*CJ192*VLOOKUP('Données projet'!$B$12,Paramètres!$A$1:$I$89,3,0)*0.475*44/12</f>
        <v>3.0427607599670118E-15</v>
      </c>
      <c r="CN192" s="22">
        <f t="shared" si="172"/>
        <v>22.802949017643769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1.7053025658242404E-13</v>
      </c>
      <c r="CU192" s="17">
        <f>CT192*VLOOKUP('Données projet'!$B$13,Paramètres!$A$1:$I$89,3,0)*VLOOKUP('Données projet'!$B$13,Paramètres!$A$1:$I$89,5,0)</f>
        <v>1.4897523215040567E-13</v>
      </c>
      <c r="CV192" s="13">
        <f t="shared" si="173"/>
        <v>2.136562777003313E-12</v>
      </c>
      <c r="CW192" s="20">
        <f t="shared" si="174"/>
        <v>3.9806453659427267E-12</v>
      </c>
      <c r="CX192" s="59">
        <f t="shared" si="122"/>
        <v>293.33333333333729</v>
      </c>
      <c r="CY192" s="59">
        <f ca="1">AVERAGE(OFFSET($CX$3,0,0,'Données projet'!$E$13+1,1))-AVERAGE(OFFSET($H$3,0,0,'Données projet'!$E$13+1,1))</f>
        <v>237.8483058552178</v>
      </c>
      <c r="CZ192" s="59">
        <f t="shared" si="150"/>
        <v>313.36201272119723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8.304465167949191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5.0525831645542774E-17</v>
      </c>
      <c r="DI192" s="22">
        <f t="shared" si="175"/>
        <v>8.304465167949191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-2.8421709430404007E-13</v>
      </c>
      <c r="DP192" s="17">
        <f>DO192*VLOOKUP('Données projet'!$B$14,Paramètres!$A$1:$I$89,3,0)*VLOOKUP('Données projet'!$B$14,Paramètres!$A$1:$I$89,5,0)</f>
        <v>-2.7489477361086758E-13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325.01961068962373</v>
      </c>
      <c r="DU192" s="59">
        <f t="shared" si="152"/>
        <v>155.12737608540039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119.48948173545112</v>
      </c>
      <c r="EB192" s="21">
        <f>EXP(-LN(2)/25)*EB191+(1-EXP(-LN(2)/25))/(LN(2)/25)*Calculateur!DW192*Calculateur!DY192*VLOOKUP('Données projet'!$B$14,Paramètres!$A$1:$I$89,3,0)*0.475*44/12</f>
        <v>16.021568917080671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135.51105065253179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-1.7053025658242404E-13</v>
      </c>
      <c r="EK192" s="17">
        <f>EJ192*VLOOKUP('Données projet'!$B$15,Paramètres!$A$1:$I$89,3,0)*VLOOKUP('Données projet'!$B$15,Paramètres!$A$1:$I$89,5,0)</f>
        <v>-1.1439169611549005E-13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178.09619481964575</v>
      </c>
      <c r="EP192" s="59">
        <f t="shared" si="154"/>
        <v>178.65167777495174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10.337068323752147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1.3771897212589603E-15</v>
      </c>
      <c r="EY192" s="22">
        <f t="shared" si="181"/>
        <v>10.337068323752149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-1.3567387213697657E-13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219.43439115440339</v>
      </c>
      <c r="FK192" s="59">
        <f t="shared" si="156"/>
        <v>217.8880462742099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12.260243825845576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1.6334110647490005E-15</v>
      </c>
      <c r="FT192" s="22">
        <f t="shared" si="184"/>
        <v>12.260243825845578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191.77102466144095</v>
      </c>
      <c r="GF192" s="59">
        <f t="shared" si="158"/>
        <v>205.57161411620217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9.0319310265262605</v>
      </c>
      <c r="GM192" s="21">
        <f>EXP(-LN(2)/25)*GM191+(1-EXP(-LN(2)/25))/(LN(2)/25)*Calculateur!GH192*Calculateur!GJ192*VLOOKUP('Données projet'!$B$17,Paramètres!$A$1:$I$89,3,0)*0.475*44/12</f>
        <v>0.67997608539277354</v>
      </c>
      <c r="GN192" s="21">
        <f>EXP(-LN(2)/2)*GN191+(1-EXP(-LN(2)/2))/(LN(2)/2)*GH192*GK192*VLOOKUP('Données projet'!$B$17,Paramètres!$A$1:$I$89,3,0)*0.475*44/12</f>
        <v>1.6468935517127957E-18</v>
      </c>
      <c r="GO192" s="21">
        <f t="shared" si="187"/>
        <v>9.7119071119190341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84.31577618130467</v>
      </c>
      <c r="T193" s="59">
        <f t="shared" si="142"/>
        <v>527.2140904310653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5.1430553499944853</v>
      </c>
      <c r="AA193" s="21">
        <f>EXP(-LN(2)/25)*AA192+(1-EXP(-LN(2)/25))/(LN(2)/25)*Calculateur!V193*Calculateur!X193*VLOOKUP('Données projet'!$B$9,Paramètres!$A$1:$I$89,3,0)*0.475*44/12</f>
        <v>0.41737720891538671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5.5604325589098718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-2.8421709430404007E-13</v>
      </c>
      <c r="AJ193" s="13">
        <f>AI193*VLOOKUP('Données projet'!$B$10,Paramètres!$A$1:$I$89,3,0)*VLOOKUP('Données projet'!$B$10,Paramètres!$A$1:$I$89,5,0)</f>
        <v>-2.5715962692629546E-13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297.90790572649428</v>
      </c>
      <c r="AO193" s="59">
        <f t="shared" si="144"/>
        <v>142.96889776844506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109.58853582323172</v>
      </c>
      <c r="AV193" s="21">
        <f>EXP(-LN(2)/25)*AV192+(1-EXP(-LN(2)/25))/(LN(2)/25)*Calculateur!AQ193*Calculateur!AS193*VLOOKUP('Données projet'!$B$10,Paramètres!$A$1:$I$89,3,0)*0.475*44/12</f>
        <v>14.578073867827644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124.16660969105936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-2.8421709430404007E-13</v>
      </c>
      <c r="BE193" s="13">
        <f>BD193*VLOOKUP('Données projet'!$B$11,Paramètres!$A$1:$I$89,3,0)*VLOOKUP('Données projet'!$B$11,Paramètres!$A$1:$I$89,5,0)</f>
        <v>-2.8819613362429665E-13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345.3294887586967</v>
      </c>
      <c r="BJ193" s="59">
        <f t="shared" si="146"/>
        <v>164.23448598618114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122.81473842258728</v>
      </c>
      <c r="BQ193" s="21">
        <f>EXP(-LN(2)/25)*BQ192+(1-EXP(-LN(2)/25))/(LN(2)/25)*Calculateur!BL193*Calculateur!BN193*VLOOKUP('Données projet'!$B$11,Paramètres!$A$1:$I$89,3,0)*0.475*44/12</f>
        <v>16.337496576013745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139.15223499860102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289.07218105343333</v>
      </c>
      <c r="CE193" s="59">
        <f t="shared" si="148"/>
        <v>217.57508587672368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18.798405372637848</v>
      </c>
      <c r="CL193" s="21">
        <f>EXP(-LN(2)/25)*CL192+(1-EXP(-LN(2)/25))/(LN(2)/25)*Calculateur!CG193*Calculateur!CI193*VLOOKUP('Données projet'!$B$12,Paramètres!$A$1:$I$89,3,0)*0.475*44/12</f>
        <v>3.5293225214204749</v>
      </c>
      <c r="CM193" s="21">
        <f>EXP(-LN(2)/2)*CM192+(1-EXP(-LN(2)/2))/(LN(2)/2)*CG193*CJ193*VLOOKUP('Données projet'!$B$12,Paramètres!$A$1:$I$89,3,0)*0.475*44/12</f>
        <v>2.1515567669010069E-15</v>
      </c>
      <c r="CN193" s="22">
        <f t="shared" si="172"/>
        <v>22.327727894058327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1.7053025658242404E-13</v>
      </c>
      <c r="CU193" s="17">
        <f>CT193*VLOOKUP('Données projet'!$B$13,Paramètres!$A$1:$I$89,3,0)*VLOOKUP('Données projet'!$B$13,Paramètres!$A$1:$I$89,5,0)</f>
        <v>1.4897523215040567E-13</v>
      </c>
      <c r="CV193" s="13">
        <f t="shared" si="173"/>
        <v>2.136562777003313E-12</v>
      </c>
      <c r="CW193" s="20">
        <f t="shared" si="174"/>
        <v>3.9806453659427267E-12</v>
      </c>
      <c r="CX193" s="59">
        <f t="shared" si="122"/>
        <v>293.33333333333729</v>
      </c>
      <c r="CY193" s="59">
        <f ca="1">AVERAGE(OFFSET($CX$3,0,0,'Données projet'!$E$13+1,1))-AVERAGE(OFFSET($H$3,0,0,'Données projet'!$E$13+1,1))</f>
        <v>237.8483058552178</v>
      </c>
      <c r="CZ193" s="59">
        <f t="shared" si="150"/>
        <v>313.36201272119723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8.1416196712293107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3.5727158181653152E-17</v>
      </c>
      <c r="DI193" s="22">
        <f t="shared" si="175"/>
        <v>8.1416196712293107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-2.8421709430404007E-13</v>
      </c>
      <c r="DP193" s="17">
        <f>DO193*VLOOKUP('Données projet'!$B$14,Paramètres!$A$1:$I$89,3,0)*VLOOKUP('Données projet'!$B$14,Paramètres!$A$1:$I$89,5,0)</f>
        <v>-2.7489477361086758E-13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325.01961068962373</v>
      </c>
      <c r="DU193" s="59">
        <f t="shared" si="152"/>
        <v>155.12737608540039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117.14636588000634</v>
      </c>
      <c r="EB193" s="21">
        <f>EXP(-LN(2)/25)*EB192+(1-EXP(-LN(2)/25))/(LN(2)/25)*Calculateur!DW193*Calculateur!DY193*VLOOKUP('Données projet'!$B$14,Paramètres!$A$1:$I$89,3,0)*0.475*44/12</f>
        <v>15.583458272505409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132.72982415251175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-1.7053025658242404E-13</v>
      </c>
      <c r="EK193" s="17">
        <f>EJ193*VLOOKUP('Données projet'!$B$15,Paramètres!$A$1:$I$89,3,0)*VLOOKUP('Données projet'!$B$15,Paramètres!$A$1:$I$89,5,0)</f>
        <v>-1.1439169611549005E-13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178.09619481964575</v>
      </c>
      <c r="EP193" s="59">
        <f t="shared" si="154"/>
        <v>178.65167777495174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10.134364718912479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9.7382019088262203E-16</v>
      </c>
      <c r="EY193" s="22">
        <f t="shared" si="181"/>
        <v>10.134364718912481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-1.3567387213697657E-13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219.43439115440339</v>
      </c>
      <c r="FK193" s="59">
        <f t="shared" si="156"/>
        <v>217.8880462742099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12.019827922431086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1.1549960403491571E-15</v>
      </c>
      <c r="FT193" s="22">
        <f t="shared" si="184"/>
        <v>12.019827922431087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191.77102466144095</v>
      </c>
      <c r="GF193" s="59">
        <f t="shared" si="158"/>
        <v>205.57161411620217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8.8548203680300439</v>
      </c>
      <c r="GM193" s="21">
        <f>EXP(-LN(2)/25)*GM192+(1-EXP(-LN(2)/25))/(LN(2)/25)*Calculateur!GH193*Calculateur!GJ193*VLOOKUP('Données projet'!$B$17,Paramètres!$A$1:$I$89,3,0)*0.475*44/12</f>
        <v>0.66138210357931992</v>
      </c>
      <c r="GN193" s="21">
        <f>EXP(-LN(2)/2)*GN192+(1-EXP(-LN(2)/2))/(LN(2)/2)*GH193*GK193*VLOOKUP('Données projet'!$B$17,Paramètres!$A$1:$I$89,3,0)*0.475*44/12</f>
        <v>1.1645295983085159E-18</v>
      </c>
      <c r="GO193" s="21">
        <f t="shared" si="187"/>
        <v>9.5162024716093647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84.31577618130467</v>
      </c>
      <c r="T194" s="59">
        <f t="shared" si="142"/>
        <v>527.2140904310653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5.0422031715351086</v>
      </c>
      <c r="AA194" s="21">
        <f>EXP(-LN(2)/25)*AA193+(1-EXP(-LN(2)/25))/(LN(2)/25)*Calculateur!V194*Calculateur!X194*VLOOKUP('Données projet'!$B$9,Paramètres!$A$1:$I$89,3,0)*0.475*44/12</f>
        <v>0.40596400718868197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5.4481671787237902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-2.8421709430404007E-13</v>
      </c>
      <c r="AJ194" s="13">
        <f>AI194*VLOOKUP('Données projet'!$B$10,Paramètres!$A$1:$I$89,3,0)*VLOOKUP('Données projet'!$B$10,Paramètres!$A$1:$I$89,5,0)</f>
        <v>-2.5715962692629546E-13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297.90790572649428</v>
      </c>
      <c r="AO194" s="59">
        <f t="shared" si="144"/>
        <v>142.96889776844506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107.43957147814486</v>
      </c>
      <c r="AV194" s="21">
        <f>EXP(-LN(2)/25)*AV193+(1-EXP(-LN(2)/25))/(LN(2)/25)*Calculateur!AQ194*Calculateur!AS194*VLOOKUP('Données projet'!$B$10,Paramètres!$A$1:$I$89,3,0)*0.475*44/12</f>
        <v>14.179435671284311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121.61900714942917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-2.8421709430404007E-13</v>
      </c>
      <c r="BE194" s="13">
        <f>BD194*VLOOKUP('Données projet'!$B$11,Paramètres!$A$1:$I$89,3,0)*VLOOKUP('Données projet'!$B$11,Paramètres!$A$1:$I$89,5,0)</f>
        <v>-2.8819613362429665E-13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345.3294887586967</v>
      </c>
      <c r="BJ194" s="59">
        <f t="shared" si="146"/>
        <v>164.23448598618114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120.40641631171408</v>
      </c>
      <c r="BQ194" s="21">
        <f>EXP(-LN(2)/25)*BQ193+(1-EXP(-LN(2)/25))/(LN(2)/25)*Calculateur!BL194*Calculateur!BN194*VLOOKUP('Données projet'!$B$11,Paramètres!$A$1:$I$89,3,0)*0.475*44/12</f>
        <v>15.890746872991045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136.29716318470514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289.07218105343333</v>
      </c>
      <c r="CE194" s="59">
        <f t="shared" si="148"/>
        <v>217.57508587672368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18.429780109175535</v>
      </c>
      <c r="CL194" s="21">
        <f>EXP(-LN(2)/25)*CL193+(1-EXP(-LN(2)/25))/(LN(2)/25)*Calculateur!CG194*Calculateur!CI194*VLOOKUP('Données projet'!$B$12,Paramètres!$A$1:$I$89,3,0)*0.475*44/12</f>
        <v>3.4328130114732271</v>
      </c>
      <c r="CM194" s="21">
        <f>EXP(-LN(2)/2)*CM193+(1-EXP(-LN(2)/2))/(LN(2)/2)*CG194*CJ194*VLOOKUP('Données projet'!$B$12,Paramètres!$A$1:$I$89,3,0)*0.475*44/12</f>
        <v>1.5213803799835059E-15</v>
      </c>
      <c r="CN194" s="22">
        <f t="shared" si="172"/>
        <v>21.862593120648761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1.7053025658242404E-13</v>
      </c>
      <c r="CU194" s="17">
        <f>CT194*VLOOKUP('Données projet'!$B$13,Paramètres!$A$1:$I$89,3,0)*VLOOKUP('Données projet'!$B$13,Paramètres!$A$1:$I$89,5,0)</f>
        <v>1.4897523215040567E-13</v>
      </c>
      <c r="CV194" s="13">
        <f t="shared" si="173"/>
        <v>2.136562777003313E-12</v>
      </c>
      <c r="CW194" s="20">
        <f t="shared" si="174"/>
        <v>3.9806453659427267E-12</v>
      </c>
      <c r="CX194" s="59">
        <f t="shared" si="122"/>
        <v>293.33333333333729</v>
      </c>
      <c r="CY194" s="59">
        <f ca="1">AVERAGE(OFFSET($CX$3,0,0,'Données projet'!$E$13+1,1))-AVERAGE(OFFSET($H$3,0,0,'Données projet'!$E$13+1,1))</f>
        <v>237.8483058552178</v>
      </c>
      <c r="CZ194" s="59">
        <f t="shared" si="150"/>
        <v>313.36201272119723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7.9819674753741614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2.5262915822771387E-17</v>
      </c>
      <c r="DI194" s="22">
        <f t="shared" si="175"/>
        <v>7.9819674753741614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-2.8421709430404007E-13</v>
      </c>
      <c r="DP194" s="17">
        <f>DO194*VLOOKUP('Données projet'!$B$14,Paramètres!$A$1:$I$89,3,0)*VLOOKUP('Données projet'!$B$14,Paramètres!$A$1:$I$89,5,0)</f>
        <v>-2.7489477361086758E-13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325.01961068962373</v>
      </c>
      <c r="DU194" s="59">
        <f t="shared" si="152"/>
        <v>155.12737608540039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114.84919709732728</v>
      </c>
      <c r="EB194" s="21">
        <f>EXP(-LN(2)/25)*EB193+(1-EXP(-LN(2)/25))/(LN(2)/25)*Calculateur!DW194*Calculateur!DY194*VLOOKUP('Données projet'!$B$14,Paramètres!$A$1:$I$89,3,0)*0.475*44/12</f>
        <v>15.157327786545295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130.00652488387257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-1.7053025658242404E-13</v>
      </c>
      <c r="EK194" s="17">
        <f>EJ194*VLOOKUP('Données projet'!$B$15,Paramètres!$A$1:$I$89,3,0)*VLOOKUP('Données projet'!$B$15,Paramètres!$A$1:$I$89,5,0)</f>
        <v>-1.1439169611549005E-13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178.09619481964575</v>
      </c>
      <c r="EP194" s="59">
        <f t="shared" si="154"/>
        <v>178.65167777495174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9.9356360081267265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6.8859486062948016E-16</v>
      </c>
      <c r="EY194" s="22">
        <f t="shared" si="181"/>
        <v>9.9356360081267265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-1.3567387213697657E-13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219.43439115440339</v>
      </c>
      <c r="FK194" s="59">
        <f t="shared" si="156"/>
        <v>217.8880462742099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11.784126428243331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8.1670553237450024E-16</v>
      </c>
      <c r="FT194" s="22">
        <f t="shared" si="184"/>
        <v>11.784126428243331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191.77102466144095</v>
      </c>
      <c r="GF194" s="59">
        <f t="shared" si="158"/>
        <v>205.57161411620217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8.6811827415201037</v>
      </c>
      <c r="GM194" s="21">
        <f>EXP(-LN(2)/25)*GM193+(1-EXP(-LN(2)/25))/(LN(2)/25)*Calculateur!GH194*Calculateur!GJ194*VLOOKUP('Données projet'!$B$17,Paramètres!$A$1:$I$89,3,0)*0.475*44/12</f>
        <v>0.64329657517637018</v>
      </c>
      <c r="GN194" s="21">
        <f>EXP(-LN(2)/2)*GN193+(1-EXP(-LN(2)/2))/(LN(2)/2)*GH194*GK194*VLOOKUP('Données projet'!$B$17,Paramètres!$A$1:$I$89,3,0)*0.475*44/12</f>
        <v>8.2344677585639787E-19</v>
      </c>
      <c r="GO194" s="21">
        <f t="shared" si="187"/>
        <v>9.3244793166964737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84.31577618130467</v>
      </c>
      <c r="T195" s="59">
        <f t="shared" si="142"/>
        <v>527.2140904310653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4.943328642781565</v>
      </c>
      <c r="AA195" s="21">
        <f>EXP(-LN(2)/25)*AA194+(1-EXP(-LN(2)/25))/(LN(2)/25)*Calculateur!V195*Calculateur!X195*VLOOKUP('Données projet'!$B$9,Paramètres!$A$1:$I$89,3,0)*0.475*44/12</f>
        <v>0.39486290006338814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5.3381915428449531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-2.8421709430404007E-13</v>
      </c>
      <c r="AJ195" s="13">
        <f>AI195*VLOOKUP('Données projet'!$B$10,Paramètres!$A$1:$I$89,3,0)*VLOOKUP('Données projet'!$B$10,Paramètres!$A$1:$I$89,5,0)</f>
        <v>-2.5715962692629546E-13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297.90790572649428</v>
      </c>
      <c r="AO195" s="59">
        <f t="shared" si="144"/>
        <v>142.96889776844506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105.33274701312632</v>
      </c>
      <c r="AV195" s="21">
        <f>EXP(-LN(2)/25)*AV194+(1-EXP(-LN(2)/25))/(LN(2)/25)*Calculateur!AQ195*Calculateur!AS195*VLOOKUP('Données projet'!$B$10,Paramètres!$A$1:$I$89,3,0)*0.475*44/12</f>
        <v>13.791698257188928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119.12444527031525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-2.8819613362429665E-13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345.3294887586967</v>
      </c>
      <c r="BJ195" s="59">
        <f t="shared" si="146"/>
        <v>164.23448598618114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118.04531992850366</v>
      </c>
      <c r="BQ195" s="21">
        <f>EXP(-LN(2)/25)*BQ194+(1-EXP(-LN(2)/25))/(LN(2)/25)*Calculateur!BL195*Calculateur!BN195*VLOOKUP('Données projet'!$B$11,Paramètres!$A$1:$I$89,3,0)*0.475*44/12</f>
        <v>15.456213564091046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133.50153349259472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289.07218105343333</v>
      </c>
      <c r="CE195" s="59">
        <f t="shared" si="148"/>
        <v>217.57508587672368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18.068383362290508</v>
      </c>
      <c r="CL195" s="21">
        <f>EXP(-LN(2)/25)*CL194+(1-EXP(-LN(2)/25))/(LN(2)/25)*Calculateur!CG195*Calculateur!CI195*VLOOKUP('Données projet'!$B$12,Paramètres!$A$1:$I$89,3,0)*0.475*44/12</f>
        <v>3.3389425591507012</v>
      </c>
      <c r="CM195" s="21">
        <f>EXP(-LN(2)/2)*CM194+(1-EXP(-LN(2)/2))/(LN(2)/2)*CG195*CJ195*VLOOKUP('Données projet'!$B$12,Paramètres!$A$1:$I$89,3,0)*0.475*44/12</f>
        <v>1.0757783834505034E-15</v>
      </c>
      <c r="CN195" s="22">
        <f t="shared" si="172"/>
        <v>21.40732592144121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1.7053025658242404E-13</v>
      </c>
      <c r="CU195" s="17">
        <f>CT195*VLOOKUP('Données projet'!$B$13,Paramètres!$A$1:$I$89,3,0)*VLOOKUP('Données projet'!$B$13,Paramètres!$A$1:$I$89,5,0)</f>
        <v>1.4897523215040567E-13</v>
      </c>
      <c r="CV195" s="13">
        <f t="shared" si="173"/>
        <v>2.136562777003313E-12</v>
      </c>
      <c r="CW195" s="20">
        <f t="shared" si="174"/>
        <v>3.9806453659427267E-12</v>
      </c>
      <c r="CX195" s="59">
        <f t="shared" si="122"/>
        <v>293.33333333333729</v>
      </c>
      <c r="CY195" s="59">
        <f ca="1">AVERAGE(OFFSET($CX$3,0,0,'Données projet'!$E$13+1,1))-AVERAGE(OFFSET($H$3,0,0,'Données projet'!$E$13+1,1))</f>
        <v>237.8483058552178</v>
      </c>
      <c r="CZ195" s="59">
        <f t="shared" si="150"/>
        <v>313.36201272119723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7.825445961701508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1.7863579090826576E-17</v>
      </c>
      <c r="DI195" s="22">
        <f t="shared" si="175"/>
        <v>7.825445961701508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-2.8421709430404007E-13</v>
      </c>
      <c r="DP195" s="17">
        <f>DO195*VLOOKUP('Données projet'!$B$14,Paramètres!$A$1:$I$89,3,0)*VLOOKUP('Données projet'!$B$14,Paramètres!$A$1:$I$89,5,0)</f>
        <v>-2.7489477361086758E-13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325.01961068962373</v>
      </c>
      <c r="DU195" s="59">
        <f t="shared" si="152"/>
        <v>155.12737608540039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112.59707439334194</v>
      </c>
      <c r="EB195" s="21">
        <f>EXP(-LN(2)/25)*EB194+(1-EXP(-LN(2)/25))/(LN(2)/25)*Calculateur!DW195*Calculateur!DY195*VLOOKUP('Données projet'!$B$14,Paramètres!$A$1:$I$89,3,0)*0.475*44/12</f>
        <v>14.742849861132989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127.33992425447494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-1.7053025658242404E-13</v>
      </c>
      <c r="EK195" s="17">
        <f>EJ195*VLOOKUP('Données projet'!$B$15,Paramètres!$A$1:$I$89,3,0)*VLOOKUP('Données projet'!$B$15,Paramètres!$A$1:$I$89,5,0)</f>
        <v>-1.1439169611549005E-13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178.09619481964575</v>
      </c>
      <c r="EP195" s="59">
        <f t="shared" si="154"/>
        <v>178.65167777495174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9.7408042461469382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4.8691009544131102E-16</v>
      </c>
      <c r="EY195" s="22">
        <f t="shared" si="181"/>
        <v>9.7408042461469382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-1.3567387213697657E-13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219.43439115440339</v>
      </c>
      <c r="FK195" s="59">
        <f t="shared" si="156"/>
        <v>217.8880462742099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11.553046896592884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5.7749802017457855E-16</v>
      </c>
      <c r="FT195" s="22">
        <f t="shared" si="184"/>
        <v>11.553046896592884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191.77102466144095</v>
      </c>
      <c r="GF195" s="59">
        <f t="shared" si="158"/>
        <v>205.57161411620217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8.5109500429575284</v>
      </c>
      <c r="GM195" s="21">
        <f>EXP(-LN(2)/25)*GM194+(1-EXP(-LN(2)/25))/(LN(2)/25)*Calculateur!GH195*Calculateur!GJ195*VLOOKUP('Données projet'!$B$17,Paramètres!$A$1:$I$89,3,0)*0.475*44/12</f>
        <v>0.62570559649867574</v>
      </c>
      <c r="GN195" s="21">
        <f>EXP(-LN(2)/2)*GN194+(1-EXP(-LN(2)/2))/(LN(2)/2)*GH195*GK195*VLOOKUP('Données projet'!$B$17,Paramètres!$A$1:$I$89,3,0)*0.475*44/12</f>
        <v>5.8226479915425797E-19</v>
      </c>
      <c r="GO195" s="21">
        <f t="shared" si="187"/>
        <v>9.1366556394562046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84.31577618130467</v>
      </c>
      <c r="T196" s="59">
        <f t="shared" si="142"/>
        <v>527.2140904310653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4.8463929832293706</v>
      </c>
      <c r="AA196" s="21">
        <f>EXP(-LN(2)/25)*AA195+(1-EXP(-LN(2)/25))/(LN(2)/25)*Calculateur!V196*Calculateur!X196*VLOOKUP('Données projet'!$B$9,Paramètres!$A$1:$I$89,3,0)*0.475*44/12</f>
        <v>0.38406535329621733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5.2304583365255883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-2.8421709430404007E-13</v>
      </c>
      <c r="AJ196" s="13">
        <f>AI196*VLOOKUP('Données projet'!$B$10,Paramètres!$A$1:$I$89,3,0)*VLOOKUP('Données projet'!$B$10,Paramètres!$A$1:$I$89,5,0)</f>
        <v>-2.5715962692629546E-13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297.90790572649428</v>
      </c>
      <c r="AO196" s="59">
        <f t="shared" si="144"/>
        <v>142.96889776844506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103.26723609083076</v>
      </c>
      <c r="AV196" s="21">
        <f>EXP(-LN(2)/25)*AV195+(1-EXP(-LN(2)/25))/(LN(2)/25)*Calculateur!AQ196*Calculateur!AS196*VLOOKUP('Données projet'!$B$10,Paramètres!$A$1:$I$89,3,0)*0.475*44/12</f>
        <v>13.414563543072207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116.68179963390297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-2.8819613362429665E-13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345.3294887586967</v>
      </c>
      <c r="BJ196" s="59">
        <f t="shared" si="146"/>
        <v>164.23448598618114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115.7305232052414</v>
      </c>
      <c r="BQ196" s="21">
        <f>EXP(-LN(2)/25)*BQ195+(1-EXP(-LN(2)/25))/(LN(2)/25)*Calculateur!BL196*Calculateur!BN196*VLOOKUP('Données projet'!$B$11,Paramètres!$A$1:$I$89,3,0)*0.475*44/12</f>
        <v>15.033562591374031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130.76408579661543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289.07218105343333</v>
      </c>
      <c r="CE196" s="59">
        <f t="shared" si="148"/>
        <v>217.57508587672368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17.714073385181646</v>
      </c>
      <c r="CL196" s="21">
        <f>EXP(-LN(2)/25)*CL195+(1-EXP(-LN(2)/25))/(LN(2)/25)*Calculateur!CG196*Calculateur!CI196*VLOOKUP('Données projet'!$B$12,Paramètres!$A$1:$I$89,3,0)*0.475*44/12</f>
        <v>3.2476389992833674</v>
      </c>
      <c r="CM196" s="21">
        <f>EXP(-LN(2)/2)*CM195+(1-EXP(-LN(2)/2))/(LN(2)/2)*CG196*CJ196*VLOOKUP('Données projet'!$B$12,Paramètres!$A$1:$I$89,3,0)*0.475*44/12</f>
        <v>7.6069018999175296E-16</v>
      </c>
      <c r="CN196" s="22">
        <f t="shared" si="172"/>
        <v>20.961712384465013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1.7053025658242404E-13</v>
      </c>
      <c r="CU196" s="17">
        <f>CT196*VLOOKUP('Données projet'!$B$13,Paramètres!$A$1:$I$89,3,0)*VLOOKUP('Données projet'!$B$13,Paramètres!$A$1:$I$89,5,0)</f>
        <v>1.4897523215040567E-13</v>
      </c>
      <c r="CV196" s="13">
        <f t="shared" si="173"/>
        <v>2.136562777003313E-12</v>
      </c>
      <c r="CW196" s="20">
        <f t="shared" si="174"/>
        <v>3.9806453659427267E-12</v>
      </c>
      <c r="CX196" s="59">
        <f t="shared" ref="CX196:CX203" si="196">CW196+(CO196+CP196)*44/12</f>
        <v>293.33333333333729</v>
      </c>
      <c r="CY196" s="59">
        <f ca="1">AVERAGE(OFFSET($CX$3,0,0,'Données projet'!$E$13+1,1))-AVERAGE(OFFSET($H$3,0,0,'Données projet'!$E$13+1,1))</f>
        <v>237.8483058552178</v>
      </c>
      <c r="CZ196" s="59">
        <f t="shared" si="150"/>
        <v>313.36201272119723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7.6719937394432787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1.2631457911385694E-17</v>
      </c>
      <c r="DI196" s="22">
        <f t="shared" si="175"/>
        <v>7.6719937394432787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-2.8421709430404007E-13</v>
      </c>
      <c r="DP196" s="17">
        <f>DO196*VLOOKUP('Données projet'!$B$14,Paramètres!$A$1:$I$89,3,0)*VLOOKUP('Données projet'!$B$14,Paramètres!$A$1:$I$89,5,0)</f>
        <v>-2.7489477361086758E-13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325.01961068962373</v>
      </c>
      <c r="DU196" s="59">
        <f t="shared" si="152"/>
        <v>155.12737608540039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110.38911444192256</v>
      </c>
      <c r="EB196" s="21">
        <f>EXP(-LN(2)/25)*EB195+(1-EXP(-LN(2)/25))/(LN(2)/25)*Calculateur!DW196*Calculateur!DY196*VLOOKUP('Données projet'!$B$14,Paramètres!$A$1:$I$89,3,0)*0.475*44/12</f>
        <v>14.339705856387528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124.72882029831008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-1.7053025658242404E-13</v>
      </c>
      <c r="EK196" s="17">
        <f>EJ196*VLOOKUP('Données projet'!$B$15,Paramètres!$A$1:$I$89,3,0)*VLOOKUP('Données projet'!$B$15,Paramètres!$A$1:$I$89,5,0)</f>
        <v>-1.1439169611549005E-13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178.09619481964575</v>
      </c>
      <c r="EP196" s="59">
        <f t="shared" si="154"/>
        <v>178.65167777495174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9.5497930161839317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3.4429743031474008E-16</v>
      </c>
      <c r="EY196" s="22">
        <f t="shared" si="181"/>
        <v>9.5497930161839317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-1.3567387213697657E-13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219.43439115440339</v>
      </c>
      <c r="FK196" s="59">
        <f t="shared" si="156"/>
        <v>217.8880462742099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11.326498693613503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4.0835276618725012E-16</v>
      </c>
      <c r="FT196" s="22">
        <f t="shared" si="184"/>
        <v>11.326498693613503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191.77102466144095</v>
      </c>
      <c r="GF196" s="59">
        <f t="shared" si="158"/>
        <v>205.57161411620217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8.3440555037820729</v>
      </c>
      <c r="GM196" s="21">
        <f>EXP(-LN(2)/25)*GM195+(1-EXP(-LN(2)/25))/(LN(2)/25)*Calculateur!GH196*Calculateur!GJ196*VLOOKUP('Données projet'!$B$17,Paramètres!$A$1:$I$89,3,0)*0.475*44/12</f>
        <v>0.60859564405799216</v>
      </c>
      <c r="GN196" s="21">
        <f>EXP(-LN(2)/2)*GN195+(1-EXP(-LN(2)/2))/(LN(2)/2)*GH196*GK196*VLOOKUP('Données projet'!$B$17,Paramètres!$A$1:$I$89,3,0)*0.475*44/12</f>
        <v>4.1172338792819893E-19</v>
      </c>
      <c r="GO196" s="21">
        <f t="shared" si="187"/>
        <v>8.952651147840065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84.31577618130467</v>
      </c>
      <c r="T197" s="59">
        <f t="shared" ref="T197:T203" si="204">$T$3</f>
        <v>527.2140904310653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4.7513581728360812</v>
      </c>
      <c r="AA197" s="21">
        <f>EXP(-LN(2)/25)*AA196+(1-EXP(-LN(2)/25))/(LN(2)/25)*Calculateur!V197*Calculateur!X197*VLOOKUP('Données projet'!$B$9,Paramètres!$A$1:$I$89,3,0)*0.475*44/12</f>
        <v>0.37356306601321315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5.1249212388492946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-2.8421709430404007E-13</v>
      </c>
      <c r="AJ197" s="13">
        <f>AI197*VLOOKUP('Données projet'!$B$10,Paramètres!$A$1:$I$89,3,0)*VLOOKUP('Données projet'!$B$10,Paramètres!$A$1:$I$89,5,0)</f>
        <v>-2.5715962692629546E-13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297.90790572649428</v>
      </c>
      <c r="AO197" s="59">
        <f t="shared" ref="AO197:AO203" si="205">$AO$3</f>
        <v>142.96889776844506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101.24222857788416</v>
      </c>
      <c r="AV197" s="21">
        <f>EXP(-LN(2)/25)*AV196+(1-EXP(-LN(2)/25))/(LN(2)/25)*Calculateur!AQ197*Calculateur!AS197*VLOOKUP('Données projet'!$B$10,Paramètres!$A$1:$I$89,3,0)*0.475*44/12</f>
        <v>13.047741597545659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114.28997017542983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-2.8819613362429665E-13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345.3294887586967</v>
      </c>
      <c r="BJ197" s="59">
        <f t="shared" ref="BJ197:BJ203" si="206">$BJ$3</f>
        <v>164.23448598618114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113.46111823383572</v>
      </c>
      <c r="BQ197" s="21">
        <f>EXP(-LN(2)/25)*BQ196+(1-EXP(-LN(2)/25))/(LN(2)/25)*Calculateur!BL197*Calculateur!BN197*VLOOKUP('Données projet'!$B$11,Paramètres!$A$1:$I$89,3,0)*0.475*44/12</f>
        <v>14.62246903173221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128.08358726556793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289.07218105343333</v>
      </c>
      <c r="CE197" s="59">
        <f t="shared" ref="CE197:CE203" si="207">$CE$3</f>
        <v>217.57508587672368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17.366711210616142</v>
      </c>
      <c r="CL197" s="21">
        <f>EXP(-LN(2)/25)*CL196+(1-EXP(-LN(2)/25))/(LN(2)/25)*Calculateur!CG197*Calculateur!CI197*VLOOKUP('Données projet'!$B$12,Paramètres!$A$1:$I$89,3,0)*0.475*44/12</f>
        <v>3.1588321400620512</v>
      </c>
      <c r="CM197" s="21">
        <f>EXP(-LN(2)/2)*CM196+(1-EXP(-LN(2)/2))/(LN(2)/2)*CG197*CJ197*VLOOKUP('Données projet'!$B$12,Paramètres!$A$1:$I$89,3,0)*0.475*44/12</f>
        <v>5.3788919172525172E-16</v>
      </c>
      <c r="CN197" s="22">
        <f t="shared" si="172"/>
        <v>20.525543350678191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1.7053025658242404E-13</v>
      </c>
      <c r="CU197" s="17">
        <f>CT197*VLOOKUP('Données projet'!$B$13,Paramètres!$A$1:$I$89,3,0)*VLOOKUP('Données projet'!$B$13,Paramètres!$A$1:$I$89,5,0)</f>
        <v>1.4897523215040567E-13</v>
      </c>
      <c r="CV197" s="13">
        <f t="shared" si="173"/>
        <v>2.136562777003313E-12</v>
      </c>
      <c r="CW197" s="20">
        <f t="shared" si="174"/>
        <v>3.9806453659427267E-12</v>
      </c>
      <c r="CX197" s="59">
        <f t="shared" si="196"/>
        <v>293.33333333333729</v>
      </c>
      <c r="CY197" s="59">
        <f ca="1">AVERAGE(OFFSET($CX$3,0,0,'Données projet'!$E$13+1,1))-AVERAGE(OFFSET($H$3,0,0,'Données projet'!$E$13+1,1))</f>
        <v>237.8483058552178</v>
      </c>
      <c r="CZ197" s="59">
        <f t="shared" ref="CZ197:CZ203" si="208">$CZ$3</f>
        <v>313.36201272119723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7.5215506216669192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8.9317895454132881E-18</v>
      </c>
      <c r="DI197" s="22">
        <f t="shared" si="175"/>
        <v>7.5215506216669192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-2.8421709430404007E-13</v>
      </c>
      <c r="DP197" s="17">
        <f>DO197*VLOOKUP('Données projet'!$B$14,Paramètres!$A$1:$I$89,3,0)*VLOOKUP('Données projet'!$B$14,Paramètres!$A$1:$I$89,5,0)</f>
        <v>-2.7489477361086758E-13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325.01961068962373</v>
      </c>
      <c r="DU197" s="59">
        <f t="shared" ref="DU197:DU203" si="209">$DU$3</f>
        <v>155.12737608540039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108.22445123842792</v>
      </c>
      <c r="EB197" s="21">
        <f>EXP(-LN(2)/25)*EB196+(1-EXP(-LN(2)/25))/(LN(2)/25)*Calculateur!DW197*Calculateur!DY197*VLOOKUP('Données projet'!$B$14,Paramètres!$A$1:$I$89,3,0)*0.475*44/12</f>
        <v>13.947585845652254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122.17203708408017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-1.7053025658242404E-13</v>
      </c>
      <c r="EK197" s="17">
        <f>EJ197*VLOOKUP('Données projet'!$B$15,Paramètres!$A$1:$I$89,3,0)*VLOOKUP('Données projet'!$B$15,Paramètres!$A$1:$I$89,5,0)</f>
        <v>-1.1439169611549005E-13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178.09619481964575</v>
      </c>
      <c r="EP197" s="59">
        <f t="shared" ref="EP197:EP203" si="210">$EP$3</f>
        <v>178.65167777495174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9.3625273999351535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2.4345504772065551E-16</v>
      </c>
      <c r="EY197" s="22">
        <f t="shared" si="181"/>
        <v>9.3625273999351535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-1.3567387213697657E-13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219.43439115440339</v>
      </c>
      <c r="FK197" s="59">
        <f t="shared" ref="FK197:FK203" si="211">$FK$3</f>
        <v>217.8880462742099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11.10439296271379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2.8874901008728927E-16</v>
      </c>
      <c r="FT197" s="22">
        <f t="shared" si="184"/>
        <v>11.10439296271379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191.77102466144095</v>
      </c>
      <c r="GF197" s="59">
        <f t="shared" ref="GF197:GF203" si="212">$GF$3</f>
        <v>205.57161411620217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8.1804336647242302</v>
      </c>
      <c r="GM197" s="21">
        <f>EXP(-LN(2)/25)*GM196+(1-EXP(-LN(2)/25))/(LN(2)/25)*Calculateur!GH197*Calculateur!GJ197*VLOOKUP('Données projet'!$B$17,Paramètres!$A$1:$I$89,3,0)*0.475*44/12</f>
        <v>0.59195356416657241</v>
      </c>
      <c r="GN197" s="21">
        <f>EXP(-LN(2)/2)*GN196+(1-EXP(-LN(2)/2))/(LN(2)/2)*GH197*GK197*VLOOKUP('Données projet'!$B$17,Paramètres!$A$1:$I$89,3,0)*0.475*44/12</f>
        <v>2.9113239957712898E-19</v>
      </c>
      <c r="GO197" s="21">
        <f t="shared" si="187"/>
        <v>8.7723872288908034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84.31577618130467</v>
      </c>
      <c r="T198" s="59">
        <f t="shared" si="204"/>
        <v>527.2140904310653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4.6581869371090932</v>
      </c>
      <c r="AA198" s="21">
        <f>EXP(-LN(2)/25)*AA197+(1-EXP(-LN(2)/25))/(LN(2)/25)*Calculateur!V198*Calculateur!X198*VLOOKUP('Données projet'!$B$9,Paramètres!$A$1:$I$89,3,0)*0.475*44/12</f>
        <v>0.363347964328254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5.0215349014373469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-2.8421709430404007E-13</v>
      </c>
      <c r="AJ198" s="13">
        <f>AI198*VLOOKUP('Données projet'!$B$10,Paramètres!$A$1:$I$89,3,0)*VLOOKUP('Données projet'!$B$10,Paramètres!$A$1:$I$89,5,0)</f>
        <v>-2.5715962692629546E-13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297.90790572649428</v>
      </c>
      <c r="AO198" s="59">
        <f t="shared" si="205"/>
        <v>142.96889776844506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99.256930227133822</v>
      </c>
      <c r="AV198" s="21">
        <f>EXP(-LN(2)/25)*AV197+(1-EXP(-LN(2)/25))/(LN(2)/25)*Calculateur!AQ198*Calculateur!AS198*VLOOKUP('Données projet'!$B$10,Paramètres!$A$1:$I$89,3,0)*0.475*44/12</f>
        <v>12.690950417409864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111.94788064454369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-2.8819613362429665E-13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345.3294887586967</v>
      </c>
      <c r="BJ198" s="59">
        <f t="shared" si="206"/>
        <v>164.23448598618114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111.23621490971895</v>
      </c>
      <c r="BQ198" s="21">
        <f>EXP(-LN(2)/25)*BQ197+(1-EXP(-LN(2)/25))/(LN(2)/25)*Calculateur!BL198*Calculateur!BN198*VLOOKUP('Données projet'!$B$11,Paramètres!$A$1:$I$89,3,0)*0.475*44/12</f>
        <v>14.222616847097267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125.45883175681622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289.07218105343333</v>
      </c>
      <c r="CE198" s="59">
        <f t="shared" si="207"/>
        <v>217.57508587672368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17.02616059642386</v>
      </c>
      <c r="CL198" s="21">
        <f>EXP(-LN(2)/25)*CL197+(1-EXP(-LN(2)/25))/(LN(2)/25)*Calculateur!CG198*Calculateur!CI198*VLOOKUP('Données projet'!$B$12,Paramètres!$A$1:$I$89,3,0)*0.475*44/12</f>
        <v>3.0724537090762918</v>
      </c>
      <c r="CM198" s="21">
        <f>EXP(-LN(2)/2)*CM197+(1-EXP(-LN(2)/2))/(LN(2)/2)*CG198*CJ198*VLOOKUP('Données projet'!$B$12,Paramètres!$A$1:$I$89,3,0)*0.475*44/12</f>
        <v>3.8034509499587648E-16</v>
      </c>
      <c r="CN198" s="22">
        <f t="shared" si="172"/>
        <v>20.098614305500153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1.7053025658242404E-13</v>
      </c>
      <c r="CU198" s="17">
        <f>CT198*VLOOKUP('Données projet'!$B$13,Paramètres!$A$1:$I$89,3,0)*VLOOKUP('Données projet'!$B$13,Paramètres!$A$1:$I$89,5,0)</f>
        <v>1.4897523215040567E-13</v>
      </c>
      <c r="CV198" s="13">
        <f t="shared" si="173"/>
        <v>2.136562777003313E-12</v>
      </c>
      <c r="CW198" s="20">
        <f t="shared" si="174"/>
        <v>3.9806453659427267E-12</v>
      </c>
      <c r="CX198" s="59">
        <f t="shared" si="196"/>
        <v>293.33333333333729</v>
      </c>
      <c r="CY198" s="59">
        <f ca="1">AVERAGE(OFFSET($CX$3,0,0,'Données projet'!$E$13+1,1))-AVERAGE(OFFSET($H$3,0,0,'Données projet'!$E$13+1,1))</f>
        <v>237.8483058552178</v>
      </c>
      <c r="CZ198" s="59">
        <f t="shared" si="208"/>
        <v>313.36201272119723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7.3740576016689134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6.3157289556928468E-18</v>
      </c>
      <c r="DI198" s="22">
        <f t="shared" si="175"/>
        <v>7.3740576016689134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-2.8421709430404007E-13</v>
      </c>
      <c r="DP198" s="17">
        <f>DO198*VLOOKUP('Données projet'!$B$14,Paramètres!$A$1:$I$89,3,0)*VLOOKUP('Données projet'!$B$14,Paramètres!$A$1:$I$89,5,0)</f>
        <v>-2.7489477361086758E-13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325.01961068962373</v>
      </c>
      <c r="DU198" s="59">
        <f t="shared" si="209"/>
        <v>155.12737608540039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106.10223576003962</v>
      </c>
      <c r="EB198" s="21">
        <f>EXP(-LN(2)/25)*EB197+(1-EXP(-LN(2)/25))/(LN(2)/25)*Calculateur!DW198*Calculateur!DY198*VLOOKUP('Données projet'!$B$14,Paramètres!$A$1:$I$89,3,0)*0.475*44/12</f>
        <v>13.566188377231231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119.66842413727085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-1.7053025658242404E-13</v>
      </c>
      <c r="EK198" s="17">
        <f>EJ198*VLOOKUP('Données projet'!$B$15,Paramètres!$A$1:$I$89,3,0)*VLOOKUP('Données projet'!$B$15,Paramètres!$A$1:$I$89,5,0)</f>
        <v>-1.1439169611549005E-13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178.09619481964575</v>
      </c>
      <c r="EP198" s="59">
        <f t="shared" si="210"/>
        <v>178.65167777495174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9.1789339482002656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1.7214871515737004E-16</v>
      </c>
      <c r="EY198" s="22">
        <f t="shared" si="181"/>
        <v>9.1789339482002656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-1.3567387213697657E-13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219.43439115440339</v>
      </c>
      <c r="FK198" s="59">
        <f t="shared" si="211"/>
        <v>217.8880462742099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10.8866425897259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2.0417638309362506E-16</v>
      </c>
      <c r="FT198" s="22">
        <f t="shared" si="184"/>
        <v>10.8866425897259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191.77102466144095</v>
      </c>
      <c r="GF198" s="59">
        <f t="shared" si="212"/>
        <v>205.57161411620217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8.020020350130844</v>
      </c>
      <c r="GM198" s="21">
        <f>EXP(-LN(2)/25)*GM197+(1-EXP(-LN(2)/25))/(LN(2)/25)*Calculateur!GH198*Calculateur!GJ198*VLOOKUP('Données projet'!$B$17,Paramètres!$A$1:$I$89,3,0)*0.475*44/12</f>
        <v>0.57576656282495242</v>
      </c>
      <c r="GN198" s="21">
        <f>EXP(-LN(2)/2)*GN197+(1-EXP(-LN(2)/2))/(LN(2)/2)*GH198*GK198*VLOOKUP('Données projet'!$B$17,Paramètres!$A$1:$I$89,3,0)*0.475*44/12</f>
        <v>2.0586169396409947E-19</v>
      </c>
      <c r="GO198" s="21">
        <f t="shared" si="187"/>
        <v>8.5957869129557967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84.31577618130467</v>
      </c>
      <c r="T199" s="59">
        <f t="shared" si="204"/>
        <v>527.2140904310653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4.5668427324858687</v>
      </c>
      <c r="AA199" s="21">
        <f>EXP(-LN(2)/25)*AA198+(1-EXP(-LN(2)/25))/(LN(2)/25)*Calculateur!V199*Calculateur!X199*VLOOKUP('Données projet'!$B$9,Paramètres!$A$1:$I$89,3,0)*0.475*44/12</f>
        <v>0.35341219513605887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4.9202549276219276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-2.8421709430404007E-13</v>
      </c>
      <c r="AJ199" s="13">
        <f>AI199*VLOOKUP('Données projet'!$B$10,Paramètres!$A$1:$I$89,3,0)*VLOOKUP('Données projet'!$B$10,Paramètres!$A$1:$I$89,5,0)</f>
        <v>-2.5715962692629546E-13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297.90790572649428</v>
      </c>
      <c r="AO199" s="59">
        <f t="shared" si="205"/>
        <v>142.96889776844506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97.310562366129261</v>
      </c>
      <c r="AV199" s="21">
        <f>EXP(-LN(2)/25)*AV198+(1-EXP(-LN(2)/25))/(LN(2)/25)*Calculateur!AQ199*Calculateur!AS199*VLOOKUP('Données projet'!$B$10,Paramètres!$A$1:$I$89,3,0)*0.475*44/12</f>
        <v>12.343915710857715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109.65447807698698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-2.8819613362429665E-13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345.3294887586967</v>
      </c>
      <c r="BJ199" s="59">
        <f t="shared" si="206"/>
        <v>164.23448598618114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109.05494058273109</v>
      </c>
      <c r="BQ199" s="21">
        <f>EXP(-LN(2)/25)*BQ198+(1-EXP(-LN(2)/25))/(LN(2)/25)*Calculateur!BL199*Calculateur!BN199*VLOOKUP('Données projet'!$B$11,Paramètres!$A$1:$I$89,3,0)*0.475*44/12</f>
        <v>13.833698641478479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122.88863922420957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289.07218105343333</v>
      </c>
      <c r="CE199" s="59">
        <f t="shared" si="207"/>
        <v>217.57508587672368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16.692287972060527</v>
      </c>
      <c r="CL199" s="21">
        <f>EXP(-LN(2)/25)*CL198+(1-EXP(-LN(2)/25))/(LN(2)/25)*Calculateur!CG199*Calculateur!CI199*VLOOKUP('Données projet'!$B$12,Paramètres!$A$1:$I$89,3,0)*0.475*44/12</f>
        <v>2.9884373008282821</v>
      </c>
      <c r="CM199" s="21">
        <f>EXP(-LN(2)/2)*CM198+(1-EXP(-LN(2)/2))/(LN(2)/2)*CG199*CJ199*VLOOKUP('Données projet'!$B$12,Paramètres!$A$1:$I$89,3,0)*0.475*44/12</f>
        <v>2.6894459586262586E-16</v>
      </c>
      <c r="CN199" s="22">
        <f t="shared" si="172"/>
        <v>19.680725272888807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1.7053025658242404E-13</v>
      </c>
      <c r="CU199" s="17">
        <f>CT199*VLOOKUP('Données projet'!$B$13,Paramètres!$A$1:$I$89,3,0)*VLOOKUP('Données projet'!$B$13,Paramètres!$A$1:$I$89,5,0)</f>
        <v>1.4897523215040567E-13</v>
      </c>
      <c r="CV199" s="13">
        <f t="shared" si="173"/>
        <v>2.136562777003313E-12</v>
      </c>
      <c r="CW199" s="20">
        <f t="shared" si="174"/>
        <v>3.9806453659427267E-12</v>
      </c>
      <c r="CX199" s="59">
        <f t="shared" si="196"/>
        <v>293.33333333333729</v>
      </c>
      <c r="CY199" s="59">
        <f ca="1">AVERAGE(OFFSET($CX$3,0,0,'Données projet'!$E$13+1,1))-AVERAGE(OFFSET($H$3,0,0,'Données projet'!$E$13+1,1))</f>
        <v>237.8483058552178</v>
      </c>
      <c r="CZ199" s="59">
        <f t="shared" si="208"/>
        <v>313.36201272119723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7.229456829831209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4.4658947727066441E-18</v>
      </c>
      <c r="DI199" s="22">
        <f t="shared" si="175"/>
        <v>7.229456829831209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-2.8421709430404007E-13</v>
      </c>
      <c r="DP199" s="17">
        <f>DO199*VLOOKUP('Données projet'!$B$14,Paramètres!$A$1:$I$89,3,0)*VLOOKUP('Données projet'!$B$14,Paramètres!$A$1:$I$89,5,0)</f>
        <v>-2.7489477361086758E-13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325.01961068962373</v>
      </c>
      <c r="DU199" s="59">
        <f t="shared" si="209"/>
        <v>155.12737608540039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104.02163563275889</v>
      </c>
      <c r="EB199" s="21">
        <f>EXP(-LN(2)/25)*EB198+(1-EXP(-LN(2)/25))/(LN(2)/25)*Calculateur!DW199*Calculateur!DY199*VLOOKUP('Données projet'!$B$14,Paramètres!$A$1:$I$89,3,0)*0.475*44/12</f>
        <v>13.195220242641003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117.21685587539989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-1.7053025658242404E-13</v>
      </c>
      <c r="EK199" s="17">
        <f>EJ199*VLOOKUP('Données projet'!$B$15,Paramètres!$A$1:$I$89,3,0)*VLOOKUP('Données projet'!$B$15,Paramètres!$A$1:$I$89,5,0)</f>
        <v>-1.1439169611549005E-13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178.09619481964575</v>
      </c>
      <c r="EP199" s="59">
        <f t="shared" si="210"/>
        <v>178.65167777495174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8.9989406520729514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1.2172752386032775E-16</v>
      </c>
      <c r="EY199" s="22">
        <f t="shared" si="181"/>
        <v>8.9989406520729514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-1.3567387213697657E-13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219.43439115440339</v>
      </c>
      <c r="FK199" s="59">
        <f t="shared" si="211"/>
        <v>217.8880462742099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10.67316216873769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1.4437450504364464E-16</v>
      </c>
      <c r="FT199" s="22">
        <f t="shared" si="184"/>
        <v>10.67316216873769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191.77102466144095</v>
      </c>
      <c r="GF199" s="59">
        <f t="shared" si="212"/>
        <v>205.57161411620217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7.8627526427941739</v>
      </c>
      <c r="GM199" s="21">
        <f>EXP(-LN(2)/25)*GM198+(1-EXP(-LN(2)/25))/(LN(2)/25)*Calculateur!GH199*Calculateur!GJ199*VLOOKUP('Données projet'!$B$17,Paramètres!$A$1:$I$89,3,0)*0.475*44/12</f>
        <v>0.56002219588625646</v>
      </c>
      <c r="GN199" s="21">
        <f>EXP(-LN(2)/2)*GN198+(1-EXP(-LN(2)/2))/(LN(2)/2)*GH199*GK199*VLOOKUP('Données projet'!$B$17,Paramètres!$A$1:$I$89,3,0)*0.475*44/12</f>
        <v>1.4556619978856449E-19</v>
      </c>
      <c r="GO199" s="21">
        <f t="shared" si="187"/>
        <v>8.4227748386804304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84.31577618130467</v>
      </c>
      <c r="T200" s="59">
        <f t="shared" si="204"/>
        <v>527.2140904310653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4.477289732000842</v>
      </c>
      <c r="AA200" s="21">
        <f>EXP(-LN(2)/25)*AA199+(1-EXP(-LN(2)/25))/(LN(2)/25)*Calculateur!V200*Calculateur!X200*VLOOKUP('Données projet'!$B$9,Paramètres!$A$1:$I$89,3,0)*0.475*44/12</f>
        <v>0.34374812007492372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4.821037852075766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-2.8421709430404007E-13</v>
      </c>
      <c r="AJ200" s="13">
        <f>AI200*VLOOKUP('Données projet'!$B$10,Paramètres!$A$1:$I$89,3,0)*VLOOKUP('Données projet'!$B$10,Paramètres!$A$1:$I$89,5,0)</f>
        <v>-2.5715962692629546E-13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297.90790572649428</v>
      </c>
      <c r="AO200" s="59">
        <f t="shared" si="205"/>
        <v>142.96889776844506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95.402361591711824</v>
      </c>
      <c r="AV200" s="21">
        <f>EXP(-LN(2)/25)*AV199+(1-EXP(-LN(2)/25))/(LN(2)/25)*Calculateur!AQ200*Calculateur!AS200*VLOOKUP('Données projet'!$B$10,Paramètres!$A$1:$I$89,3,0)*0.475*44/12</f>
        <v>12.006370686605996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107.40873227831781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-2.8819613362429665E-13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345.3294887586967</v>
      </c>
      <c r="BJ200" s="59">
        <f t="shared" si="206"/>
        <v>164.23448598618114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106.91643971484949</v>
      </c>
      <c r="BQ200" s="21">
        <f>EXP(-LN(2)/25)*BQ199+(1-EXP(-LN(2)/25))/(LN(2)/25)*Calculateur!BL200*Calculateur!BN200*VLOOKUP('Données projet'!$B$11,Paramètres!$A$1:$I$89,3,0)*0.475*44/12</f>
        <v>13.455415424644656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120.37185513949414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289.07218105343333</v>
      </c>
      <c r="CE200" s="59">
        <f t="shared" si="207"/>
        <v>217.57508587672368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16.364962386218764</v>
      </c>
      <c r="CL200" s="21">
        <f>EXP(-LN(2)/25)*CL199+(1-EXP(-LN(2)/25))/(LN(2)/25)*Calculateur!CG200*Calculateur!CI200*VLOOKUP('Données projet'!$B$12,Paramètres!$A$1:$I$89,3,0)*0.475*44/12</f>
        <v>2.906718325682045</v>
      </c>
      <c r="CM200" s="21">
        <f>EXP(-LN(2)/2)*CM199+(1-EXP(-LN(2)/2))/(LN(2)/2)*CG200*CJ200*VLOOKUP('Données projet'!$B$12,Paramètres!$A$1:$I$89,3,0)*0.475*44/12</f>
        <v>1.9017254749793824E-16</v>
      </c>
      <c r="CN200" s="22">
        <f t="shared" si="172"/>
        <v>19.27168071190081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1.7053025658242404E-13</v>
      </c>
      <c r="CU200" s="17">
        <f>CT200*VLOOKUP('Données projet'!$B$13,Paramètres!$A$1:$I$89,3,0)*VLOOKUP('Données projet'!$B$13,Paramètres!$A$1:$I$89,5,0)</f>
        <v>1.4897523215040567E-13</v>
      </c>
      <c r="CV200" s="13">
        <f t="shared" si="173"/>
        <v>2.136562777003313E-12</v>
      </c>
      <c r="CW200" s="20">
        <f t="shared" si="174"/>
        <v>3.9806453659427267E-12</v>
      </c>
      <c r="CX200" s="59">
        <f t="shared" si="196"/>
        <v>293.33333333333729</v>
      </c>
      <c r="CY200" s="59">
        <f ca="1">AVERAGE(OFFSET($CX$3,0,0,'Données projet'!$E$13+1,1))-AVERAGE(OFFSET($H$3,0,0,'Données projet'!$E$13+1,1))</f>
        <v>237.8483058552178</v>
      </c>
      <c r="CZ200" s="59">
        <f t="shared" si="208"/>
        <v>313.36201272119723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7.0876915909314802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3.1578644778464234E-18</v>
      </c>
      <c r="DI200" s="22">
        <f t="shared" si="175"/>
        <v>7.0876915909314802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-2.8421709430404007E-13</v>
      </c>
      <c r="DP200" s="17">
        <f>DO200*VLOOKUP('Données projet'!$B$14,Paramètres!$A$1:$I$89,3,0)*VLOOKUP('Données projet'!$B$14,Paramètres!$A$1:$I$89,5,0)</f>
        <v>-2.7489477361086758E-13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325.01961068962373</v>
      </c>
      <c r="DU200" s="59">
        <f t="shared" si="209"/>
        <v>155.12737608540039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101.98183480493336</v>
      </c>
      <c r="EB200" s="21">
        <f>EXP(-LN(2)/25)*EB199+(1-EXP(-LN(2)/25))/(LN(2)/25)*Calculateur!DW200*Calculateur!DY200*VLOOKUP('Données projet'!$B$14,Paramètres!$A$1:$I$89,3,0)*0.475*44/12</f>
        <v>12.834396251199511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114.81623105613286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-1.7053025658242404E-13</v>
      </c>
      <c r="EK200" s="17">
        <f>EJ200*VLOOKUP('Données projet'!$B$15,Paramètres!$A$1:$I$89,3,0)*VLOOKUP('Données projet'!$B$15,Paramètres!$A$1:$I$89,5,0)</f>
        <v>-1.1439169611549005E-13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178.09619481964575</v>
      </c>
      <c r="EP200" s="59">
        <f t="shared" si="210"/>
        <v>178.65167777495174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8.8224769146976225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8.607435757868502E-17</v>
      </c>
      <c r="EY200" s="22">
        <f t="shared" si="181"/>
        <v>8.8224769146976225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-1.3567387213697657E-13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219.43439115440339</v>
      </c>
      <c r="FK200" s="59">
        <f t="shared" si="211"/>
        <v>217.8880462742099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10.46386796859486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1.0208819154681253E-16</v>
      </c>
      <c r="FT200" s="22">
        <f t="shared" si="184"/>
        <v>10.46386796859486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191.77102466144095</v>
      </c>
      <c r="GF200" s="59">
        <f t="shared" si="212"/>
        <v>205.57161411620217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7.7085688592745454</v>
      </c>
      <c r="GM200" s="21">
        <f>EXP(-LN(2)/25)*GM199+(1-EXP(-LN(2)/25))/(LN(2)/25)*Calculateur!GH200*Calculateur!GJ200*VLOOKUP('Données projet'!$B$17,Paramètres!$A$1:$I$89,3,0)*0.475*44/12</f>
        <v>0.54470835948945939</v>
      </c>
      <c r="GN200" s="21">
        <f>EXP(-LN(2)/2)*GN199+(1-EXP(-LN(2)/2))/(LN(2)/2)*GH200*GK200*VLOOKUP('Données projet'!$B$17,Paramètres!$A$1:$I$89,3,0)*0.475*44/12</f>
        <v>1.0293084698204973E-19</v>
      </c>
      <c r="GO200" s="21">
        <f t="shared" si="187"/>
        <v>8.2532772187640049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84.31577618130467</v>
      </c>
      <c r="T201" s="59">
        <f t="shared" si="204"/>
        <v>527.2140904310653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4.3894928112333904</v>
      </c>
      <c r="AA201" s="21">
        <f>EXP(-LN(2)/25)*AA200+(1-EXP(-LN(2)/25))/(LN(2)/25)*Calculateur!V201*Calculateur!X201*VLOOKUP('Données projet'!$B$9,Paramètres!$A$1:$I$89,3,0)*0.475*44/12</f>
        <v>0.33434830965454693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4.7238411208879372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-2.8421709430404007E-13</v>
      </c>
      <c r="AJ201" s="13">
        <f>AI201*VLOOKUP('Données projet'!$B$10,Paramètres!$A$1:$I$89,3,0)*VLOOKUP('Données projet'!$B$10,Paramètres!$A$1:$I$89,5,0)</f>
        <v>-2.5715962692629546E-13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297.90790572649428</v>
      </c>
      <c r="AO201" s="59">
        <f t="shared" si="205"/>
        <v>142.96889776844506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93.531579470593172</v>
      </c>
      <c r="AV201" s="21">
        <f>EXP(-LN(2)/25)*AV200+(1-EXP(-LN(2)/25))/(LN(2)/25)*Calculateur!AQ201*Calculateur!AS201*VLOOKUP('Données projet'!$B$10,Paramètres!$A$1:$I$89,3,0)*0.475*44/12</f>
        <v>11.678055848793161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105.20963531938634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-2.8819613362429665E-13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345.3294887586967</v>
      </c>
      <c r="BJ201" s="59">
        <f t="shared" si="206"/>
        <v>164.23448598618114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104.81987354463031</v>
      </c>
      <c r="BQ201" s="21">
        <f>EXP(-LN(2)/25)*BQ200+(1-EXP(-LN(2)/25))/(LN(2)/25)*Calculateur!BL201*Calculateur!BN201*VLOOKUP('Données projet'!$B$11,Paramètres!$A$1:$I$89,3,0)*0.475*44/12</f>
        <v>13.087476382268203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117.90734992689852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289.07218105343333</v>
      </c>
      <c r="CE201" s="59">
        <f t="shared" si="207"/>
        <v>217.57508587672368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16.044055455466463</v>
      </c>
      <c r="CL201" s="21">
        <f>EXP(-LN(2)/25)*CL200+(1-EXP(-LN(2)/25))/(LN(2)/25)*Calculateur!CG201*Calculateur!CI201*VLOOKUP('Données projet'!$B$12,Paramètres!$A$1:$I$89,3,0)*0.475*44/12</f>
        <v>2.8272339602085963</v>
      </c>
      <c r="CM201" s="21">
        <f>EXP(-LN(2)/2)*CM200+(1-EXP(-LN(2)/2))/(LN(2)/2)*CG201*CJ201*VLOOKUP('Données projet'!$B$12,Paramètres!$A$1:$I$89,3,0)*0.475*44/12</f>
        <v>1.3447229793131293E-16</v>
      </c>
      <c r="CN201" s="22">
        <f t="shared" si="172"/>
        <v>18.871289415675058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1.7053025658242404E-13</v>
      </c>
      <c r="CU201" s="17">
        <f>CT201*VLOOKUP('Données projet'!$B$13,Paramètres!$A$1:$I$89,3,0)*VLOOKUP('Données projet'!$B$13,Paramètres!$A$1:$I$89,5,0)</f>
        <v>1.4897523215040567E-13</v>
      </c>
      <c r="CV201" s="13">
        <f t="shared" si="173"/>
        <v>2.136562777003313E-12</v>
      </c>
      <c r="CW201" s="20">
        <f t="shared" si="174"/>
        <v>3.9806453659427267E-12</v>
      </c>
      <c r="CX201" s="59">
        <f t="shared" si="196"/>
        <v>293.33333333333729</v>
      </c>
      <c r="CY201" s="59">
        <f ca="1">AVERAGE(OFFSET($CX$3,0,0,'Données projet'!$E$13+1,1))-AVERAGE(OFFSET($H$3,0,0,'Données projet'!$E$13+1,1))</f>
        <v>237.8483058552178</v>
      </c>
      <c r="CZ201" s="59">
        <f t="shared" si="208"/>
        <v>313.36201272119723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6.9487062818983167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2.232947386353322E-18</v>
      </c>
      <c r="DI201" s="22">
        <f t="shared" si="175"/>
        <v>6.9487062818983167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-2.8421709430404007E-13</v>
      </c>
      <c r="DP201" s="17">
        <f>DO201*VLOOKUP('Données projet'!$B$14,Paramètres!$A$1:$I$89,3,0)*VLOOKUP('Données projet'!$B$14,Paramètres!$A$1:$I$89,5,0)</f>
        <v>-2.7489477361086758E-13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325.01961068962373</v>
      </c>
      <c r="DU201" s="59">
        <f t="shared" si="209"/>
        <v>155.12737608540039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99.982033227185823</v>
      </c>
      <c r="EB201" s="21">
        <f>EXP(-LN(2)/25)*EB200+(1-EXP(-LN(2)/25))/(LN(2)/25)*Calculateur!DW201*Calculateur!DY201*VLOOKUP('Données projet'!$B$14,Paramètres!$A$1:$I$89,3,0)*0.475*44/12</f>
        <v>12.483439010778895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112.46547223796472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-1.7053025658242404E-13</v>
      </c>
      <c r="EK201" s="17">
        <f>EJ201*VLOOKUP('Données projet'!$B$15,Paramètres!$A$1:$I$89,3,0)*VLOOKUP('Données projet'!$B$15,Paramètres!$A$1:$I$89,5,0)</f>
        <v>-1.1439169611549005E-13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178.09619481964575</v>
      </c>
      <c r="EP201" s="59">
        <f t="shared" si="210"/>
        <v>178.65167777495174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8.6494735235799727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6.0863761930163877E-17</v>
      </c>
      <c r="EY201" s="22">
        <f t="shared" si="181"/>
        <v>8.6494735235799727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-1.3567387213697657E-13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219.43439115440339</v>
      </c>
      <c r="FK201" s="59">
        <f t="shared" si="211"/>
        <v>217.8880462742099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10.258677900059974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7.2187252521822318E-17</v>
      </c>
      <c r="FT201" s="22">
        <f t="shared" si="184"/>
        <v>10.258677900059974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191.77102466144095</v>
      </c>
      <c r="GF201" s="59">
        <f t="shared" si="212"/>
        <v>205.57161411620217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7.557408525706915</v>
      </c>
      <c r="GM201" s="21">
        <f>EXP(-LN(2)/25)*GM200+(1-EXP(-LN(2)/25))/(LN(2)/25)*Calculateur!GH201*Calculateur!GJ201*VLOOKUP('Données projet'!$B$17,Paramètres!$A$1:$I$89,3,0)*0.475*44/12</f>
        <v>0.52981328075425249</v>
      </c>
      <c r="GN201" s="21">
        <f>EXP(-LN(2)/2)*GN200+(1-EXP(-LN(2)/2))/(LN(2)/2)*GH201*GK201*VLOOKUP('Données projet'!$B$17,Paramètres!$A$1:$I$89,3,0)*0.475*44/12</f>
        <v>7.2783099894282246E-20</v>
      </c>
      <c r="GO201" s="21">
        <f t="shared" si="187"/>
        <v>8.0872218064611676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84.31577618130467</v>
      </c>
      <c r="T202" s="59">
        <f t="shared" si="204"/>
        <v>527.2140904310653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4.3034175345313548</v>
      </c>
      <c r="AA202" s="21">
        <f>EXP(-LN(2)/25)*AA201+(1-EXP(-LN(2)/25))/(LN(2)/25)*Calculateur!V202*Calculateur!X202*VLOOKUP('Données projet'!$B$9,Paramètres!$A$1:$I$89,3,0)*0.475*44/12</f>
        <v>0.32520553754442988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4.6286230720757846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-2.8421709430404007E-13</v>
      </c>
      <c r="AJ202" s="13">
        <f>AI202*VLOOKUP('Données projet'!$B$10,Paramètres!$A$1:$I$89,3,0)*VLOOKUP('Données projet'!$B$10,Paramètres!$A$1:$I$89,5,0)</f>
        <v>-2.5715962692629546E-13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297.90790572649428</v>
      </c>
      <c r="AO202" s="59">
        <f t="shared" si="205"/>
        <v>142.96889776844506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91.697482245805233</v>
      </c>
      <c r="AV202" s="21">
        <f>EXP(-LN(2)/25)*AV201+(1-EXP(-LN(2)/25))/(LN(2)/25)*Calculateur!AQ202*Calculateur!AS202*VLOOKUP('Données projet'!$B$10,Paramètres!$A$1:$I$89,3,0)*0.475*44/12</f>
        <v>11.358718797485645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103.05620104329088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-2.8819613362429665E-13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345.3294887586967</v>
      </c>
      <c r="BJ202" s="59">
        <f t="shared" si="206"/>
        <v>164.23448598618114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102.76441975823003</v>
      </c>
      <c r="BQ202" s="21">
        <f>EXP(-LN(2)/25)*BQ201+(1-EXP(-LN(2)/25))/(LN(2)/25)*Calculateur!BL202*Calculateur!BN202*VLOOKUP('Données projet'!$B$11,Paramètres!$A$1:$I$89,3,0)*0.475*44/12</f>
        <v>12.729598652354609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115.49401841058464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289.07218105343333</v>
      </c>
      <c r="CE202" s="59">
        <f t="shared" si="207"/>
        <v>217.57508587672368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15.729441313892316</v>
      </c>
      <c r="CL202" s="21">
        <f>EXP(-LN(2)/25)*CL201+(1-EXP(-LN(2)/25))/(LN(2)/25)*Calculateur!CG202*Calculateur!CI202*VLOOKUP('Données projet'!$B$12,Paramètres!$A$1:$I$89,3,0)*0.475*44/12</f>
        <v>2.7499230988889201</v>
      </c>
      <c r="CM202" s="21">
        <f>EXP(-LN(2)/2)*CM201+(1-EXP(-LN(2)/2))/(LN(2)/2)*CG202*CJ202*VLOOKUP('Données projet'!$B$12,Paramètres!$A$1:$I$89,3,0)*0.475*44/12</f>
        <v>9.508627374896912E-17</v>
      </c>
      <c r="CN202" s="22">
        <f t="shared" si="172"/>
        <v>18.479364412781237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1.7053025658242404E-13</v>
      </c>
      <c r="CU202" s="17">
        <f>CT202*VLOOKUP('Données projet'!$B$13,Paramètres!$A$1:$I$89,3,0)*VLOOKUP('Données projet'!$B$13,Paramètres!$A$1:$I$89,5,0)</f>
        <v>1.4897523215040567E-13</v>
      </c>
      <c r="CV202" s="13">
        <f t="shared" si="173"/>
        <v>2.136562777003313E-12</v>
      </c>
      <c r="CW202" s="20">
        <f t="shared" si="174"/>
        <v>3.9806453659427267E-12</v>
      </c>
      <c r="CX202" s="59">
        <f t="shared" si="196"/>
        <v>293.33333333333729</v>
      </c>
      <c r="CY202" s="59">
        <f ca="1">AVERAGE(OFFSET($CX$3,0,0,'Données projet'!$E$13+1,1))-AVERAGE(OFFSET($H$3,0,0,'Données projet'!$E$13+1,1))</f>
        <v>237.8483058552178</v>
      </c>
      <c r="CZ202" s="59">
        <f t="shared" si="208"/>
        <v>313.36201272119723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6.8124463900026262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1.5789322389232117E-18</v>
      </c>
      <c r="DI202" s="22">
        <f t="shared" si="175"/>
        <v>6.8124463900026262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-2.8421709430404007E-13</v>
      </c>
      <c r="DP202" s="17">
        <f>DO202*VLOOKUP('Données projet'!$B$14,Paramètres!$A$1:$I$89,3,0)*VLOOKUP('Données projet'!$B$14,Paramètres!$A$1:$I$89,5,0)</f>
        <v>-2.7489477361086758E-13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325.01961068962373</v>
      </c>
      <c r="DU202" s="59">
        <f t="shared" si="209"/>
        <v>155.12737608540039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98.021446538619401</v>
      </c>
      <c r="EB202" s="21">
        <f>EXP(-LN(2)/25)*EB201+(1-EXP(-LN(2)/25))/(LN(2)/25)*Calculateur!DW202*Calculateur!DY202*VLOOKUP('Données projet'!$B$14,Paramètres!$A$1:$I$89,3,0)*0.475*44/12</f>
        <v>12.14207871455362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110.16352525317302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-1.7053025658242404E-13</v>
      </c>
      <c r="EK202" s="17">
        <f>EJ202*VLOOKUP('Données projet'!$B$15,Paramètres!$A$1:$I$89,3,0)*VLOOKUP('Données projet'!$B$15,Paramètres!$A$1:$I$89,5,0)</f>
        <v>-1.1439169611549005E-13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178.09619481964575</v>
      </c>
      <c r="EP202" s="59">
        <f t="shared" si="210"/>
        <v>178.65167777495174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8.479862623440491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4.303717878934251E-17</v>
      </c>
      <c r="EY202" s="22">
        <f t="shared" si="181"/>
        <v>8.479862623440491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-1.3567387213697657E-13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219.43439115440339</v>
      </c>
      <c r="FK202" s="59">
        <f t="shared" si="211"/>
        <v>217.8880462742099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10.057511483615471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5.1044095773406265E-17</v>
      </c>
      <c r="FT202" s="22">
        <f t="shared" si="184"/>
        <v>10.057511483615471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191.77102466144095</v>
      </c>
      <c r="GF202" s="59">
        <f t="shared" si="212"/>
        <v>205.57161411620217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7.4092123540818466</v>
      </c>
      <c r="GM202" s="21">
        <f>EXP(-LN(2)/25)*GM201+(1-EXP(-LN(2)/25))/(LN(2)/25)*Calculateur!GH202*Calculateur!GJ202*VLOOKUP('Données projet'!$B$17,Paramètres!$A$1:$I$89,3,0)*0.475*44/12</f>
        <v>0.51532550873035787</v>
      </c>
      <c r="GN202" s="21">
        <f>EXP(-LN(2)/2)*GN201+(1-EXP(-LN(2)/2))/(LN(2)/2)*GH202*GK202*VLOOKUP('Données projet'!$B$17,Paramètres!$A$1:$I$89,3,0)*0.475*44/12</f>
        <v>5.1465423491024867E-20</v>
      </c>
      <c r="GO202" s="21">
        <f t="shared" si="187"/>
        <v>7.9245378628122047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84.31577618130467</v>
      </c>
      <c r="T203" s="59">
        <f t="shared" si="204"/>
        <v>527.2140904310653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4.2190301415047111</v>
      </c>
      <c r="AA203" s="21">
        <f>EXP(-LN(2)/25)*AA202+(1-EXP(-LN(2)/25))/(LN(2)/25)*Calculateur!V203*Calculateur!X203*VLOOKUP('Données projet'!$B$9,Paramètres!$A$1:$I$89,3,0)*0.475*44/12</f>
        <v>0.3163127750184615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4.5353429165231729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-2.8421709430404007E-13</v>
      </c>
      <c r="AJ203" s="13">
        <f>AI203*VLOOKUP('Données projet'!$B$10,Paramètres!$A$1:$I$89,3,0)*VLOOKUP('Données projet'!$B$10,Paramètres!$A$1:$I$89,5,0)</f>
        <v>-2.5715962692629546E-13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297.90790572649428</v>
      </c>
      <c r="AO203" s="59">
        <f t="shared" si="205"/>
        <v>142.96889776844506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89.89935054890654</v>
      </c>
      <c r="AV203" s="21">
        <f>EXP(-LN(2)/25)*AV202+(1-EXP(-LN(2)/25))/(LN(2)/25)*Calculateur!AQ203*Calculateur!AS203*VLOOKUP('Données projet'!$B$10,Paramètres!$A$1:$I$89,3,0)*0.475*44/12</f>
        <v>11.048114034639338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100.94746458354588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-2.8819613362429665E-13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345.3294887586967</v>
      </c>
      <c r="BJ203" s="59">
        <f t="shared" si="206"/>
        <v>164.23448598618114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100.74927216687804</v>
      </c>
      <c r="BQ203" s="21">
        <f>EXP(-LN(2)/25)*BQ202+(1-EXP(-LN(2)/25))/(LN(2)/25)*Calculateur!BL203*Calculateur!BN203*VLOOKUP('Données projet'!$B$11,Paramètres!$A$1:$I$89,3,0)*0.475*44/12</f>
        <v>12.381507107785472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113.13077927466351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289.07218105343333</v>
      </c>
      <c r="CE203" s="59">
        <f t="shared" si="207"/>
        <v>217.57508587672368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15.420996563738759</v>
      </c>
      <c r="CL203" s="21">
        <f>EXP(-LN(2)/25)*CL202+(1-EXP(-LN(2)/25))/(LN(2)/25)*Calculateur!CG203*Calculateur!CI203*VLOOKUP('Données projet'!$B$12,Paramètres!$A$1:$I$89,3,0)*0.475*44/12</f>
        <v>2.6747263071376319</v>
      </c>
      <c r="CM203" s="21">
        <f>EXP(-LN(2)/2)*CM202+(1-EXP(-LN(2)/2))/(LN(2)/2)*CG203*CJ203*VLOOKUP('Données projet'!$B$12,Paramètres!$A$1:$I$89,3,0)*0.475*44/12</f>
        <v>6.7236148965656464E-17</v>
      </c>
      <c r="CN203" s="22">
        <f t="shared" si="172"/>
        <v>18.09572287087639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1.7053025658242404E-13</v>
      </c>
      <c r="CU203" s="17">
        <f>CT203*VLOOKUP('Données projet'!$B$13,Paramètres!$A$1:$I$89,3,0)*VLOOKUP('Données projet'!$B$13,Paramètres!$A$1:$I$89,5,0)</f>
        <v>1.4897523215040567E-13</v>
      </c>
      <c r="CV203" s="13">
        <f t="shared" si="173"/>
        <v>2.136562777003313E-12</v>
      </c>
      <c r="CW203" s="20">
        <f t="shared" si="174"/>
        <v>3.9806453659427267E-12</v>
      </c>
      <c r="CX203" s="59">
        <f t="shared" si="196"/>
        <v>293.33333333333729</v>
      </c>
      <c r="CY203" s="59">
        <f ca="1">AVERAGE(OFFSET($CX$3,0,0,'Données projet'!$E$13+1,1))-AVERAGE(OFFSET($H$3,0,0,'Données projet'!$E$13+1,1))</f>
        <v>237.8483058552178</v>
      </c>
      <c r="CZ203" s="59">
        <f t="shared" si="208"/>
        <v>313.36201272119723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6.6788584714766825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1.116473693176661E-18</v>
      </c>
      <c r="DI203" s="22">
        <f t="shared" si="175"/>
        <v>6.6788584714766825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-2.8421709430404007E-13</v>
      </c>
      <c r="DP203" s="17">
        <f>DO203*VLOOKUP('Données projet'!$B$14,Paramètres!$A$1:$I$89,3,0)*VLOOKUP('Données projet'!$B$14,Paramètres!$A$1:$I$89,5,0)</f>
        <v>-2.7489477361086758E-13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325.01961068962373</v>
      </c>
      <c r="DU203" s="59">
        <f t="shared" si="209"/>
        <v>155.12737608540039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96.099305759175962</v>
      </c>
      <c r="EB203" s="21">
        <f>EXP(-LN(2)/25)*EB202+(1-EXP(-LN(2)/25))/(LN(2)/25)*Calculateur!DW203*Calculateur!DY203*VLOOKUP('Données projet'!$B$14,Paramètres!$A$1:$I$89,3,0)*0.475*44/12</f>
        <v>11.810052933579982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107.90935869275594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-1.7053025658242404E-13</v>
      </c>
      <c r="EK203" s="17">
        <f>EJ203*VLOOKUP('Données projet'!$B$15,Paramètres!$A$1:$I$89,3,0)*VLOOKUP('Données projet'!$B$15,Paramètres!$A$1:$I$89,5,0)</f>
        <v>-1.1439169611549005E-13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178.09619481964575</v>
      </c>
      <c r="EP203" s="59">
        <f t="shared" si="210"/>
        <v>178.65167777495174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8.3135776896003097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3.0431880965081939E-17</v>
      </c>
      <c r="EY203" s="22">
        <f t="shared" si="181"/>
        <v>8.3135776896003097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-1.3567387213697657E-13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219.43439115440339</v>
      </c>
      <c r="FK203" s="59">
        <f t="shared" si="211"/>
        <v>217.8880462742099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9.8602898178980478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3.6093626260911159E-17</v>
      </c>
      <c r="FT203" s="22">
        <f t="shared" si="184"/>
        <v>9.8602898178980478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191.77102466144095</v>
      </c>
      <c r="GF203" s="59">
        <f t="shared" si="212"/>
        <v>205.57161411620217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7.2639222189916062</v>
      </c>
      <c r="GM203" s="21">
        <f>EXP(-LN(2)/25)*GM202+(1-EXP(-LN(2)/25))/(LN(2)/25)*Calculateur!GH203*Calculateur!GJ203*VLOOKUP('Données projet'!$B$17,Paramètres!$A$1:$I$89,3,0)*0.475*44/12</f>
        <v>0.50123390559433556</v>
      </c>
      <c r="GN203" s="21">
        <f>EXP(-LN(2)/2)*GN202+(1-EXP(-LN(2)/2))/(LN(2)/2)*GH203*GK203*VLOOKUP('Données projet'!$B$17,Paramètres!$A$1:$I$89,3,0)*0.475*44/12</f>
        <v>3.6391549947141123E-20</v>
      </c>
      <c r="GO203" s="21">
        <f t="shared" si="187"/>
        <v>7.7651561245859417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1.2647639395094386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1.1220412478485406</v>
      </c>
      <c r="BA205" s="82">
        <f>EXP(LN('Données projet'!B88)/'Données projet'!A88)</f>
        <v>1.1220412478485406</v>
      </c>
      <c r="BV205" s="82">
        <f>EXP(LN('Données projet'!B114)/'Données projet'!A114)</f>
        <v>1.244502252163008</v>
      </c>
      <c r="CQ205" s="82">
        <f>EXP(LN('Données projet'!B140)/'Données projet'!A140)</f>
        <v>1.278898353844806</v>
      </c>
      <c r="DL205" s="82">
        <f>EXP(LN('Données projet'!B166)/'Données projet'!A166)</f>
        <v>1.1220412478485406</v>
      </c>
      <c r="EG205" s="82">
        <f>EXP(LN('Données projet'!B192)/'Données projet'!A192)</f>
        <v>1.2721747796233518</v>
      </c>
      <c r="FB205" s="82">
        <f>EXP(LN('Données projet'!B218)/'Données projet'!A218)</f>
        <v>1.2721747796233518</v>
      </c>
      <c r="FW205" s="82">
        <f>EXP(LN('Données projet'!B244)/'Données projet'!A244)</f>
        <v>1.3480061545972777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4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5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4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6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6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5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4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5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14" sqref="N14"/>
    </sheetView>
  </sheetViews>
  <sheetFormatPr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5" t="s">
        <v>271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non cultivé</v>
      </c>
      <c r="B6" s="146">
        <f>'Données projet'!D9</f>
        <v>2.8720560000000002</v>
      </c>
      <c r="C6" s="147">
        <f ca="1">IF(OR('Données projet'!B9="",'Données projet'!C9="",'Données projet'!C9=0%),0,Calculateur!S3)</f>
        <v>84.31577618130467</v>
      </c>
      <c r="D6" s="147">
        <f>IF(OR('Données projet'!B9="",'Données projet'!C9="",'Données projet'!C9=0%),0,Calculateur!T3)</f>
        <v>527.2140904310653</v>
      </c>
      <c r="E6" s="147">
        <f ca="1">MIN(C6,D6)</f>
        <v>84.31577618130467</v>
      </c>
      <c r="F6" s="147">
        <f ca="1">E6*B6</f>
        <v>242.15963087617317</v>
      </c>
      <c r="G6" s="147">
        <f ca="1">F6*(100%-'Données projet'!$C$24)*(100%-'Données projet'!$C$25)*(100%-'Données projet'!$C$26)*(100%-'Données projet'!$C$27)</f>
        <v>217.94366778855584</v>
      </c>
      <c r="H6" s="148">
        <f>IF(OR('Données projet'!B9="",'Données projet'!C9="",'Données projet'!C9=0%),0,AVERAGE(Calculateur!$AC$3:$AC$33)*B6)</f>
        <v>76.22830341849658</v>
      </c>
      <c r="I6" s="149">
        <f>H6*(100%-'Données projet'!$C$24)*(100%-'Données projet'!$C$25)*(100%-'Données projet'!$C$26)*(100%-'Données projet'!$C$27)</f>
        <v>68.605473076646931</v>
      </c>
      <c r="J6" s="150">
        <f>IF(OR('Données projet'!B9="",'Données projet'!C9="",'Données projet'!C9=0%),0,SUM(Calculateur!$V$3:$V$33)*VLOOKUP('Données projet'!$B$9,Paramètres!$A$1:$I$89,9,0)*B6)</f>
        <v>1328.2397383200002</v>
      </c>
      <c r="K6" s="151">
        <f>J6*(100%-'Données projet'!$C$24)*(100%-'Données projet'!$C$25)*(100%-'Données projet'!$C$26)*(100%-'Données projet'!$C$27)</f>
        <v>1195.4157644880001</v>
      </c>
      <c r="L6" s="152">
        <f ca="1">G6+I6+K6</f>
        <v>1481.964905353203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sessile</v>
      </c>
      <c r="B7" s="154">
        <f>'Données projet'!D10</f>
        <v>2.41032</v>
      </c>
      <c r="C7" s="147">
        <f ca="1">IF(OR('Données projet'!B10="",'Données projet'!C10="",'Données projet'!C10=0%),0,Calculateur!AN3)</f>
        <v>297.90790572649428</v>
      </c>
      <c r="D7" s="147">
        <f>IF(OR('Données projet'!B10="",'Données projet'!C10="",'Données projet'!C10=0%),0,Calculateur!AO3)</f>
        <v>142.96889776844506</v>
      </c>
      <c r="E7" s="147">
        <f t="shared" ref="E7:E15" ca="1" si="0">MIN(C7,D7)</f>
        <v>142.96889776844506</v>
      </c>
      <c r="F7" s="147">
        <f t="shared" ref="F7:F15" ca="1" si="1">E7*B7</f>
        <v>344.6007936692385</v>
      </c>
      <c r="G7" s="147">
        <f ca="1">F7*(100%-'Données projet'!$C$24)*(100%-'Données projet'!$C$25)*(100%-'Données projet'!$C$26)*(100%-'Données projet'!$C$27)</f>
        <v>310.14071430231468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310.14071430231468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pubescent</v>
      </c>
      <c r="B8" s="154">
        <f>'Données projet'!D11</f>
        <v>1.065768</v>
      </c>
      <c r="C8" s="147">
        <f ca="1">IF(OR('Données projet'!B11="",'Données projet'!C11="",'Données projet'!C11=0%),0,Calculateur!BI3)</f>
        <v>345.3294887586967</v>
      </c>
      <c r="D8" s="147">
        <f>IF(OR('Données projet'!B11="",'Données projet'!C11="",'Données projet'!C11=0%),0,Calculateur!BJ3)</f>
        <v>164.23448598618114</v>
      </c>
      <c r="E8" s="147">
        <f t="shared" ca="1" si="0"/>
        <v>164.23448598618114</v>
      </c>
      <c r="F8" s="147">
        <f t="shared" ca="1" si="1"/>
        <v>175.03585966052032</v>
      </c>
      <c r="G8" s="147">
        <f ca="1">F8*(100%-'Données projet'!$C$24)*(100%-'Données projet'!$C$25)*(100%-'Données projet'!$C$26)*(100%-'Données projet'!$C$27)</f>
        <v>157.5322736944683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157.5322736944683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Pin laricio</v>
      </c>
      <c r="B9" s="154">
        <f>'Données projet'!D12</f>
        <v>13.22772</v>
      </c>
      <c r="C9" s="147">
        <f ca="1">IF(OR('Données projet'!B12="",'Données projet'!C12="",'Données projet'!C12=0%),0,Calculateur!CD3)</f>
        <v>289.07218105343333</v>
      </c>
      <c r="D9" s="147">
        <f>IF(OR('Données projet'!B12="",'Données projet'!C12="",'Données projet'!C12=0%),0,Calculateur!CE3)</f>
        <v>217.57508587672368</v>
      </c>
      <c r="E9" s="147">
        <f t="shared" ca="1" si="0"/>
        <v>217.57508587672368</v>
      </c>
      <c r="F9" s="147">
        <f t="shared" ca="1" si="1"/>
        <v>2878.0223149532553</v>
      </c>
      <c r="G9" s="147">
        <f ca="1">F9*(100%-'Données projet'!$C$24)*(100%-'Données projet'!$C$25)*(100%-'Données projet'!$C$26)*(100%-'Données projet'!$C$27)</f>
        <v>2590.2200834579298</v>
      </c>
      <c r="H9" s="155">
        <f>IF(OR('Données projet'!B12="",'Données projet'!C12="",'Données projet'!C12=0%),0,AVERAGE(Calculateur!$CN$3:$CN$33)*B9)</f>
        <v>39.36350882667562</v>
      </c>
      <c r="I9" s="149">
        <f>H9*(100%-'Données projet'!$C$24)*(100%-'Données projet'!$C$25)*(100%-'Données projet'!$C$26)*(100%-'Données projet'!$C$27)</f>
        <v>35.427157944008059</v>
      </c>
      <c r="J9" s="150">
        <f>IF(OR('Données projet'!B12="",'Données projet'!C12="",'Données projet'!C12=0%),0,SUM(Calculateur!$CG$3:$CG$33)*VLOOKUP('Données projet'!$B$12,Paramètres!$A$1:$I$89,9,0)*B9)</f>
        <v>381.09061319999995</v>
      </c>
      <c r="K9" s="151">
        <f>J9*(100%-'Données projet'!$C$24)*(100%-'Données projet'!$C$25)*(100%-'Données projet'!$C$26)*(100%-'Données projet'!$C$27)</f>
        <v>342.98155187999998</v>
      </c>
      <c r="L9" s="152">
        <f t="shared" ca="1" si="2"/>
        <v>2968.6287932819382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rouge d'Amérique</v>
      </c>
      <c r="B10" s="154">
        <f>'Données projet'!D13</f>
        <v>3.943632</v>
      </c>
      <c r="C10" s="147">
        <f ca="1">IF(OR('Données projet'!B13="",'Données projet'!C13="",'Données projet'!C13=0%),0,Calculateur!CY3)</f>
        <v>237.8483058552178</v>
      </c>
      <c r="D10" s="147">
        <f>IF(OR('Données projet'!B13="",'Données projet'!C13="",'Données projet'!C13=0%),0,Calculateur!CZ3)</f>
        <v>313.36201272119723</v>
      </c>
      <c r="E10" s="147">
        <f t="shared" ca="1" si="0"/>
        <v>237.8483058552178</v>
      </c>
      <c r="F10" s="147">
        <f t="shared" ca="1" si="1"/>
        <v>937.98619011642427</v>
      </c>
      <c r="G10" s="147">
        <f ca="1">F10*(100%-'Données projet'!$C$24)*(100%-'Données projet'!$C$25)*(100%-'Données projet'!$C$26)*(100%-'Données projet'!$C$27)</f>
        <v>844.18757110478191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85.773995999999997</v>
      </c>
      <c r="K10" s="151">
        <f>J10*(100%-'Données projet'!$C$24)*(100%-'Données projet'!$C$25)*(100%-'Données projet'!$C$26)*(100%-'Données projet'!$C$27)</f>
        <v>77.196596400000004</v>
      </c>
      <c r="L10" s="152">
        <f t="shared" ca="1" si="2"/>
        <v>921.38416750478189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Alisier torminal</v>
      </c>
      <c r="B11" s="154">
        <f>'Données projet'!D14</f>
        <v>1.065768</v>
      </c>
      <c r="C11" s="147">
        <f ca="1">IF(OR('Données projet'!B14="",'Données projet'!C14="",'Données projet'!C14=0%),0,Calculateur!DT3)</f>
        <v>325.01961068962373</v>
      </c>
      <c r="D11" s="147">
        <f>IF(OR('Données projet'!B14="",'Données projet'!C14="",'Données projet'!C14=0%),0,Calculateur!DU3)</f>
        <v>155.12737608540039</v>
      </c>
      <c r="E11" s="147">
        <f t="shared" ca="1" si="0"/>
        <v>155.12737608540039</v>
      </c>
      <c r="F11" s="147">
        <f t="shared" ca="1" si="1"/>
        <v>165.329793355785</v>
      </c>
      <c r="G11" s="147">
        <f ca="1">F11*(100%-'Données projet'!$C$24)*(100%-'Données projet'!$C$25)*(100%-'Données projet'!$C$26)*(100%-'Données projet'!$C$27)</f>
        <v>148.79681402020651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148.79681402020651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Tilleul</v>
      </c>
      <c r="B12" s="154">
        <f>'Données projet'!D15</f>
        <v>1.065768</v>
      </c>
      <c r="C12" s="147">
        <f ca="1">IF(OR('Données projet'!B15="",'Données projet'!C15="",'Données projet'!C15=0%),0,Calculateur!EO3)</f>
        <v>178.09619481964575</v>
      </c>
      <c r="D12" s="147">
        <f>IF(OR('Données projet'!B15="",'Données projet'!C15="",'Données projet'!C15=0%),0,Calculateur!EP3)</f>
        <v>178.65167777495174</v>
      </c>
      <c r="E12" s="147">
        <f t="shared" ca="1" si="0"/>
        <v>178.09619481964575</v>
      </c>
      <c r="F12" s="147">
        <f t="shared" ca="1" si="1"/>
        <v>189.80922536054422</v>
      </c>
      <c r="G12" s="147">
        <f ca="1">F12*(100%-'Données projet'!$C$24)*(100%-'Données projet'!$C$25)*(100%-'Données projet'!$C$26)*(100%-'Données projet'!$C$27)</f>
        <v>170.82830282448981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26.377758</v>
      </c>
      <c r="K12" s="151">
        <f>J12*(100%-'Données projet'!$C$24)*(100%-'Données projet'!$C$25)*(100%-'Données projet'!$C$26)*(100%-'Données projet'!$C$27)</f>
        <v>23.7399822</v>
      </c>
      <c r="L12" s="152">
        <f t="shared" ca="1" si="2"/>
        <v>194.5682850244898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Erable sycomore</v>
      </c>
      <c r="B13" s="154">
        <f>'Données projet'!D16</f>
        <v>1.0686719999999998</v>
      </c>
      <c r="C13" s="147">
        <f ca="1">IF(OR('Données projet'!B16="",'Données projet'!C16="",'Données projet'!C16=0%),0,Calculateur!FJ3)</f>
        <v>219.43439115440339</v>
      </c>
      <c r="D13" s="147">
        <f>IF(OR('Données projet'!B16="",'Données projet'!C16="",'Données projet'!C16=0%),0,Calculateur!FK3)</f>
        <v>217.8880462742099</v>
      </c>
      <c r="E13" s="147">
        <f t="shared" ca="1" si="0"/>
        <v>217.8880462742099</v>
      </c>
      <c r="F13" s="147">
        <f t="shared" ca="1" si="1"/>
        <v>232.85085418795239</v>
      </c>
      <c r="G13" s="147">
        <f ca="1">F13*(100%-'Données projet'!$C$24)*(100%-'Données projet'!$C$25)*(100%-'Données projet'!$C$26)*(100%-'Données projet'!$C$27)</f>
        <v>209.56576876915716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26.449631999999998</v>
      </c>
      <c r="K13" s="151">
        <f>J13*(100%-'Données projet'!$C$24)*(100%-'Données projet'!$C$25)*(100%-'Données projet'!$C$26)*(100%-'Données projet'!$C$27)</f>
        <v>23.804668799999998</v>
      </c>
      <c r="L13" s="152">
        <f t="shared" ca="1" si="2"/>
        <v>233.37043756915716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>Pin maritime</v>
      </c>
      <c r="B14" s="154">
        <f>'Données projet'!D17</f>
        <v>2.3173919999999999</v>
      </c>
      <c r="C14" s="147">
        <f ca="1">IF(OR('Données projet'!B17="",'Données projet'!C17="",'Données projet'!C17=0%),0,Calculateur!GE3)</f>
        <v>191.77102466144095</v>
      </c>
      <c r="D14" s="147">
        <f>IF(OR('Données projet'!B17="",'Données projet'!C17="",'Données projet'!C17=0%),0,Calculateur!GF3)</f>
        <v>205.57161411620217</v>
      </c>
      <c r="E14" s="147">
        <f t="shared" ca="1" si="0"/>
        <v>191.77102466144095</v>
      </c>
      <c r="F14" s="147">
        <f t="shared" ca="1" si="1"/>
        <v>444.40863838222594</v>
      </c>
      <c r="G14" s="147">
        <f ca="1">F14*(100%-'Données projet'!$C$24)*(100%-'Données projet'!$C$25)*(100%-'Données projet'!$C$26)*(100%-'Données projet'!$C$27)</f>
        <v>399.96777454400336</v>
      </c>
      <c r="H14" s="155">
        <f>IF(OR('Données projet'!B17="",'Données projet'!C17="",'Données projet'!C17=0%),0,AVERAGE(Calculateur!$GO$3:$GO$33)*B14)</f>
        <v>17.126199892177201</v>
      </c>
      <c r="I14" s="149">
        <f>H14*(100%-'Données projet'!$C$24)*(100%-'Données projet'!$C$25)*(100%-'Données projet'!$C$26)*(100%-'Données projet'!$C$27)</f>
        <v>15.413579902959482</v>
      </c>
      <c r="J14" s="150">
        <f>IF(OR('Données projet'!B17="",'Données projet'!C17="",'Données projet'!C17=0%),0,SUM(Calculateur!$GH$3:$GH$33)*VLOOKUP('Données projet'!$B$17,Paramètres!$A$1:$I$89,9,0)*B14)</f>
        <v>140.82791183999998</v>
      </c>
      <c r="K14" s="151">
        <f>J14*(100%-'Données projet'!$C$24)*(100%-'Données projet'!$C$25)*(100%-'Données projet'!$C$26)*(100%-'Données projet'!$C$27)</f>
        <v>126.74512065599998</v>
      </c>
      <c r="L14" s="152">
        <f t="shared" ca="1" si="2"/>
        <v>542.12647510296279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5610.2033005621197</v>
      </c>
      <c r="G16" s="166">
        <f t="shared" ca="1" si="3"/>
        <v>5049.1829705059072</v>
      </c>
      <c r="H16" s="167">
        <f t="shared" si="3"/>
        <v>132.7180121373494</v>
      </c>
      <c r="I16" s="167">
        <f t="shared" si="3"/>
        <v>119.44621092361447</v>
      </c>
      <c r="J16" s="168">
        <f t="shared" si="3"/>
        <v>1988.7596493600004</v>
      </c>
      <c r="K16" s="168">
        <f t="shared" si="3"/>
        <v>1789.8836844240002</v>
      </c>
      <c r="L16" s="169">
        <f t="shared" ca="1" si="3"/>
        <v>6958.5128658535223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7" t="s">
        <v>246</v>
      </c>
      <c r="G17" s="288"/>
      <c r="H17" s="288"/>
      <c r="I17" s="288"/>
      <c r="J17" s="288"/>
      <c r="K17" s="288"/>
      <c r="L17" s="288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4"/>
      <c r="G18" s="274"/>
      <c r="H18" s="274"/>
      <c r="I18" s="274"/>
      <c r="J18" s="274"/>
      <c r="K18" s="274"/>
      <c r="L18" s="274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non cultivé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Tilleul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Erable sycomore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>Pin maritime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89" zoomScale="80" zoomScaleNormal="80" workbookViewId="0">
      <selection activeCell="E17" sqref="E17"/>
    </sheetView>
  </sheetViews>
  <sheetFormatPr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5" t="s">
        <v>272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1" t="s">
        <v>315</v>
      </c>
      <c r="I4" s="261"/>
      <c r="K4" s="303" t="s">
        <v>253</v>
      </c>
      <c r="L4" s="30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non cultivé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1945.3180009673797</v>
      </c>
      <c r="U10" s="178">
        <f>'Données projet'!D9</f>
        <v>2.8720560000000002</v>
      </c>
      <c r="V10" s="177">
        <f>U10*T10</f>
        <v>5587.0622365863692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-8120.6760603456205</v>
      </c>
      <c r="U11" s="178">
        <f>'Données projet'!D10</f>
        <v>2.41032</v>
      </c>
      <c r="V11" s="177">
        <f t="shared" ref="V11" si="0">U11*T11</f>
        <v>-19573.427921772258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-8089.6773583552385</v>
      </c>
      <c r="U12" s="178">
        <f>'Données projet'!D11</f>
        <v>1.065768</v>
      </c>
      <c r="V12" s="177">
        <f t="shared" ref="V12:V19" si="1">U12*T12</f>
        <v>-8621.7192588595462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-3110.6103161629849</v>
      </c>
      <c r="U13" s="178">
        <f>'Données projet'!D12</f>
        <v>13.22772</v>
      </c>
      <c r="V13" s="177">
        <f t="shared" si="1"/>
        <v>-41146.282291315438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non cultivé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rouge d'Amérique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-5725.8792936600166</v>
      </c>
      <c r="U14" s="178">
        <f>'Données projet'!D13</f>
        <v>3.943632</v>
      </c>
      <c r="V14" s="177">
        <f t="shared" si="1"/>
        <v>-22580.76081061504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6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-8089.6773583552385</v>
      </c>
      <c r="U15" s="178">
        <f>'Données projet'!D14</f>
        <v>1.065768</v>
      </c>
      <c r="V15" s="177">
        <f t="shared" si="1"/>
        <v>-8621.7192588595462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6"/>
      <c r="H16" s="190"/>
      <c r="I16" s="191"/>
      <c r="J16" s="202"/>
      <c r="K16" s="208"/>
      <c r="L16" s="303" t="s">
        <v>254</v>
      </c>
      <c r="M16" s="304"/>
      <c r="N16" s="2">
        <v>30</v>
      </c>
      <c r="O16" s="23"/>
      <c r="P16" s="23"/>
      <c r="Q16" s="234"/>
      <c r="R16" s="23"/>
      <c r="S16" s="36" t="str">
        <f>B200</f>
        <v>Tilleul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-7239.6421557530803</v>
      </c>
      <c r="U16" s="178">
        <f>'Données projet'!D15</f>
        <v>1.065768</v>
      </c>
      <c r="V16" s="177">
        <f t="shared" si="1"/>
        <v>-7715.7789410526493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2800</v>
      </c>
      <c r="F17" s="230"/>
      <c r="G17" s="306"/>
      <c r="J17" s="202"/>
      <c r="K17" s="208"/>
      <c r="L17" s="263" t="s">
        <v>289</v>
      </c>
      <c r="M17" s="265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>Erable sycomore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-7239.6421557530803</v>
      </c>
      <c r="U17" s="178">
        <f>'Données projet'!D16</f>
        <v>1.0686719999999998</v>
      </c>
      <c r="V17" s="177">
        <f t="shared" si="1"/>
        <v>-7736.802861872955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v>750</v>
      </c>
      <c r="F18" s="230"/>
      <c r="G18" s="306"/>
      <c r="J18" s="202"/>
      <c r="K18" s="208"/>
      <c r="L18" s="263" t="s">
        <v>255</v>
      </c>
      <c r="M18" s="265"/>
      <c r="N18" s="192">
        <v>8</v>
      </c>
      <c r="O18" s="23"/>
      <c r="P18" s="23"/>
      <c r="Q18" s="234"/>
      <c r="R18" s="23"/>
      <c r="S18" s="36" t="str">
        <f>B262</f>
        <v>Pin maritime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-7049.9926598520551</v>
      </c>
      <c r="U18" s="178">
        <f>'Données projet'!D17</f>
        <v>2.3173919999999999</v>
      </c>
      <c r="V18" s="177">
        <f t="shared" si="1"/>
        <v>-16337.596589999874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490</v>
      </c>
      <c r="F19" s="230"/>
      <c r="G19" s="306"/>
      <c r="H19" s="212" t="s">
        <v>178</v>
      </c>
      <c r="I19" s="212" t="s">
        <v>287</v>
      </c>
      <c r="J19" s="93"/>
      <c r="K19" s="173"/>
      <c r="L19" s="303" t="s">
        <v>288</v>
      </c>
      <c r="M19" s="304"/>
      <c r="N19" s="179">
        <f>N17*N18</f>
        <v>239.99999999999994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6"/>
      <c r="H20" s="190">
        <v>0</v>
      </c>
      <c r="I20" s="191">
        <v>2000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>
        <v>650</v>
      </c>
      <c r="F22" s="230"/>
      <c r="H22" s="190">
        <v>2</v>
      </c>
      <c r="I22" s="191">
        <v>150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26</v>
      </c>
      <c r="B23" s="181">
        <f>'Données projet'!D36</f>
        <v>449</v>
      </c>
      <c r="C23" s="193">
        <v>45</v>
      </c>
      <c r="D23" s="182">
        <f>B23*C23</f>
        <v>20205</v>
      </c>
      <c r="E23" s="193"/>
      <c r="F23" s="230"/>
      <c r="H23" s="190">
        <v>5</v>
      </c>
      <c r="I23" s="191">
        <v>150</v>
      </c>
      <c r="K23" s="208"/>
      <c r="L23" s="305" t="s">
        <v>260</v>
      </c>
      <c r="M23" s="305"/>
      <c r="N23" s="305"/>
      <c r="O23" s="23"/>
      <c r="P23" s="23"/>
      <c r="Q23" s="234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-196479.84317653952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1860.8833080776078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2">
        <f ca="1">T23-T24</f>
        <v>-198340.72648461713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9" t="s">
        <v>258</v>
      </c>
      <c r="M26" s="290"/>
      <c r="N26" s="290"/>
      <c r="O26" s="290"/>
      <c r="P26" s="291"/>
      <c r="Q26" s="234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2"/>
      <c r="M27" s="293"/>
      <c r="N27" s="293"/>
      <c r="O27" s="293"/>
      <c r="P27" s="294"/>
      <c r="Q27" s="234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4300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>
        <v>1500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1500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>
        <v>1500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42</v>
      </c>
      <c r="B54" s="181">
        <f>'Données projet'!D62</f>
        <v>30</v>
      </c>
      <c r="C54" s="259">
        <v>8</v>
      </c>
      <c r="D54" s="179">
        <f>B54*C54</f>
        <v>240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50</v>
      </c>
      <c r="B55" s="181">
        <f>'Données projet'!D63</f>
        <v>35</v>
      </c>
      <c r="C55" s="259">
        <v>8</v>
      </c>
      <c r="D55" s="179">
        <f t="shared" ref="D55:D73" si="4">B55*C55</f>
        <v>280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58</v>
      </c>
      <c r="B56" s="181">
        <f>'Données projet'!D64</f>
        <v>44</v>
      </c>
      <c r="C56" s="259">
        <v>9</v>
      </c>
      <c r="D56" s="179">
        <f t="shared" si="4"/>
        <v>396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66</v>
      </c>
      <c r="B57" s="181">
        <f>'Données projet'!D65</f>
        <v>39</v>
      </c>
      <c r="C57" s="259">
        <v>9</v>
      </c>
      <c r="D57" s="179">
        <f t="shared" si="4"/>
        <v>351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75</v>
      </c>
      <c r="B58" s="181">
        <f>'Données projet'!D66</f>
        <v>37</v>
      </c>
      <c r="C58" s="259">
        <v>9</v>
      </c>
      <c r="D58" s="179">
        <f t="shared" si="4"/>
        <v>333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84</v>
      </c>
      <c r="B59" s="181">
        <f>'Données projet'!D67</f>
        <v>36</v>
      </c>
      <c r="C59" s="259">
        <v>14.2</v>
      </c>
      <c r="D59" s="179">
        <f t="shared" si="4"/>
        <v>511.2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93</v>
      </c>
      <c r="B60" s="181">
        <f>'Données projet'!D68</f>
        <v>35</v>
      </c>
      <c r="C60" s="259">
        <v>24.3</v>
      </c>
      <c r="D60" s="179">
        <f t="shared" si="4"/>
        <v>850.5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str">
        <f>IF(O59+1&lt;=MIN('Données projet'!$E$9:$E$18),O59+1,"STOP")</f>
        <v>STOP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103</v>
      </c>
      <c r="B61" s="181">
        <f>'Données projet'!D69</f>
        <v>38</v>
      </c>
      <c r="C61" s="259">
        <v>29.4</v>
      </c>
      <c r="D61" s="179">
        <f t="shared" si="4"/>
        <v>1117.2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113</v>
      </c>
      <c r="B62" s="181">
        <f>'Données projet'!D70</f>
        <v>42</v>
      </c>
      <c r="C62" s="259">
        <v>44.6</v>
      </c>
      <c r="D62" s="179">
        <f t="shared" si="4"/>
        <v>1873.2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123</v>
      </c>
      <c r="B63" s="181">
        <f>'Données projet'!D71</f>
        <v>46</v>
      </c>
      <c r="C63" s="259">
        <v>44.6</v>
      </c>
      <c r="D63" s="179">
        <f t="shared" si="4"/>
        <v>2051.6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135</v>
      </c>
      <c r="B64" s="181">
        <f>'Données projet'!D72</f>
        <v>48</v>
      </c>
      <c r="C64" s="259">
        <v>44.6</v>
      </c>
      <c r="D64" s="179">
        <f t="shared" si="4"/>
        <v>2140.8000000000002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147</v>
      </c>
      <c r="B65" s="181">
        <f>'Données projet'!D73</f>
        <v>48</v>
      </c>
      <c r="C65" s="259">
        <v>44.6</v>
      </c>
      <c r="D65" s="179">
        <f t="shared" si="4"/>
        <v>2140.8000000000002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159</v>
      </c>
      <c r="B66" s="181">
        <f>'Données projet'!D74</f>
        <v>47</v>
      </c>
      <c r="C66" s="259">
        <v>44.6</v>
      </c>
      <c r="D66" s="179">
        <f t="shared" si="4"/>
        <v>2096.2000000000003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171</v>
      </c>
      <c r="B67" s="181">
        <f>'Données projet'!D75</f>
        <v>399</v>
      </c>
      <c r="C67" s="259">
        <v>93.6</v>
      </c>
      <c r="D67" s="179">
        <f t="shared" si="4"/>
        <v>37346.399999999994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4300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>
        <v>1500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>
        <v>1500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>
        <v>1500</v>
      </c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42</v>
      </c>
      <c r="B85" s="181">
        <f>'Données projet'!D88</f>
        <v>30</v>
      </c>
      <c r="C85" s="191">
        <v>8</v>
      </c>
      <c r="D85" s="179">
        <f>B85*C85</f>
        <v>240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50</v>
      </c>
      <c r="B86" s="181">
        <f>'Données projet'!D89</f>
        <v>35</v>
      </c>
      <c r="C86" s="191">
        <v>8</v>
      </c>
      <c r="D86" s="179">
        <f t="shared" ref="D86:D104" si="6">B86*C86</f>
        <v>280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58</v>
      </c>
      <c r="B87" s="181">
        <f>'Données projet'!D90</f>
        <v>44</v>
      </c>
      <c r="C87" s="191">
        <v>9</v>
      </c>
      <c r="D87" s="179">
        <f t="shared" si="6"/>
        <v>396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66</v>
      </c>
      <c r="B88" s="181">
        <f>'Données projet'!D91</f>
        <v>39</v>
      </c>
      <c r="C88" s="191">
        <v>9</v>
      </c>
      <c r="D88" s="179">
        <f t="shared" si="6"/>
        <v>351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75</v>
      </c>
      <c r="B89" s="181">
        <f>'Données projet'!D92</f>
        <v>37</v>
      </c>
      <c r="C89" s="191">
        <v>9</v>
      </c>
      <c r="D89" s="179">
        <f t="shared" si="6"/>
        <v>333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84</v>
      </c>
      <c r="B90" s="181">
        <f>'Données projet'!D93</f>
        <v>36</v>
      </c>
      <c r="C90" s="191">
        <v>14.2</v>
      </c>
      <c r="D90" s="179">
        <f t="shared" si="6"/>
        <v>511.2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93</v>
      </c>
      <c r="B91" s="181">
        <f>'Données projet'!D94</f>
        <v>35</v>
      </c>
      <c r="C91" s="191">
        <v>24.3</v>
      </c>
      <c r="D91" s="179">
        <f t="shared" si="6"/>
        <v>850.5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103</v>
      </c>
      <c r="B92" s="181">
        <f>'Données projet'!D95</f>
        <v>38</v>
      </c>
      <c r="C92" s="191">
        <v>29.4</v>
      </c>
      <c r="D92" s="179">
        <f t="shared" si="6"/>
        <v>1117.2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113</v>
      </c>
      <c r="B93" s="181">
        <f>'Données projet'!D96</f>
        <v>42</v>
      </c>
      <c r="C93" s="191">
        <v>44.6</v>
      </c>
      <c r="D93" s="179">
        <f t="shared" si="6"/>
        <v>1873.2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123</v>
      </c>
      <c r="B94" s="181">
        <f>'Données projet'!D97</f>
        <v>46</v>
      </c>
      <c r="C94" s="191">
        <v>44.6</v>
      </c>
      <c r="D94" s="179">
        <f t="shared" si="6"/>
        <v>2051.6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135</v>
      </c>
      <c r="B95" s="181">
        <f>'Données projet'!D98</f>
        <v>48</v>
      </c>
      <c r="C95" s="191">
        <v>44.6</v>
      </c>
      <c r="D95" s="179">
        <f t="shared" si="6"/>
        <v>2140.8000000000002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147</v>
      </c>
      <c r="B96" s="181">
        <f>'Données projet'!D99</f>
        <v>48</v>
      </c>
      <c r="C96" s="191">
        <v>44.6</v>
      </c>
      <c r="D96" s="179">
        <f t="shared" si="6"/>
        <v>2140.8000000000002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159</v>
      </c>
      <c r="B97" s="181">
        <f>'Données projet'!D100</f>
        <v>47</v>
      </c>
      <c r="C97" s="191">
        <v>44.6</v>
      </c>
      <c r="D97" s="179">
        <f t="shared" si="6"/>
        <v>2096.2000000000003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171</v>
      </c>
      <c r="B98" s="181">
        <f>'Données projet'!D101</f>
        <v>399</v>
      </c>
      <c r="C98" s="191">
        <v>93.6</v>
      </c>
      <c r="D98" s="179">
        <f t="shared" si="6"/>
        <v>37346.399999999994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4300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v>1500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1500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>
        <v>1500</v>
      </c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22</v>
      </c>
      <c r="B116" s="181">
        <f>'Données projet'!D114</f>
        <v>16</v>
      </c>
      <c r="C116" s="259">
        <v>11.600000000000001</v>
      </c>
      <c r="D116" s="179">
        <f>B116*C116</f>
        <v>185.60000000000002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25</v>
      </c>
      <c r="B117" s="181">
        <f>'Données projet'!D115</f>
        <v>17</v>
      </c>
      <c r="C117" s="259">
        <v>11.600000000000001</v>
      </c>
      <c r="D117" s="179">
        <f t="shared" ref="D117:D135" si="8">B117*C117</f>
        <v>197.20000000000002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30</v>
      </c>
      <c r="B118" s="181">
        <f>'Données projet'!D116</f>
        <v>34</v>
      </c>
      <c r="C118" s="259">
        <v>11.600000000000001</v>
      </c>
      <c r="D118" s="179">
        <f t="shared" si="8"/>
        <v>394.40000000000003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35</v>
      </c>
      <c r="B119" s="181">
        <f>'Données projet'!D117</f>
        <v>41</v>
      </c>
      <c r="C119" s="259">
        <v>11.600000000000001</v>
      </c>
      <c r="D119" s="179">
        <f t="shared" si="8"/>
        <v>475.60000000000008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40</v>
      </c>
      <c r="B120" s="181">
        <f>'Données projet'!D118</f>
        <v>41</v>
      </c>
      <c r="C120" s="259">
        <v>11.600000000000001</v>
      </c>
      <c r="D120" s="179">
        <f t="shared" si="8"/>
        <v>475.60000000000008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45</v>
      </c>
      <c r="B121" s="181">
        <f>'Données projet'!D119</f>
        <v>53</v>
      </c>
      <c r="C121" s="259">
        <v>11.600000000000001</v>
      </c>
      <c r="D121" s="179">
        <f t="shared" si="8"/>
        <v>614.80000000000007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50</v>
      </c>
      <c r="B122" s="181">
        <f>'Données projet'!D120</f>
        <v>53</v>
      </c>
      <c r="C122" s="259">
        <v>15.600000000000001</v>
      </c>
      <c r="D122" s="179">
        <f t="shared" si="8"/>
        <v>826.80000000000007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58</v>
      </c>
      <c r="B123" s="181">
        <f>'Données projet'!D121</f>
        <v>78</v>
      </c>
      <c r="C123" s="259">
        <v>20.2</v>
      </c>
      <c r="D123" s="179">
        <f t="shared" si="8"/>
        <v>1575.6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66</v>
      </c>
      <c r="B124" s="181">
        <f>'Données projet'!D122</f>
        <v>65</v>
      </c>
      <c r="C124" s="259">
        <v>17.2</v>
      </c>
      <c r="D124" s="179">
        <f t="shared" si="8"/>
        <v>1118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74</v>
      </c>
      <c r="B125" s="181">
        <f>'Données projet'!D123</f>
        <v>37</v>
      </c>
      <c r="C125" s="259">
        <v>20.8</v>
      </c>
      <c r="D125" s="179">
        <f t="shared" si="8"/>
        <v>769.6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82</v>
      </c>
      <c r="B126" s="181">
        <f>'Données projet'!D124</f>
        <v>567</v>
      </c>
      <c r="C126" s="259">
        <v>24.4</v>
      </c>
      <c r="D126" s="179">
        <f t="shared" si="8"/>
        <v>13834.8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Chêne rouge d'Amérique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4300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v>1500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v>1500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>
        <v>1500</v>
      </c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20</v>
      </c>
      <c r="B147" s="175">
        <f>'Données projet'!D140</f>
        <v>43</v>
      </c>
      <c r="C147" s="191">
        <v>8</v>
      </c>
      <c r="D147" s="182">
        <f>B147*C147</f>
        <v>344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30</v>
      </c>
      <c r="B148" s="175">
        <f>'Données projet'!D141</f>
        <v>44</v>
      </c>
      <c r="C148" s="191">
        <v>8</v>
      </c>
      <c r="D148" s="182">
        <f t="shared" ref="D148:D166" si="10">B148*C148</f>
        <v>352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40</v>
      </c>
      <c r="B149" s="175">
        <f>'Données projet'!D142</f>
        <v>39</v>
      </c>
      <c r="C149" s="191">
        <v>35.800000000000004</v>
      </c>
      <c r="D149" s="182">
        <f t="shared" si="10"/>
        <v>1396.2000000000003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50</v>
      </c>
      <c r="B150" s="175">
        <f>'Données projet'!D143</f>
        <v>33</v>
      </c>
      <c r="C150" s="191">
        <v>35.800000000000004</v>
      </c>
      <c r="D150" s="182">
        <f t="shared" si="10"/>
        <v>1181.4000000000001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60</v>
      </c>
      <c r="B151" s="175">
        <f>'Données projet'!D144</f>
        <v>26</v>
      </c>
      <c r="C151" s="191">
        <v>45.599999999999994</v>
      </c>
      <c r="D151" s="182">
        <f t="shared" si="10"/>
        <v>1185.5999999999999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70</v>
      </c>
      <c r="B152" s="175">
        <f>'Données projet'!D145</f>
        <v>249</v>
      </c>
      <c r="C152" s="191">
        <v>45.599999999999994</v>
      </c>
      <c r="D152" s="182">
        <f t="shared" si="10"/>
        <v>11354.399999999998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4300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v>1500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v>1500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>
        <v>1500</v>
      </c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42</v>
      </c>
      <c r="B178" s="181">
        <f>'Données projet'!D166</f>
        <v>30</v>
      </c>
      <c r="C178" s="193">
        <v>8</v>
      </c>
      <c r="D178" s="179">
        <f>B178*C178</f>
        <v>240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50</v>
      </c>
      <c r="B179" s="181">
        <f>'Données projet'!D167</f>
        <v>35</v>
      </c>
      <c r="C179" s="193">
        <v>8</v>
      </c>
      <c r="D179" s="179">
        <f t="shared" ref="D179:D197" si="11">B179*C179</f>
        <v>280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58</v>
      </c>
      <c r="B180" s="181">
        <f>'Données projet'!D168</f>
        <v>44</v>
      </c>
      <c r="C180" s="193">
        <v>9</v>
      </c>
      <c r="D180" s="179">
        <f t="shared" si="11"/>
        <v>396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66</v>
      </c>
      <c r="B181" s="181">
        <f>'Données projet'!D169</f>
        <v>39</v>
      </c>
      <c r="C181" s="193">
        <v>9</v>
      </c>
      <c r="D181" s="179">
        <f t="shared" si="11"/>
        <v>351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75</v>
      </c>
      <c r="B182" s="181">
        <f>'Données projet'!D170</f>
        <v>37</v>
      </c>
      <c r="C182" s="193">
        <v>9</v>
      </c>
      <c r="D182" s="179">
        <f t="shared" si="11"/>
        <v>333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84</v>
      </c>
      <c r="B183" s="181">
        <f>'Données projet'!D171</f>
        <v>36</v>
      </c>
      <c r="C183" s="193">
        <v>14.2</v>
      </c>
      <c r="D183" s="179">
        <f t="shared" si="11"/>
        <v>511.2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93</v>
      </c>
      <c r="B184" s="181">
        <f>'Données projet'!D172</f>
        <v>35</v>
      </c>
      <c r="C184" s="193">
        <v>24.3</v>
      </c>
      <c r="D184" s="179">
        <f t="shared" si="11"/>
        <v>850.5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103</v>
      </c>
      <c r="B185" s="181">
        <f>'Données projet'!D173</f>
        <v>38</v>
      </c>
      <c r="C185" s="193">
        <v>29.4</v>
      </c>
      <c r="D185" s="179">
        <f t="shared" si="11"/>
        <v>1117.2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113</v>
      </c>
      <c r="B186" s="181">
        <f>'Données projet'!D174</f>
        <v>42</v>
      </c>
      <c r="C186" s="193">
        <v>44.6</v>
      </c>
      <c r="D186" s="179">
        <f t="shared" si="11"/>
        <v>1873.2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123</v>
      </c>
      <c r="B187" s="181">
        <f>'Données projet'!D175</f>
        <v>46</v>
      </c>
      <c r="C187" s="193">
        <v>44.6</v>
      </c>
      <c r="D187" s="179">
        <f t="shared" si="11"/>
        <v>2051.6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135</v>
      </c>
      <c r="B188" s="181">
        <f>'Données projet'!D176</f>
        <v>48</v>
      </c>
      <c r="C188" s="193">
        <v>44.6</v>
      </c>
      <c r="D188" s="179">
        <f t="shared" si="11"/>
        <v>2140.8000000000002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147</v>
      </c>
      <c r="B189" s="181">
        <f>'Données projet'!D177</f>
        <v>48</v>
      </c>
      <c r="C189" s="193">
        <v>44.6</v>
      </c>
      <c r="D189" s="179">
        <f t="shared" si="11"/>
        <v>2140.8000000000002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159</v>
      </c>
      <c r="B190" s="181">
        <f>'Données projet'!D178</f>
        <v>47</v>
      </c>
      <c r="C190" s="193">
        <v>44.6</v>
      </c>
      <c r="D190" s="179">
        <f t="shared" si="11"/>
        <v>2096.2000000000003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171</v>
      </c>
      <c r="B191" s="181">
        <f>'Données projet'!D179</f>
        <v>399</v>
      </c>
      <c r="C191" s="193">
        <v>93.6</v>
      </c>
      <c r="D191" s="179">
        <f t="shared" si="11"/>
        <v>37346.399999999994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Tilleul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4300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v>1500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v>1500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>
        <v>1500</v>
      </c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15</v>
      </c>
      <c r="B209" s="181">
        <f>'Données projet'!D192</f>
        <v>15</v>
      </c>
      <c r="C209" s="193">
        <v>8</v>
      </c>
      <c r="D209" s="179">
        <f>B209*C209</f>
        <v>120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20</v>
      </c>
      <c r="B210" s="181">
        <f>'Données projet'!D193</f>
        <v>28</v>
      </c>
      <c r="C210" s="193">
        <v>8</v>
      </c>
      <c r="D210" s="179">
        <f t="shared" ref="D210:D228" si="12">B210*C210</f>
        <v>224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25</v>
      </c>
      <c r="B211" s="181">
        <f>'Données projet'!D194</f>
        <v>28</v>
      </c>
      <c r="C211" s="193">
        <v>8</v>
      </c>
      <c r="D211" s="179">
        <f t="shared" si="12"/>
        <v>224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30</v>
      </c>
      <c r="B212" s="181">
        <f>'Données projet'!D195</f>
        <v>28</v>
      </c>
      <c r="C212" s="193">
        <v>8</v>
      </c>
      <c r="D212" s="179">
        <f t="shared" si="12"/>
        <v>224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35</v>
      </c>
      <c r="B213" s="181">
        <f>'Données projet'!D196</f>
        <v>28</v>
      </c>
      <c r="C213" s="193">
        <v>23</v>
      </c>
      <c r="D213" s="179">
        <f t="shared" si="12"/>
        <v>644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40</v>
      </c>
      <c r="B214" s="181">
        <f>'Données projet'!D197</f>
        <v>28</v>
      </c>
      <c r="C214" s="193">
        <v>23</v>
      </c>
      <c r="D214" s="179">
        <f t="shared" si="12"/>
        <v>644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45</v>
      </c>
      <c r="B215" s="181">
        <f>'Données projet'!D198</f>
        <v>22</v>
      </c>
      <c r="C215" s="193">
        <v>23</v>
      </c>
      <c r="D215" s="179">
        <f t="shared" si="12"/>
        <v>506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50</v>
      </c>
      <c r="B216" s="181">
        <f>'Données projet'!D199</f>
        <v>17</v>
      </c>
      <c r="C216" s="193">
        <v>23</v>
      </c>
      <c r="D216" s="179">
        <f t="shared" si="12"/>
        <v>391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55</v>
      </c>
      <c r="B217" s="181">
        <f>'Données projet'!D200</f>
        <v>13</v>
      </c>
      <c r="C217" s="193">
        <v>30.8</v>
      </c>
      <c r="D217" s="179">
        <f t="shared" si="12"/>
        <v>400.40000000000003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60</v>
      </c>
      <c r="B218" s="181">
        <f>'Données projet'!D201</f>
        <v>12</v>
      </c>
      <c r="C218" s="193">
        <v>30.8</v>
      </c>
      <c r="D218" s="179">
        <f t="shared" si="12"/>
        <v>369.6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65</v>
      </c>
      <c r="B219" s="181">
        <f>'Données projet'!D202</f>
        <v>11</v>
      </c>
      <c r="C219" s="193">
        <v>30.8</v>
      </c>
      <c r="D219" s="179">
        <f t="shared" si="12"/>
        <v>338.8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70</v>
      </c>
      <c r="B220" s="181">
        <f>'Données projet'!D203</f>
        <v>10</v>
      </c>
      <c r="C220" s="193">
        <v>30.8</v>
      </c>
      <c r="D220" s="179">
        <f t="shared" si="12"/>
        <v>308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75</v>
      </c>
      <c r="B221" s="181">
        <f>'Données projet'!D204</f>
        <v>9</v>
      </c>
      <c r="C221" s="193">
        <v>38.599999999999994</v>
      </c>
      <c r="D221" s="179">
        <f t="shared" si="12"/>
        <v>347.4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80</v>
      </c>
      <c r="B222" s="181">
        <f>'Données projet'!D205</f>
        <v>275</v>
      </c>
      <c r="C222" s="193">
        <v>38.599999999999994</v>
      </c>
      <c r="D222" s="179">
        <f t="shared" si="12"/>
        <v>10614.999999999998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>Erable sycomore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4300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>
        <v>1500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v>1500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>
        <v>1500</v>
      </c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15</v>
      </c>
      <c r="B240" s="181">
        <f>'Données projet'!D218</f>
        <v>15</v>
      </c>
      <c r="C240" s="193">
        <v>8</v>
      </c>
      <c r="D240" s="179">
        <f>B240*C240</f>
        <v>120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20</v>
      </c>
      <c r="B241" s="181">
        <f>'Données projet'!D219</f>
        <v>28</v>
      </c>
      <c r="C241" s="193">
        <v>8</v>
      </c>
      <c r="D241" s="179">
        <f t="shared" ref="D241:D259" si="13">B241*C241</f>
        <v>224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25</v>
      </c>
      <c r="B242" s="181">
        <f>'Données projet'!D220</f>
        <v>28</v>
      </c>
      <c r="C242" s="193">
        <v>8</v>
      </c>
      <c r="D242" s="179">
        <f t="shared" si="13"/>
        <v>224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30</v>
      </c>
      <c r="B243" s="181">
        <f>'Données projet'!D221</f>
        <v>28</v>
      </c>
      <c r="C243" s="193">
        <v>8</v>
      </c>
      <c r="D243" s="179">
        <f t="shared" si="13"/>
        <v>224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35</v>
      </c>
      <c r="B244" s="181">
        <f>'Données projet'!D222</f>
        <v>28</v>
      </c>
      <c r="C244" s="193">
        <v>23</v>
      </c>
      <c r="D244" s="179">
        <f t="shared" si="13"/>
        <v>644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40</v>
      </c>
      <c r="B245" s="181">
        <f>'Données projet'!D223</f>
        <v>28</v>
      </c>
      <c r="C245" s="193">
        <v>23</v>
      </c>
      <c r="D245" s="179">
        <f t="shared" si="13"/>
        <v>644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45</v>
      </c>
      <c r="B246" s="181">
        <f>'Données projet'!D224</f>
        <v>22</v>
      </c>
      <c r="C246" s="193">
        <v>23</v>
      </c>
      <c r="D246" s="179">
        <f t="shared" si="13"/>
        <v>506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50</v>
      </c>
      <c r="B247" s="181">
        <f>'Données projet'!D225</f>
        <v>17</v>
      </c>
      <c r="C247" s="193">
        <v>23</v>
      </c>
      <c r="D247" s="179">
        <f t="shared" si="13"/>
        <v>391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55</v>
      </c>
      <c r="B248" s="181">
        <f>'Données projet'!D226</f>
        <v>13</v>
      </c>
      <c r="C248" s="193">
        <v>30.8</v>
      </c>
      <c r="D248" s="179">
        <f t="shared" si="13"/>
        <v>400.40000000000003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60</v>
      </c>
      <c r="B249" s="181">
        <f>'Données projet'!D227</f>
        <v>12</v>
      </c>
      <c r="C249" s="193">
        <v>30.8</v>
      </c>
      <c r="D249" s="179">
        <f t="shared" si="13"/>
        <v>369.6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65</v>
      </c>
      <c r="B250" s="181">
        <f>'Données projet'!D228</f>
        <v>11</v>
      </c>
      <c r="C250" s="193">
        <v>30.8</v>
      </c>
      <c r="D250" s="179">
        <f t="shared" si="13"/>
        <v>338.8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70</v>
      </c>
      <c r="B251" s="181">
        <f>'Données projet'!D229</f>
        <v>10</v>
      </c>
      <c r="C251" s="193">
        <v>30.8</v>
      </c>
      <c r="D251" s="179">
        <f t="shared" si="13"/>
        <v>308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75</v>
      </c>
      <c r="B252" s="181">
        <f>'Données projet'!D230</f>
        <v>9</v>
      </c>
      <c r="C252" s="193">
        <v>38.599999999999994</v>
      </c>
      <c r="D252" s="179">
        <f t="shared" si="13"/>
        <v>347.4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80</v>
      </c>
      <c r="B253" s="181">
        <f>'Données projet'!D231</f>
        <v>275</v>
      </c>
      <c r="C253" s="193">
        <v>38.599999999999994</v>
      </c>
      <c r="D253" s="179">
        <f t="shared" si="13"/>
        <v>10614.999999999998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>Pin maritime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4300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>
        <v>1500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v>1500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>
        <v>1500</v>
      </c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12</v>
      </c>
      <c r="B271" s="181">
        <f>'Données projet'!D244</f>
        <v>0</v>
      </c>
      <c r="C271" s="193">
        <v>11.600000000000001</v>
      </c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16</v>
      </c>
      <c r="B272" s="181">
        <f>'Données projet'!D245</f>
        <v>15</v>
      </c>
      <c r="C272" s="193">
        <v>11.600000000000001</v>
      </c>
      <c r="D272" s="179">
        <f t="shared" ref="D272:D290" si="14">B272*C272</f>
        <v>174.00000000000003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20</v>
      </c>
      <c r="B273" s="181">
        <f>'Données projet'!D246</f>
        <v>22</v>
      </c>
      <c r="C273" s="193">
        <v>11.600000000000001</v>
      </c>
      <c r="D273" s="179">
        <f t="shared" si="14"/>
        <v>255.20000000000005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24</v>
      </c>
      <c r="B274" s="181">
        <f>'Données projet'!D247</f>
        <v>31</v>
      </c>
      <c r="C274" s="193">
        <v>11.600000000000001</v>
      </c>
      <c r="D274" s="179">
        <f t="shared" si="14"/>
        <v>359.6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28</v>
      </c>
      <c r="B275" s="181">
        <f>'Données projet'!D248</f>
        <v>35</v>
      </c>
      <c r="C275" s="193">
        <v>11.600000000000001</v>
      </c>
      <c r="D275" s="179">
        <f t="shared" si="14"/>
        <v>406.00000000000006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34</v>
      </c>
      <c r="B276" s="181">
        <f>'Données projet'!D249</f>
        <v>46</v>
      </c>
      <c r="C276" s="193">
        <v>11.600000000000001</v>
      </c>
      <c r="D276" s="179">
        <f t="shared" si="14"/>
        <v>533.6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40</v>
      </c>
      <c r="B277" s="181">
        <f>'Données projet'!D250</f>
        <v>41</v>
      </c>
      <c r="C277" s="193">
        <v>15.600000000000001</v>
      </c>
      <c r="D277" s="179">
        <f t="shared" si="14"/>
        <v>639.6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46</v>
      </c>
      <c r="B278" s="181">
        <f>'Données projet'!D251</f>
        <v>29</v>
      </c>
      <c r="C278" s="193">
        <v>20.2</v>
      </c>
      <c r="D278" s="179">
        <f t="shared" si="14"/>
        <v>585.79999999999995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54</v>
      </c>
      <c r="B279" s="181">
        <f>'Données projet'!D252</f>
        <v>16</v>
      </c>
      <c r="C279" s="193">
        <v>17.2</v>
      </c>
      <c r="D279" s="179">
        <f t="shared" si="14"/>
        <v>275.2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62</v>
      </c>
      <c r="B280" s="181">
        <f>'Données projet'!D253</f>
        <v>316</v>
      </c>
      <c r="C280" s="193">
        <v>24</v>
      </c>
      <c r="D280" s="179">
        <f t="shared" si="14"/>
        <v>7584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 xmlns="8c1d9445-5ca3-48db-a349-49511c70e687">
      <UserInfo>
        <DisplayName/>
        <AccountId xsi:nil="true"/>
        <AccountType/>
      </UserInfo>
    </Acces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9" ma:contentTypeDescription="Create a new document." ma:contentTypeScope="" ma:versionID="37fd0b50bb8c5aa29fa4eef8610aa367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142dbc8154ebedb1cfdcd1ecfb9047b0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cc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" ma:index="25" nillable="true" ma:displayName="Acces" ma:format="Dropdown" ma:list="UserInfo" ma:SharePointGroup="0" ma:internalName="Acce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BD213-1250-472C-A632-50950B8BA1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E4C3E4-A501-4F08-AA56-CC46DA4261FB}">
  <ds:schemaRefs>
    <ds:schemaRef ds:uri="http://schemas.microsoft.com/office/2006/metadata/properties"/>
    <ds:schemaRef ds:uri="http://schemas.microsoft.com/office/infopath/2007/PartnerControls"/>
    <ds:schemaRef ds:uri="8c1d9445-5ca3-48db-a349-49511c70e687"/>
    <ds:schemaRef ds:uri="1cca48d1-260d-4848-9875-be9a6e463188"/>
  </ds:schemaRefs>
</ds:datastoreItem>
</file>

<file path=customXml/itemProps3.xml><?xml version="1.0" encoding="utf-8"?>
<ds:datastoreItem xmlns:ds="http://schemas.openxmlformats.org/officeDocument/2006/customXml" ds:itemID="{0A12993C-76C0-4A21-A997-A188549478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Victor Piermont</cp:lastModifiedBy>
  <dcterms:created xsi:type="dcterms:W3CDTF">2021-02-01T08:22:39Z</dcterms:created>
  <dcterms:modified xsi:type="dcterms:W3CDTF">2024-04-04T12:47:03Z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