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FONTRIEU (81) - COMBESPINASSE (GF de)\Dossier déposé le 181223\"/>
    </mc:Choice>
  </mc:AlternateContent>
  <xr:revisionPtr revIDLastSave="0" documentId="13_ncr:1_{F4ACE06B-5230-41E1-BFB0-37A7B9B37BE7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114" i="2" a="1"/>
  <c r="BC114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185" i="2" a="1"/>
  <c r="BC185" i="2" s="1"/>
  <c r="BC7" i="2" a="1"/>
  <c r="BC7" i="2" s="1"/>
  <c r="BC151" i="2" a="1"/>
  <c r="BC151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14" i="2" l="1" a="1"/>
  <c r="CS114" i="2" s="1"/>
  <c r="CS56" i="2" a="1"/>
  <c r="CS56" i="2" s="1"/>
  <c r="CS38" i="2" a="1"/>
  <c r="CS38" i="2" s="1"/>
  <c r="CS72" i="2" a="1"/>
  <c r="CS72" i="2" s="1"/>
  <c r="BX107" i="2" a="1"/>
  <c r="BX107" i="2" s="1"/>
  <c r="CS105" i="2" a="1"/>
  <c r="CS105" i="2" s="1"/>
  <c r="CS134" i="2" a="1"/>
  <c r="CS134" i="2" s="1"/>
  <c r="CS24" i="2" a="1"/>
  <c r="CS24" i="2" s="1"/>
  <c r="CS185" i="2" a="1"/>
  <c r="CS185" i="2" s="1"/>
  <c r="CS161" i="2" a="1"/>
  <c r="CS161" i="2" s="1"/>
  <c r="CS77" i="2" a="1"/>
  <c r="CS77" i="2" s="1"/>
  <c r="BC117" i="2" a="1"/>
  <c r="BC117" i="2" s="1"/>
  <c r="BC55" i="2" a="1"/>
  <c r="BC55" i="2" s="1"/>
  <c r="BC65" i="2" a="1"/>
  <c r="BC65" i="2" s="1"/>
  <c r="BC83" i="2" a="1"/>
  <c r="BC83" i="2" s="1"/>
  <c r="BC126" i="2" a="1"/>
  <c r="BC126" i="2" s="1"/>
  <c r="BC82" i="2" a="1"/>
  <c r="BC82" i="2" s="1"/>
  <c r="BC143" i="2" a="1"/>
  <c r="BC143" i="2" s="1"/>
  <c r="BC58" i="2" a="1"/>
  <c r="BC58" i="2" s="1"/>
  <c r="BC31" i="2" a="1"/>
  <c r="BC31" i="2" s="1"/>
  <c r="BC34" i="2" a="1"/>
  <c r="BC34" i="2" s="1"/>
  <c r="BC84" i="2" a="1"/>
  <c r="BC84" i="2" s="1"/>
  <c r="BC32" i="2" a="1"/>
  <c r="BC32" i="2" s="1"/>
  <c r="AH62" i="2" a="1"/>
  <c r="AH62" i="2" s="1"/>
  <c r="AH151" i="2" a="1"/>
  <c r="AH151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<sst xmlns="http://schemas.openxmlformats.org/spreadsheetml/2006/main" count="1174" uniqueCount="324">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</sst>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139.20049206513002</c:v>
                </c:pt>
                <c:pt idx="22">
                  <c:v>156.69748990994773</c:v>
                </c:pt>
                <c:pt idx="23">
                  <c:v>174.14808519452981</c:v>
                </c:pt>
                <c:pt idx="24">
                  <c:v>191.55758507110076</c:v>
                </c:pt>
                <c:pt idx="25">
                  <c:v>208.93025151398982</c:v>
                </c:pt>
                <c:pt idx="26">
                  <c:v>176.042328862972</c:v>
                </c:pt>
                <c:pt idx="27">
                  <c:v>192.31365664017582</c:v>
                </c:pt>
                <c:pt idx="28">
                  <c:v>208.55295085965795</c:v>
                </c:pt>
                <c:pt idx="29">
                  <c:v>224.76305761819125</c:v>
                </c:pt>
                <c:pt idx="30">
                  <c:v>240.94637860003544</c:v>
                </c:pt>
                <c:pt idx="31">
                  <c:v>206.66621044559773</c:v>
                </c:pt>
                <c:pt idx="32">
                  <c:v>221.37253538805248</c:v>
                </c:pt>
                <c:pt idx="33">
                  <c:v>236.05644310479695</c:v>
                </c:pt>
                <c:pt idx="34">
                  <c:v>250.71952474895647</c:v>
                </c:pt>
                <c:pt idx="35">
                  <c:v>265.36317005758787</c:v>
                </c:pt>
                <c:pt idx="36">
                  <c:v>232.29338365744312</c:v>
                </c:pt>
                <c:pt idx="37">
                  <c:v>246.20993843849078</c:v>
                </c:pt>
                <c:pt idx="38">
                  <c:v>260.10863290775893</c:v>
                </c:pt>
                <c:pt idx="39">
                  <c:v>273.99055606211846</c:v>
                </c:pt>
                <c:pt idx="40">
                  <c:v>287.85667749117118</c:v>
                </c:pt>
                <c:pt idx="41">
                  <c:v>256.72945236768504</c:v>
                </c:pt>
                <c:pt idx="42">
                  <c:v>268.73984484198559</c:v>
                </c:pt>
                <c:pt idx="43">
                  <c:v>280.73815459645306</c:v>
                </c:pt>
                <c:pt idx="44">
                  <c:v>292.72497100977279</c:v>
                </c:pt>
                <c:pt idx="45">
                  <c:v>304.70083122716079</c:v>
                </c:pt>
                <c:pt idx="46">
                  <c:v>275.86525948349663</c:v>
                </c:pt>
                <c:pt idx="47">
                  <c:v>286.35837196420749</c:v>
                </c:pt>
                <c:pt idx="48">
                  <c:v>296.84288301434117</c:v>
                </c:pt>
                <c:pt idx="49">
                  <c:v>307.31913943961331</c:v>
                </c:pt>
                <c:pt idx="50">
                  <c:v>317.78746245668032</c:v>
                </c:pt>
                <c:pt idx="51">
                  <c:v>291.60168035874682</c:v>
                </c:pt>
                <c:pt idx="52">
                  <c:v>300.95952130477986</c:v>
                </c:pt>
                <c:pt idx="53">
                  <c:v>310.31088495066086</c:v>
                </c:pt>
                <c:pt idx="54">
                  <c:v>319.65599415471291</c:v>
                </c:pt>
                <c:pt idx="55">
                  <c:v>328.99505767197456</c:v>
                </c:pt>
                <c:pt idx="56">
                  <c:v>303.95265143464235</c:v>
                </c:pt>
                <c:pt idx="57">
                  <c:v>312.5542734716102</c:v>
                </c:pt>
                <c:pt idx="58">
                  <c:v>321.15064534947874</c:v>
                </c:pt>
                <c:pt idx="59">
                  <c:v>329.74192753151567</c:v>
                </c:pt>
                <c:pt idx="60">
                  <c:v>338.3282714304305</c:v>
                </c:pt>
                <c:pt idx="61">
                  <c:v>315.91868734548365</c:v>
                </c:pt>
                <c:pt idx="62">
                  <c:v>323.39233379750692</c:v>
                </c:pt>
                <c:pt idx="63">
                  <c:v>330.86216234726913</c:v>
                </c:pt>
                <c:pt idx="64">
                  <c:v>338.3282714304305</c:v>
                </c:pt>
                <c:pt idx="65">
                  <c:v>345.79075477962857</c:v>
                </c:pt>
                <c:pt idx="66">
                  <c:v>326.00720293449427</c:v>
                </c:pt>
                <c:pt idx="67">
                  <c:v>332.35567865620237</c:v>
                </c:pt>
                <c:pt idx="68">
                  <c:v>338.70148094908876</c:v>
                </c:pt>
                <c:pt idx="69">
                  <c:v>345.04466702323003</c:v>
                </c:pt>
                <c:pt idx="70">
                  <c:v>351.38529181133845</c:v>
                </c:pt>
                <c:pt idx="71">
                  <c:v>334.59567585759885</c:v>
                </c:pt>
                <c:pt idx="72">
                  <c:v>340.19422861744891</c:v>
                </c:pt>
                <c:pt idx="73">
                  <c:v>345.79075477962868</c:v>
                </c:pt>
                <c:pt idx="74">
                  <c:v>351.38529181133845</c:v>
                </c:pt>
                <c:pt idx="75">
                  <c:v>356.97787588797138</c:v>
                </c:pt>
                <c:pt idx="76">
                  <c:v>341.31369475960304</c:v>
                </c:pt>
                <c:pt idx="77">
                  <c:v>346.16378539221341</c:v>
                </c:pt>
                <c:pt idx="78">
                  <c:v>351.0123838279564</c:v>
                </c:pt>
                <c:pt idx="79">
                  <c:v>355.85951361436696</c:v>
                </c:pt>
                <c:pt idx="80">
                  <c:v>360.70519760433905</c:v>
                </c:pt>
                <c:pt idx="81">
                  <c:v>348.02880623392474</c:v>
                </c:pt>
                <c:pt idx="82">
                  <c:v>352.13108175057863</c:v>
                </c:pt>
                <c:pt idx="83">
                  <c:v>356.23230957994457</c:v>
                </c:pt>
                <c:pt idx="84">
                  <c:v>360.3325035031516</c:v>
                </c:pt>
                <c:pt idx="85">
                  <c:v>364.43167696167421</c:v>
                </c:pt>
                <c:pt idx="86">
                  <c:v>353.24970174806896</c:v>
                </c:pt>
                <c:pt idx="87">
                  <c:v>356.97787588797127</c:v>
                </c:pt>
                <c:pt idx="88">
                  <c:v>360.70519760433905</c:v>
                </c:pt>
                <c:pt idx="89">
                  <c:v>364.43167696167421</c:v>
                </c:pt>
                <c:pt idx="90">
                  <c:v>368.15732380156078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4" zoomScale="90" zoomScaleNormal="90" workbookViewId="0">
      <selection activeCell="F120" sqref="F1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16.2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0.17</v>
      </c>
      <c r="D9" s="36">
        <f t="shared" ref="D9:D18" si="0">C9*$C$5</f>
        <v>2.754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0.22</v>
      </c>
      <c r="D10" s="36">
        <f t="shared" si="0"/>
        <v>3.5640000000000001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0.31</v>
      </c>
      <c r="D11" s="36">
        <f t="shared" si="0"/>
        <v>5.0219999999999994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0.13</v>
      </c>
      <c r="D12" s="36">
        <f t="shared" si="0"/>
        <v>2.1059999999999999</v>
      </c>
      <c r="E12" s="37">
        <v>82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36</v>
      </c>
      <c r="C13" s="35">
        <v>0.17</v>
      </c>
      <c r="D13" s="36">
        <f t="shared" si="0"/>
        <v>2.754</v>
      </c>
      <c r="E13" s="37">
        <v>38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16.2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79</v>
      </c>
      <c r="C36" s="63">
        <v>1</v>
      </c>
      <c r="D36" s="63">
        <v>17</v>
      </c>
      <c r="E36" s="54"/>
      <c r="F36" s="54"/>
      <c r="G36" s="54"/>
      <c r="H36" s="54">
        <v>1</v>
      </c>
      <c r="I36" s="52">
        <f>IFERROR(B36/A36,"")</f>
        <v>3.95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108</v>
      </c>
      <c r="C37" s="63">
        <v>2</v>
      </c>
      <c r="D37" s="63">
        <v>26</v>
      </c>
      <c r="E37" s="54"/>
      <c r="F37" s="54"/>
      <c r="G37" s="54"/>
      <c r="H37" s="54">
        <v>1</v>
      </c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125</v>
      </c>
      <c r="C38" s="63">
        <v>3</v>
      </c>
      <c r="D38" s="63">
        <v>26</v>
      </c>
      <c r="E38" s="54"/>
      <c r="F38" s="54"/>
      <c r="G38" s="54"/>
      <c r="H38" s="54">
        <v>1</v>
      </c>
      <c r="I38" s="56">
        <f t="shared" si="1"/>
        <v>8.6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138</v>
      </c>
      <c r="C39" s="63">
        <v>4</v>
      </c>
      <c r="D39" s="63">
        <v>25</v>
      </c>
      <c r="E39" s="54"/>
      <c r="F39" s="54"/>
      <c r="G39" s="54"/>
      <c r="H39" s="54"/>
      <c r="I39" s="52">
        <f t="shared" si="1"/>
        <v>7.8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150</v>
      </c>
      <c r="C40" s="63">
        <v>5</v>
      </c>
      <c r="D40" s="63">
        <v>23</v>
      </c>
      <c r="E40" s="54"/>
      <c r="F40" s="54"/>
      <c r="G40" s="54"/>
      <c r="H40" s="54"/>
      <c r="I40" s="52">
        <f t="shared" si="1"/>
        <v>7.4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159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6.4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166</v>
      </c>
      <c r="C42" s="63">
        <v>7</v>
      </c>
      <c r="D42" s="63">
        <v>19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172</v>
      </c>
      <c r="C43" s="63">
        <v>8</v>
      </c>
      <c r="D43" s="63">
        <v>18</v>
      </c>
      <c r="E43" s="54"/>
      <c r="F43" s="54"/>
      <c r="G43" s="54"/>
      <c r="H43" s="54"/>
      <c r="I43" s="52">
        <f t="shared" si="1"/>
        <v>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177</v>
      </c>
      <c r="C44" s="63">
        <v>9</v>
      </c>
      <c r="D44" s="63">
        <v>16</v>
      </c>
      <c r="E44" s="54"/>
      <c r="F44" s="54"/>
      <c r="G44" s="54"/>
      <c r="H44" s="54"/>
      <c r="I44" s="52">
        <f t="shared" si="1"/>
        <v>4.5999999999999996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181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184</v>
      </c>
      <c r="C46" s="63">
        <v>11</v>
      </c>
      <c r="D46" s="63">
        <v>12</v>
      </c>
      <c r="E46" s="54"/>
      <c r="F46" s="54"/>
      <c r="G46" s="54"/>
      <c r="H46" s="54"/>
      <c r="I46" s="52">
        <f t="shared" si="1"/>
        <v>3.4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187</v>
      </c>
      <c r="C47" s="63">
        <v>12</v>
      </c>
      <c r="D47" s="63">
        <v>11</v>
      </c>
      <c r="E47" s="54"/>
      <c r="F47" s="54"/>
      <c r="G47" s="54"/>
      <c r="H47" s="54"/>
      <c r="I47" s="52">
        <f t="shared" si="1"/>
        <v>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189</v>
      </c>
      <c r="C48" s="63">
        <v>13</v>
      </c>
      <c r="D48" s="63">
        <v>9</v>
      </c>
      <c r="E48" s="54"/>
      <c r="F48" s="54"/>
      <c r="G48" s="54"/>
      <c r="H48" s="54"/>
      <c r="I48" s="52">
        <f t="shared" si="1"/>
        <v>2.6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191</v>
      </c>
      <c r="C49" s="63">
        <v>14</v>
      </c>
      <c r="D49" s="63">
        <v>8</v>
      </c>
      <c r="E49" s="54"/>
      <c r="F49" s="54"/>
      <c r="G49" s="54"/>
      <c r="H49" s="54"/>
      <c r="I49" s="52">
        <f t="shared" si="1"/>
        <v>2.2000000000000002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193</v>
      </c>
      <c r="C50" s="53">
        <v>15</v>
      </c>
      <c r="D50" s="53">
        <v>193</v>
      </c>
      <c r="E50" s="54"/>
      <c r="F50" s="54"/>
      <c r="G50" s="54"/>
      <c r="H50" s="54"/>
      <c r="I50" s="52">
        <f t="shared" si="1"/>
        <v>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19</v>
      </c>
      <c r="B88" s="63">
        <v>162</v>
      </c>
      <c r="C88" s="63">
        <v>1</v>
      </c>
      <c r="D88" s="63">
        <v>0</v>
      </c>
      <c r="E88" s="54">
        <v>0.15</v>
      </c>
      <c r="F88" s="54"/>
      <c r="G88" s="54">
        <v>0.85</v>
      </c>
      <c r="H88" s="93"/>
      <c r="I88" s="56">
        <f>IFERROR(B88/A88,"")</f>
        <v>8.526315789473685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335</v>
      </c>
      <c r="C89" s="63">
        <v>2</v>
      </c>
      <c r="D89" s="63">
        <v>54</v>
      </c>
      <c r="E89" s="54">
        <v>0.15</v>
      </c>
      <c r="F89" s="54"/>
      <c r="G89" s="54">
        <v>0.85</v>
      </c>
      <c r="H89" s="93"/>
      <c r="I89" s="56">
        <f t="shared" ref="I89:I107" si="3">IF(A89&lt;&gt;0,(B89-(B88-D88))/(A89-A88),"")</f>
        <v>28.833333333333332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421</v>
      </c>
      <c r="C90" s="63">
        <v>3</v>
      </c>
      <c r="D90" s="63">
        <v>54</v>
      </c>
      <c r="E90" s="93">
        <v>0.25</v>
      </c>
      <c r="F90" s="93"/>
      <c r="G90" s="93">
        <v>0.75</v>
      </c>
      <c r="H90" s="93"/>
      <c r="I90" s="56">
        <f t="shared" si="3"/>
        <v>28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505</v>
      </c>
      <c r="C91" s="63">
        <v>4</v>
      </c>
      <c r="D91" s="63">
        <v>69</v>
      </c>
      <c r="E91" s="93"/>
      <c r="F91" s="93"/>
      <c r="G91" s="93"/>
      <c r="H91" s="93"/>
      <c r="I91" s="56">
        <f t="shared" si="3"/>
        <v>27.6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564</v>
      </c>
      <c r="C92" s="63">
        <v>5</v>
      </c>
      <c r="D92" s="63">
        <v>72</v>
      </c>
      <c r="E92" s="93"/>
      <c r="F92" s="93"/>
      <c r="G92" s="93"/>
      <c r="H92" s="93"/>
      <c r="I92" s="56">
        <f t="shared" si="3"/>
        <v>25.6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606</v>
      </c>
      <c r="C93" s="63">
        <v>6</v>
      </c>
      <c r="D93" s="63">
        <v>66</v>
      </c>
      <c r="E93" s="93"/>
      <c r="F93" s="93"/>
      <c r="G93" s="93"/>
      <c r="H93" s="93"/>
      <c r="I93" s="56">
        <f t="shared" si="3"/>
        <v>22.8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629</v>
      </c>
      <c r="C94" s="63">
        <v>7</v>
      </c>
      <c r="D94" s="63">
        <v>48</v>
      </c>
      <c r="E94" s="93"/>
      <c r="F94" s="93"/>
      <c r="G94" s="93"/>
      <c r="H94" s="93"/>
      <c r="I94" s="56">
        <f t="shared" si="3"/>
        <v>17.8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650</v>
      </c>
      <c r="C95" s="63">
        <v>8</v>
      </c>
      <c r="D95" s="63">
        <v>35</v>
      </c>
      <c r="E95" s="93"/>
      <c r="F95" s="93"/>
      <c r="G95" s="93"/>
      <c r="H95" s="93"/>
      <c r="I95" s="56">
        <f t="shared" si="3"/>
        <v>13.8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666</v>
      </c>
      <c r="C96" s="63">
        <v>9</v>
      </c>
      <c r="D96" s="63">
        <v>666</v>
      </c>
      <c r="E96" s="93"/>
      <c r="F96" s="93"/>
      <c r="G96" s="93"/>
      <c r="H96" s="93"/>
      <c r="I96" s="56">
        <f t="shared" si="3"/>
        <v>10.199999999999999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22</v>
      </c>
      <c r="B114" s="63">
        <v>123</v>
      </c>
      <c r="C114" s="53">
        <v>1</v>
      </c>
      <c r="D114" s="63">
        <v>16</v>
      </c>
      <c r="E114" s="54"/>
      <c r="F114" s="54"/>
      <c r="G114" s="54">
        <v>1</v>
      </c>
      <c r="H114" s="54"/>
      <c r="I114" s="56">
        <f>IFERROR(B114/A114,"")</f>
        <v>5.5909090909090908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144</v>
      </c>
      <c r="C115" s="53">
        <v>2</v>
      </c>
      <c r="D115" s="63">
        <v>17</v>
      </c>
      <c r="E115" s="54">
        <v>0.2</v>
      </c>
      <c r="F115" s="54"/>
      <c r="G115" s="54">
        <v>0.8</v>
      </c>
      <c r="H115" s="54"/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194</v>
      </c>
      <c r="C116" s="53">
        <v>3</v>
      </c>
      <c r="D116" s="63">
        <v>34</v>
      </c>
      <c r="E116" s="54">
        <v>0.4</v>
      </c>
      <c r="F116" s="54"/>
      <c r="G116" s="54">
        <v>0.6</v>
      </c>
      <c r="H116" s="54"/>
      <c r="I116" s="56">
        <f t="shared" si="4"/>
        <v>13.4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233</v>
      </c>
      <c r="C117" s="53">
        <v>4</v>
      </c>
      <c r="D117" s="63">
        <v>41</v>
      </c>
      <c r="E117" s="54"/>
      <c r="F117" s="54"/>
      <c r="G117" s="54"/>
      <c r="H117" s="54"/>
      <c r="I117" s="56">
        <f t="shared" si="4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264</v>
      </c>
      <c r="C118" s="53">
        <v>5</v>
      </c>
      <c r="D118" s="63">
        <v>41</v>
      </c>
      <c r="E118" s="54"/>
      <c r="F118" s="54"/>
      <c r="G118" s="54"/>
      <c r="H118" s="54"/>
      <c r="I118" s="56">
        <f t="shared" si="4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306</v>
      </c>
      <c r="C119" s="53">
        <v>6</v>
      </c>
      <c r="D119" s="63">
        <v>53</v>
      </c>
      <c r="E119" s="54"/>
      <c r="F119" s="54"/>
      <c r="G119" s="54"/>
      <c r="H119" s="54"/>
      <c r="I119" s="56">
        <f t="shared" si="4"/>
        <v>16.600000000000001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340</v>
      </c>
      <c r="C120" s="63">
        <v>7</v>
      </c>
      <c r="D120" s="63">
        <v>53</v>
      </c>
      <c r="E120" s="93"/>
      <c r="F120" s="93"/>
      <c r="G120" s="93"/>
      <c r="H120" s="93"/>
      <c r="I120" s="56">
        <f t="shared" si="4"/>
        <v>17.399999999999999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58</v>
      </c>
      <c r="B121" s="63">
        <v>428</v>
      </c>
      <c r="C121" s="63">
        <v>8</v>
      </c>
      <c r="D121" s="63">
        <v>78</v>
      </c>
      <c r="E121" s="93"/>
      <c r="F121" s="93"/>
      <c r="G121" s="93"/>
      <c r="H121" s="93"/>
      <c r="I121" s="56">
        <f t="shared" si="4"/>
        <v>17.625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66</v>
      </c>
      <c r="B122" s="63">
        <v>483</v>
      </c>
      <c r="C122" s="63">
        <v>9</v>
      </c>
      <c r="D122" s="63">
        <v>65</v>
      </c>
      <c r="E122" s="93"/>
      <c r="F122" s="93"/>
      <c r="G122" s="93"/>
      <c r="H122" s="93"/>
      <c r="I122" s="56">
        <f t="shared" si="4"/>
        <v>16.625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74</v>
      </c>
      <c r="B123" s="63">
        <v>521</v>
      </c>
      <c r="C123" s="63">
        <v>10</v>
      </c>
      <c r="D123" s="63">
        <v>37</v>
      </c>
      <c r="E123" s="93"/>
      <c r="F123" s="93"/>
      <c r="G123" s="93"/>
      <c r="H123" s="93"/>
      <c r="I123" s="56">
        <f t="shared" si="4"/>
        <v>12.875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82</v>
      </c>
      <c r="B124" s="63">
        <v>555</v>
      </c>
      <c r="C124" s="63">
        <v>11</v>
      </c>
      <c r="D124" s="63">
        <v>555</v>
      </c>
      <c r="E124" s="93"/>
      <c r="F124" s="93"/>
      <c r="G124" s="93"/>
      <c r="H124" s="93"/>
      <c r="I124" s="56">
        <f t="shared" si="4"/>
        <v>8.875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maritime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13</v>
      </c>
      <c r="B140" s="63">
        <v>75</v>
      </c>
      <c r="C140" s="53">
        <v>1</v>
      </c>
      <c r="D140" s="63">
        <v>15</v>
      </c>
      <c r="E140" s="54"/>
      <c r="F140" s="54"/>
      <c r="G140" s="54">
        <v>1</v>
      </c>
      <c r="H140" s="54"/>
      <c r="I140" s="60">
        <f>IFERROR(B140/A140,"")</f>
        <v>5.7692307692307692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19</v>
      </c>
      <c r="B141" s="63">
        <v>163</v>
      </c>
      <c r="C141" s="53">
        <v>2</v>
      </c>
      <c r="D141" s="63">
        <v>40</v>
      </c>
      <c r="E141" s="54">
        <v>0.3</v>
      </c>
      <c r="F141" s="54"/>
      <c r="G141" s="54">
        <v>0.7</v>
      </c>
      <c r="H141" s="54"/>
      <c r="I141" s="60">
        <f t="shared" ref="I141:I159" si="5">IF(A141&lt;&gt;0,(B141-(B140-D140))/(A141-A140),"")</f>
        <v>17.166666666666668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222</v>
      </c>
      <c r="C142" s="53">
        <v>3</v>
      </c>
      <c r="D142" s="63">
        <v>54</v>
      </c>
      <c r="E142" s="54">
        <v>0.4</v>
      </c>
      <c r="F142" s="54">
        <v>0.2</v>
      </c>
      <c r="G142" s="54">
        <v>0.4</v>
      </c>
      <c r="H142" s="54"/>
      <c r="I142" s="60">
        <f t="shared" si="5"/>
        <v>16.5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237</v>
      </c>
      <c r="C143" s="53">
        <v>4</v>
      </c>
      <c r="D143" s="63">
        <v>0</v>
      </c>
      <c r="E143" s="54">
        <v>0.4</v>
      </c>
      <c r="F143" s="54">
        <v>0.2</v>
      </c>
      <c r="G143" s="54">
        <v>0.4</v>
      </c>
      <c r="H143" s="54"/>
      <c r="I143" s="60">
        <f t="shared" si="5"/>
        <v>13.8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38</v>
      </c>
      <c r="B144" s="63">
        <v>338</v>
      </c>
      <c r="C144" s="53">
        <v>5</v>
      </c>
      <c r="D144" s="63">
        <v>338</v>
      </c>
      <c r="E144" s="54">
        <v>0.7</v>
      </c>
      <c r="F144" s="54"/>
      <c r="G144" s="54">
        <v>0.3</v>
      </c>
      <c r="H144" s="54"/>
      <c r="I144" s="60">
        <f t="shared" si="5"/>
        <v>12.625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Douglas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maritime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188.31046827337082</v>
      </c>
      <c r="T3" s="62">
        <f>IF('Données projet'!E9&gt;30,$R$33-$H$33,LOOKUP('Données projet'!$E$9,$A$3:$A$203,R3:R203)-LOOKUP('Données projet'!$E$9,$A$3:$A$203,$H$3:$H$203))</f>
        <v>207.32535726327728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310.95287409903602</v>
      </c>
      <c r="AO3" s="62">
        <f>IF('Données projet'!E10&gt;30,$AM$33-$H$33,LOOKUP('Données projet'!$E$10,$A$3:$A$203,AM3:AM203)-LOOKUP('Données projet'!$E$10,$A$3:$A$203,$H$3:$H$203))</f>
        <v>224.10083380795163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382.55387448074327</v>
      </c>
      <c r="BJ3" s="62">
        <f>IF('Données projet'!E11&gt;30,$BH$33-$H$33,LOOKUP('Données projet'!$E$11,$A$3:$A$203,BH3:BH203)-LOOKUP('Données projet'!$E$11,$A$3:$A$203,$H$3:$H$203))</f>
        <v>476.29465646955543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287.69656598881124</v>
      </c>
      <c r="CE3" s="62">
        <f>IF('Données projet'!E12&gt;30,$CC$33-$H$33,LOOKUP('Données projet'!$E$12,$A$3:$A$203,CC3:CC203)-LOOKUP('Données projet'!$E$12,$A$3:$A$203,$H$3:$H$203))</f>
        <v>221.9773436301067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163.03280205647224</v>
      </c>
      <c r="CZ3" s="62">
        <f>IF('Données projet'!E13&gt;30,$CX$33-$H$33,LOOKUP('Données projet'!$E$13,$A$3:$A$203,CX3:CX203)-LOOKUP('Données projet'!$E$13,$A$3:$A$203,$H$3:$H$203))</f>
        <v>277.12388047243826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3.95</v>
      </c>
      <c r="N4" s="14">
        <f>IF('Données projet'!$A$36&gt;35,N3+M4-V3,IF(A4&lt;'Données projet'!$A$36,$K$205^A4,IF(A4='Données projet'!$A$36,'Données projet'!$B$36,N3+M4-V3)))</f>
        <v>1.2441746677543575</v>
      </c>
      <c r="O4" s="14">
        <f>N4*VLOOKUP('Données projet'!$B$9,Paramètres!$A$1:$I$89,3,0)*VLOOKUP('Données projet'!$B$9,Paramètres!$A$1:$I$89,5,0)</f>
        <v>1.0869109897502069</v>
      </c>
      <c r="P4" s="14">
        <f>EXP(-1.0587+0.8836*LN(O4)+0.284)</f>
        <v>0.49605869398208868</v>
      </c>
      <c r="Q4" s="22">
        <f t="shared" ref="Q4:Q34" si="2">(O4+P4)*0.475*44/12</f>
        <v>2.7570055325004148</v>
      </c>
      <c r="R4" s="62">
        <f t="shared" si="0"/>
        <v>296.0903388658337</v>
      </c>
      <c r="S4" s="62">
        <f ca="1">AVERAGE(OFFSET($R$3,0,0,'Données projet'!$E$9+1,1))-AVERAGE(OFFSET($H$3,0,0,'Données projet'!$E$9+1,1))</f>
        <v>188.31046827337082</v>
      </c>
      <c r="T4" s="62">
        <f>$T$3</f>
        <v>207.32535726327728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310.95287409903602</v>
      </c>
      <c r="AO4" s="62">
        <f>$AO$3</f>
        <v>224.10083380795163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8.526315789473685</v>
      </c>
      <c r="BD4" s="13">
        <f>IF('Données projet'!$A$88&gt;35,BD3+BC4-BL3,IF(A4&lt;'Données projet'!$A$88,$BA$205^A4,IF(A4='Données projet'!$A$88,'Données projet'!$B$88,BD3+BC4-BL3)))</f>
        <v>1.3070441688874561</v>
      </c>
      <c r="BE4" s="14">
        <f>BD4*VLOOKUP('Données projet'!$B$11,Paramètres!$A$1:$I$89,3,0)*VLOOKUP('Données projet'!$B$11,Paramètres!$A$1:$I$89,5,0)</f>
        <v>0.73063769040808801</v>
      </c>
      <c r="BF4" s="14">
        <f>EXP(-1.0587+0.8836*LN(BE4)+0.284)</f>
        <v>0.34923616900555043</v>
      </c>
      <c r="BG4" s="22">
        <f t="shared" ref="BG4:BG67" si="7">(BE4+BF4)*0.475*44/12</f>
        <v>1.8807803051454206</v>
      </c>
      <c r="BH4" s="62">
        <f t="shared" ref="BH4:BH67" si="8">BG4+(AY4+AZ4)*44/12</f>
        <v>295.21411363847875</v>
      </c>
      <c r="BI4" s="62">
        <f ca="1">AVERAGE(OFFSET($BH$3,0,0,'Données projet'!$E$11+1,1))-AVERAGE(OFFSET($H$3,0,0,'Données projet'!$E$11+1,1))</f>
        <v>382.55387448074327</v>
      </c>
      <c r="BJ4" s="62">
        <f>$BJ$3</f>
        <v>476.29465646955543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5.5909090909090908</v>
      </c>
      <c r="BY4" s="13">
        <f>IF('Données projet'!$A$114&gt;35,BY3+BX4-CG3,IF(A4&lt;'Données projet'!$A$114,$BV$205^A4,IF(A4='Données projet'!$A$114,'Données projet'!$B$114,BY3+BX4-CG3)))</f>
        <v>1.244502252163008</v>
      </c>
      <c r="BZ4" s="14">
        <f>BY4*VLOOKUP('Données projet'!$B$12,Paramètres!$A$1:$I$89,3,0)*VLOOKUP('Données projet'!$B$12,Paramètres!$A$1:$I$89,5,0)</f>
        <v>0.74421234679347892</v>
      </c>
      <c r="CA4" s="14">
        <f>EXP(-1.0587+0.8836*LN(BZ4)+0.284)</f>
        <v>0.3549632728022305</v>
      </c>
      <c r="CB4" s="22">
        <f t="shared" ref="CB4:CB67" si="10">(BZ4+CA4)*0.475*44/12</f>
        <v>1.9143975374625271</v>
      </c>
      <c r="CC4" s="62">
        <f t="shared" ref="CC4:CC67" si="11">CB4+(BT4+BU4)*44/12</f>
        <v>295.24773087079586</v>
      </c>
      <c r="CD4" s="62">
        <f ca="1">AVERAGE(OFFSET($CC$3,0,0,'Données projet'!$E$12+1,1))-AVERAGE(OFFSET($H$3,0,0,'Données projet'!$E$12+1,1))</f>
        <v>287.69656598881124</v>
      </c>
      <c r="CE4" s="62">
        <f>$CE$3</f>
        <v>221.9773436301067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5.7692307692307692</v>
      </c>
      <c r="CT4" s="13">
        <f>IF('Données projet'!$A$140&gt;35,CT3+CS4-DB3,IF(A4&lt;'Données projet'!$A$140,$CQ$205^A4,IF(A4='Données projet'!$A$140,'Données projet'!$B$140,CT3+CS4-DB3)))</f>
        <v>1.3939124009120489</v>
      </c>
      <c r="CU4" s="18">
        <f>CT4*VLOOKUP('Données projet'!$B$13,Paramètres!$A$1:$I$89,3,0)*VLOOKUP('Données projet'!$B$13,Paramètres!$A$1:$I$89,5,0)</f>
        <v>0.83355961574540538</v>
      </c>
      <c r="CV4" s="14">
        <f>EXP(-1.0587+0.8836*LN(CU4)+0.284)</f>
        <v>0.39236630327500827</v>
      </c>
      <c r="CW4" s="22">
        <f t="shared" ref="CW4:CW67" si="13">(CU4+CV4)*0.475*44/12</f>
        <v>2.1351543089605536</v>
      </c>
      <c r="CX4" s="62">
        <f t="shared" ref="CX4:CX67" si="14">CW4+(CO4+CP4)*44/12</f>
        <v>295.46848764229389</v>
      </c>
      <c r="CY4" s="62">
        <f ca="1">AVERAGE(OFFSET($CX$3,0,0,'Données projet'!$E$13+1,1))-AVERAGE(OFFSET($H$3,0,0,'Données projet'!$E$13+1,1))</f>
        <v>163.03280205647224</v>
      </c>
      <c r="CZ4" s="62">
        <f>$CZ$3</f>
        <v>277.12388047243826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3.95</v>
      </c>
      <c r="N5" s="14">
        <f>IF('Données projet'!$A$36&gt;35,N4+M5-V4,IF(A5&lt;'Données projet'!$A$36,$K$205^A5,IF(A5='Données projet'!$A$36,'Données projet'!$B$36,N4+M5-V4)))</f>
        <v>1.5479706038816659</v>
      </c>
      <c r="O5" s="14">
        <f>N5*VLOOKUP('Données projet'!$B$9,Paramètres!$A$1:$I$89,3,0)*VLOOKUP('Données projet'!$B$9,Paramètres!$A$1:$I$89,5,0)</f>
        <v>1.3523071195510235</v>
      </c>
      <c r="P5" s="14">
        <f t="shared" ref="P5:P68" si="33">EXP(-1.0587+0.8836*LN(O5)+0.284)</f>
        <v>0.60168644882220068</v>
      </c>
      <c r="Q5" s="22">
        <f t="shared" si="2"/>
        <v>3.4032054649166987</v>
      </c>
      <c r="R5" s="62">
        <f t="shared" si="0"/>
        <v>296.73653879825002</v>
      </c>
      <c r="S5" s="62">
        <f ca="1">AVERAGE(OFFSET($R$3,0,0,'Données projet'!$E$9+1,1))-AVERAGE(OFFSET($H$3,0,0,'Données projet'!$E$9+1,1))</f>
        <v>188.31046827337082</v>
      </c>
      <c r="T5" s="62">
        <f t="shared" ref="T5:T68" si="34">$T$3</f>
        <v>207.32535726327728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310.95287409903602</v>
      </c>
      <c r="AO5" s="62">
        <f t="shared" ref="AO5:AO68" si="36">$AO$3</f>
        <v>224.10083380795163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8.526315789473685</v>
      </c>
      <c r="BD5" s="13">
        <f>IF('Données projet'!$A$88&gt;35,BD4+BC5-BL4,IF(A5&lt;'Données projet'!$A$88,$BA$205^A5,IF(A5='Données projet'!$A$88,'Données projet'!$B$88,BD4+BC5-BL4)))</f>
        <v>1.708364459422701</v>
      </c>
      <c r="BE5" s="14">
        <f>BD5*VLOOKUP('Données projet'!$B$11,Paramètres!$A$1:$I$89,3,0)*VLOOKUP('Données projet'!$B$11,Paramètres!$A$1:$I$89,5,0)</f>
        <v>0.95497573281728976</v>
      </c>
      <c r="BF5" s="14">
        <f t="shared" ref="BF5:BF68" si="37">EXP(-1.0587+0.8836*LN(BE5)+0.284)</f>
        <v>0.44245926414263009</v>
      </c>
      <c r="BG5" s="22">
        <f t="shared" si="7"/>
        <v>2.4338659530385267</v>
      </c>
      <c r="BH5" s="62">
        <f t="shared" si="8"/>
        <v>295.76719928637186</v>
      </c>
      <c r="BI5" s="62">
        <f ca="1">AVERAGE(OFFSET($BH$3,0,0,'Données projet'!$E$11+1,1))-AVERAGE(OFFSET($H$3,0,0,'Données projet'!$E$11+1,1))</f>
        <v>382.55387448074327</v>
      </c>
      <c r="BJ5" s="62">
        <f t="shared" ref="BJ5:BJ68" si="38">$BJ$3</f>
        <v>476.29465646955543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5.5909090909090908</v>
      </c>
      <c r="BY5" s="13">
        <f>IF('Données projet'!$A$114&gt;35,BY4+BX5-CG4,IF(A5&lt;'Données projet'!$A$114,$BV$205^A5,IF(A5='Données projet'!$A$114,'Données projet'!$B$114,BY4+BX5-CG4)))</f>
        <v>1.5487858556387992</v>
      </c>
      <c r="BZ5" s="14">
        <f>BY5*VLOOKUP('Données projet'!$B$12,Paramètres!$A$1:$I$89,3,0)*VLOOKUP('Données projet'!$B$12,Paramètres!$A$1:$I$89,5,0)</f>
        <v>0.92617394167200195</v>
      </c>
      <c r="CA5" s="14">
        <f t="shared" ref="CA5:CA68" si="39">EXP(-1.0587+0.8836*LN(BZ5)+0.284)</f>
        <v>0.43064718121421069</v>
      </c>
      <c r="CB5" s="22">
        <f t="shared" si="10"/>
        <v>2.3631301223601535</v>
      </c>
      <c r="CC5" s="62">
        <f t="shared" si="11"/>
        <v>295.69646345569345</v>
      </c>
      <c r="CD5" s="62">
        <f ca="1">AVERAGE(OFFSET($CC$3,0,0,'Données projet'!$E$12+1,1))-AVERAGE(OFFSET($H$3,0,0,'Données projet'!$E$12+1,1))</f>
        <v>287.69656598881124</v>
      </c>
      <c r="CE5" s="62">
        <f t="shared" ref="CE5:CE68" si="40">$CE$3</f>
        <v>221.9773436301067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5.7692307692307692</v>
      </c>
      <c r="CT5" s="13">
        <f>IF('Données projet'!$A$140&gt;35,CT4+CS5-DB4,IF(A5&lt;'Données projet'!$A$140,$CQ$205^A5,IF(A5='Données projet'!$A$140,'Données projet'!$B$140,CT4+CS5-DB4)))</f>
        <v>1.9429917814163926</v>
      </c>
      <c r="CU5" s="18">
        <f>CT5*VLOOKUP('Données projet'!$B$13,Paramètres!$A$1:$I$89,3,0)*VLOOKUP('Données projet'!$B$13,Paramètres!$A$1:$I$89,5,0)</f>
        <v>1.1619090852870029</v>
      </c>
      <c r="CV5" s="14">
        <f t="shared" ref="CV5:CV68" si="41">EXP(-1.0587+0.8836*LN(CU5)+0.284)</f>
        <v>0.52618464987689018</v>
      </c>
      <c r="CW5" s="22">
        <f t="shared" si="13"/>
        <v>2.9400965887437809</v>
      </c>
      <c r="CX5" s="62">
        <f t="shared" si="14"/>
        <v>296.27342992207707</v>
      </c>
      <c r="CY5" s="62">
        <f ca="1">AVERAGE(OFFSET($CX$3,0,0,'Données projet'!$E$13+1,1))-AVERAGE(OFFSET($H$3,0,0,'Données projet'!$E$13+1,1))</f>
        <v>163.03280205647224</v>
      </c>
      <c r="CZ5" s="62">
        <f t="shared" ref="CZ5:CZ68" si="42">$CZ$3</f>
        <v>277.12388047243826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3.95</v>
      </c>
      <c r="N6" s="14">
        <f>IF('Données projet'!$A$36&gt;35,N5+M6-V5,IF(A6&lt;'Données projet'!$A$36,$K$205^A6,IF(A6='Données projet'!$A$36,'Données projet'!$B$36,N5+M6-V5)))</f>
        <v>1.9259458117779837</v>
      </c>
      <c r="O6" s="14">
        <f>N6*VLOOKUP('Données projet'!$B$9,Paramètres!$A$1:$I$89,3,0)*VLOOKUP('Données projet'!$B$9,Paramètres!$A$1:$I$89,5,0)</f>
        <v>1.682506261169247</v>
      </c>
      <c r="P6" s="14">
        <f t="shared" si="33"/>
        <v>0.72980594249869668</v>
      </c>
      <c r="Q6" s="22">
        <f t="shared" si="2"/>
        <v>4.2014437547216685</v>
      </c>
      <c r="R6" s="62">
        <f t="shared" si="0"/>
        <v>297.53477708805497</v>
      </c>
      <c r="S6" s="62">
        <f ca="1">AVERAGE(OFFSET($R$3,0,0,'Données projet'!$E$9+1,1))-AVERAGE(OFFSET($H$3,0,0,'Données projet'!$E$9+1,1))</f>
        <v>188.31046827337082</v>
      </c>
      <c r="T6" s="62">
        <f t="shared" si="34"/>
        <v>207.32535726327728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310.95287409903602</v>
      </c>
      <c r="AO6" s="62">
        <f t="shared" si="36"/>
        <v>224.10083380795163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8.526315789473685</v>
      </c>
      <c r="BD6" s="13">
        <f>IF('Données projet'!$A$88&gt;35,BD5+BC6-BL5,IF(A6&lt;'Données projet'!$A$88,$BA$205^A6,IF(A6='Données projet'!$A$88,'Données projet'!$B$88,BD5+BC6-BL5)))</f>
        <v>2.2329078050230127</v>
      </c>
      <c r="BE6" s="14">
        <f>BD6*VLOOKUP('Données projet'!$B$11,Paramètres!$A$1:$I$89,3,0)*VLOOKUP('Données projet'!$B$11,Paramètres!$A$1:$I$89,5,0)</f>
        <v>1.248195463007864</v>
      </c>
      <c r="BF6" s="14">
        <f t="shared" si="37"/>
        <v>0.56056679634040518</v>
      </c>
      <c r="BG6" s="22">
        <f t="shared" si="7"/>
        <v>3.1502609350315693</v>
      </c>
      <c r="BH6" s="62">
        <f t="shared" si="8"/>
        <v>296.48359426836487</v>
      </c>
      <c r="BI6" s="62">
        <f ca="1">AVERAGE(OFFSET($BH$3,0,0,'Données projet'!$E$11+1,1))-AVERAGE(OFFSET($H$3,0,0,'Données projet'!$E$11+1,1))</f>
        <v>382.55387448074327</v>
      </c>
      <c r="BJ6" s="62">
        <f t="shared" si="38"/>
        <v>476.29465646955543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5.5909090909090908</v>
      </c>
      <c r="BY6" s="13">
        <f>IF('Données projet'!$A$114&gt;35,BY5+BX6-CG5,IF(A6&lt;'Données projet'!$A$114,$BV$205^A6,IF(A6='Données projet'!$A$114,'Données projet'!$B$114,BY5+BX6-CG5)))</f>
        <v>1.927467485460697</v>
      </c>
      <c r="BZ6" s="14">
        <f>BY6*VLOOKUP('Données projet'!$B$12,Paramètres!$A$1:$I$89,3,0)*VLOOKUP('Données projet'!$B$12,Paramètres!$A$1:$I$89,5,0)</f>
        <v>1.152625556305497</v>
      </c>
      <c r="CA6" s="14">
        <f t="shared" si="39"/>
        <v>0.52246812247269758</v>
      </c>
      <c r="CB6" s="22">
        <f t="shared" si="10"/>
        <v>2.9174548238720219</v>
      </c>
      <c r="CC6" s="62">
        <f t="shared" si="11"/>
        <v>296.25078815720536</v>
      </c>
      <c r="CD6" s="62">
        <f ca="1">AVERAGE(OFFSET($CC$3,0,0,'Données projet'!$E$12+1,1))-AVERAGE(OFFSET($H$3,0,0,'Données projet'!$E$12+1,1))</f>
        <v>287.69656598881124</v>
      </c>
      <c r="CE6" s="62">
        <f t="shared" si="40"/>
        <v>221.9773436301067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5.7692307692307692</v>
      </c>
      <c r="CT6" s="13">
        <f>IF('Données projet'!$A$140&gt;35,CT5+CS6-DB5,IF(A6&lt;'Données projet'!$A$140,$CQ$205^A6,IF(A6='Données projet'!$A$140,'Données projet'!$B$140,CT5+CS6-DB5)))</f>
        <v>2.7083603389865027</v>
      </c>
      <c r="CU6" s="18">
        <f>CT6*VLOOKUP('Données projet'!$B$13,Paramètres!$A$1:$I$89,3,0)*VLOOKUP('Données projet'!$B$13,Paramètres!$A$1:$I$89,5,0)</f>
        <v>1.6195994827139286</v>
      </c>
      <c r="CV6" s="14">
        <f t="shared" si="41"/>
        <v>0.70564236392136903</v>
      </c>
      <c r="CW6" s="22">
        <f t="shared" si="13"/>
        <v>4.0497962162231431</v>
      </c>
      <c r="CX6" s="62">
        <f t="shared" si="14"/>
        <v>297.38312954955643</v>
      </c>
      <c r="CY6" s="62">
        <f ca="1">AVERAGE(OFFSET($CX$3,0,0,'Données projet'!$E$13+1,1))-AVERAGE(OFFSET($H$3,0,0,'Données projet'!$E$13+1,1))</f>
        <v>163.03280205647224</v>
      </c>
      <c r="CZ6" s="62">
        <f t="shared" si="42"/>
        <v>277.12388047243826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3.95</v>
      </c>
      <c r="N7" s="14">
        <f>IF('Données projet'!$A$36&gt;35,N6+M7-V6,IF(A7&lt;'Données projet'!$A$36,$K$205^A7,IF(A7='Données projet'!$A$36,'Données projet'!$B$36,N6+M7-V6)))</f>
        <v>2.3962129904817693</v>
      </c>
      <c r="O7" s="14">
        <f>N7*VLOOKUP('Données projet'!$B$9,Paramètres!$A$1:$I$89,3,0)*VLOOKUP('Données projet'!$B$9,Paramètres!$A$1:$I$89,5,0)</f>
        <v>2.0933316684848742</v>
      </c>
      <c r="P7" s="14">
        <f t="shared" si="33"/>
        <v>0.88520643060684912</v>
      </c>
      <c r="Q7" s="22">
        <f t="shared" si="2"/>
        <v>5.1876205225847505</v>
      </c>
      <c r="R7" s="62">
        <f t="shared" si="0"/>
        <v>298.52095385591804</v>
      </c>
      <c r="S7" s="62">
        <f ca="1">AVERAGE(OFFSET($R$3,0,0,'Données projet'!$E$9+1,1))-AVERAGE(OFFSET($H$3,0,0,'Données projet'!$E$9+1,1))</f>
        <v>188.31046827337082</v>
      </c>
      <c r="T7" s="62">
        <f t="shared" si="34"/>
        <v>207.32535726327728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310.95287409903602</v>
      </c>
      <c r="AO7" s="62">
        <f t="shared" si="36"/>
        <v>224.10083380795163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8.526315789473685</v>
      </c>
      <c r="BD7" s="13">
        <f>IF('Données projet'!$A$88&gt;35,BD6+BC7-BL6,IF(A7&lt;'Données projet'!$A$88,$BA$205^A7,IF(A7='Données projet'!$A$88,'Données projet'!$B$88,BD6+BC7-BL6)))</f>
        <v>2.9185091262186176</v>
      </c>
      <c r="BE7" s="14">
        <f>BD7*VLOOKUP('Données projet'!$B$11,Paramètres!$A$1:$I$89,3,0)*VLOOKUP('Données projet'!$B$11,Paramètres!$A$1:$I$89,5,0)</f>
        <v>1.6314466015562072</v>
      </c>
      <c r="BF7" s="14">
        <f t="shared" si="37"/>
        <v>0.71020127416305878</v>
      </c>
      <c r="BG7" s="22">
        <f t="shared" si="7"/>
        <v>4.0783700502110554</v>
      </c>
      <c r="BH7" s="62">
        <f t="shared" si="8"/>
        <v>297.41170338354436</v>
      </c>
      <c r="BI7" s="62">
        <f ca="1">AVERAGE(OFFSET($BH$3,0,0,'Données projet'!$E$11+1,1))-AVERAGE(OFFSET($H$3,0,0,'Données projet'!$E$11+1,1))</f>
        <v>382.55387448074327</v>
      </c>
      <c r="BJ7" s="62">
        <f t="shared" si="38"/>
        <v>476.29465646955543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5.5909090909090908</v>
      </c>
      <c r="BY7" s="13">
        <f>IF('Données projet'!$A$114&gt;35,BY6+BX7-CG6,IF(A7&lt;'Données projet'!$A$114,$BV$205^A7,IF(A7='Données projet'!$A$114,'Données projet'!$B$114,BY6+BX7-CG6)))</f>
        <v>2.3987376266268075</v>
      </c>
      <c r="BZ7" s="14">
        <f>BY7*VLOOKUP('Données projet'!$B$12,Paramètres!$A$1:$I$89,3,0)*VLOOKUP('Données projet'!$B$12,Paramètres!$A$1:$I$89,5,0)</f>
        <v>1.4344451007228309</v>
      </c>
      <c r="CA7" s="14">
        <f t="shared" si="39"/>
        <v>0.63386677286612625</v>
      </c>
      <c r="CB7" s="22">
        <f t="shared" si="10"/>
        <v>3.6023098465007668</v>
      </c>
      <c r="CC7" s="62">
        <f t="shared" si="11"/>
        <v>296.93564317983407</v>
      </c>
      <c r="CD7" s="62">
        <f ca="1">AVERAGE(OFFSET($CC$3,0,0,'Données projet'!$E$12+1,1))-AVERAGE(OFFSET($H$3,0,0,'Données projet'!$E$12+1,1))</f>
        <v>287.69656598881124</v>
      </c>
      <c r="CE7" s="62">
        <f t="shared" si="40"/>
        <v>221.9773436301067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5.7692307692307692</v>
      </c>
      <c r="CT7" s="13">
        <f>IF('Données projet'!$A$140&gt;35,CT6+CS7-DB6,IF(A7&lt;'Données projet'!$A$140,$CQ$205^A7,IF(A7='Données projet'!$A$140,'Données projet'!$B$140,CT6+CS7-DB6)))</f>
        <v>3.775217062651647</v>
      </c>
      <c r="CU7" s="18">
        <f>CT7*VLOOKUP('Données projet'!$B$13,Paramètres!$A$1:$I$89,3,0)*VLOOKUP('Données projet'!$B$13,Paramètres!$A$1:$I$89,5,0)</f>
        <v>2.2575798034656849</v>
      </c>
      <c r="CV7" s="14">
        <f t="shared" si="41"/>
        <v>0.94630496324253699</v>
      </c>
      <c r="CW7" s="22">
        <f t="shared" si="13"/>
        <v>5.5800993020168193</v>
      </c>
      <c r="CX7" s="62">
        <f t="shared" si="14"/>
        <v>298.91343263535015</v>
      </c>
      <c r="CY7" s="62">
        <f ca="1">AVERAGE(OFFSET($CX$3,0,0,'Données projet'!$E$13+1,1))-AVERAGE(OFFSET($H$3,0,0,'Données projet'!$E$13+1,1))</f>
        <v>163.03280205647224</v>
      </c>
      <c r="CZ7" s="62">
        <f t="shared" si="42"/>
        <v>277.12388047243826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3.95</v>
      </c>
      <c r="N8" s="14">
        <f>IF('Données projet'!$A$36&gt;35,N7+M8-V7,IF(A8&lt;'Données projet'!$A$36,$K$205^A8,IF(A8='Données projet'!$A$36,'Données projet'!$B$36,N7+M8-V7)))</f>
        <v>2.9813075013013308</v>
      </c>
      <c r="O8" s="14">
        <f>N8*VLOOKUP('Données projet'!$B$9,Paramètres!$A$1:$I$89,3,0)*VLOOKUP('Données projet'!$B$9,Paramètres!$A$1:$I$89,5,0)</f>
        <v>2.6044702331368428</v>
      </c>
      <c r="P8" s="14">
        <f t="shared" si="33"/>
        <v>1.0736969640242655</v>
      </c>
      <c r="Q8" s="22">
        <f t="shared" si="2"/>
        <v>6.4061412017222628</v>
      </c>
      <c r="R8" s="62">
        <f t="shared" si="0"/>
        <v>299.73947453505559</v>
      </c>
      <c r="S8" s="62">
        <f ca="1">AVERAGE(OFFSET($R$3,0,0,'Données projet'!$E$9+1,1))-AVERAGE(OFFSET($H$3,0,0,'Données projet'!$E$9+1,1))</f>
        <v>188.31046827337082</v>
      </c>
      <c r="T8" s="62">
        <f t="shared" si="34"/>
        <v>207.32535726327728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310.95287409903602</v>
      </c>
      <c r="AO8" s="62">
        <f t="shared" si="36"/>
        <v>224.10083380795163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8.526315789473685</v>
      </c>
      <c r="BD8" s="13">
        <f>IF('Données projet'!$A$88&gt;35,BD7+BC8-BL7,IF(A8&lt;'Données projet'!$A$88,$BA$205^A8,IF(A8='Données projet'!$A$88,'Données projet'!$B$88,BD7+BC8-BL7)))</f>
        <v>3.8146203352688688</v>
      </c>
      <c r="BE8" s="14">
        <f>BD8*VLOOKUP('Données projet'!$B$11,Paramètres!$A$1:$I$89,3,0)*VLOOKUP('Données projet'!$B$11,Paramètres!$A$1:$I$89,5,0)</f>
        <v>2.1323727674152977</v>
      </c>
      <c r="BF8" s="14">
        <f t="shared" si="37"/>
        <v>0.89977831922200224</v>
      </c>
      <c r="BG8" s="22">
        <f t="shared" si="7"/>
        <v>5.2809964758932972</v>
      </c>
      <c r="BH8" s="62">
        <f t="shared" si="8"/>
        <v>298.6143298092266</v>
      </c>
      <c r="BI8" s="62">
        <f ca="1">AVERAGE(OFFSET($BH$3,0,0,'Données projet'!$E$11+1,1))-AVERAGE(OFFSET($H$3,0,0,'Données projet'!$E$11+1,1))</f>
        <v>382.55387448074327</v>
      </c>
      <c r="BJ8" s="62">
        <f t="shared" si="38"/>
        <v>476.29465646955543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5.5909090909090908</v>
      </c>
      <c r="BY8" s="13">
        <f>IF('Données projet'!$A$114&gt;35,BY7+BX8-CG7,IF(A8&lt;'Données projet'!$A$114,$BV$205^A8,IF(A8='Données projet'!$A$114,'Données projet'!$B$114,BY7+BX8-CG7)))</f>
        <v>2.9852343786852105</v>
      </c>
      <c r="BZ8" s="14">
        <f>BY8*VLOOKUP('Données projet'!$B$12,Paramètres!$A$1:$I$89,3,0)*VLOOKUP('Données projet'!$B$12,Paramètres!$A$1:$I$89,5,0)</f>
        <v>1.785170158453756</v>
      </c>
      <c r="CA8" s="14">
        <f t="shared" si="39"/>
        <v>0.7690174164926461</v>
      </c>
      <c r="CB8" s="22">
        <f t="shared" si="10"/>
        <v>4.4485433596983173</v>
      </c>
      <c r="CC8" s="62">
        <f t="shared" si="11"/>
        <v>297.78187669303162</v>
      </c>
      <c r="CD8" s="62">
        <f ca="1">AVERAGE(OFFSET($CC$3,0,0,'Données projet'!$E$12+1,1))-AVERAGE(OFFSET($H$3,0,0,'Données projet'!$E$12+1,1))</f>
        <v>287.69656598881124</v>
      </c>
      <c r="CE8" s="62">
        <f t="shared" si="40"/>
        <v>221.9773436301067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5.7692307692307692</v>
      </c>
      <c r="CT8" s="13">
        <f>IF('Données projet'!$A$140&gt;35,CT7+CS8-DB7,IF(A8&lt;'Données projet'!$A$140,$CQ$205^A8,IF(A8='Données projet'!$A$140,'Données projet'!$B$140,CT7+CS8-DB7)))</f>
        <v>5.2623218797648903</v>
      </c>
      <c r="CU8" s="18">
        <f>CT8*VLOOKUP('Données projet'!$B$13,Paramètres!$A$1:$I$89,3,0)*VLOOKUP('Données projet'!$B$13,Paramètres!$A$1:$I$89,5,0)</f>
        <v>3.1468684840994046</v>
      </c>
      <c r="CV8" s="14">
        <f t="shared" si="41"/>
        <v>1.2690466576879811</v>
      </c>
      <c r="CW8" s="22">
        <f t="shared" si="13"/>
        <v>7.6910522052796955</v>
      </c>
      <c r="CX8" s="62">
        <f t="shared" si="14"/>
        <v>301.02438553861299</v>
      </c>
      <c r="CY8" s="62">
        <f ca="1">AVERAGE(OFFSET($CX$3,0,0,'Données projet'!$E$13+1,1))-AVERAGE(OFFSET($H$3,0,0,'Données projet'!$E$13+1,1))</f>
        <v>163.03280205647224</v>
      </c>
      <c r="CZ8" s="62">
        <f t="shared" si="42"/>
        <v>277.12388047243826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3.95</v>
      </c>
      <c r="N9" s="14">
        <f>IF('Données projet'!$A$36&gt;35,N8+M9-V8,IF(A9&lt;'Données projet'!$A$36,$K$205^A9,IF(A9='Données projet'!$A$36,'Données projet'!$B$36,N8+M9-V8)))</f>
        <v>3.709267269905157</v>
      </c>
      <c r="O9" s="14">
        <f>N9*VLOOKUP('Données projet'!$B$9,Paramètres!$A$1:$I$89,3,0)*VLOOKUP('Données projet'!$B$9,Paramètres!$A$1:$I$89,5,0)</f>
        <v>3.2404158869891453</v>
      </c>
      <c r="P9" s="14">
        <f t="shared" si="33"/>
        <v>1.3023235379849323</v>
      </c>
      <c r="Q9" s="22">
        <f t="shared" si="2"/>
        <v>7.9119378318298503</v>
      </c>
      <c r="R9" s="62">
        <f t="shared" si="0"/>
        <v>301.24527116516316</v>
      </c>
      <c r="S9" s="62">
        <f ca="1">AVERAGE(OFFSET($R$3,0,0,'Données projet'!$E$9+1,1))-AVERAGE(OFFSET($H$3,0,0,'Données projet'!$E$9+1,1))</f>
        <v>188.31046827337082</v>
      </c>
      <c r="T9" s="62">
        <f t="shared" si="34"/>
        <v>207.32535726327728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310.95287409903602</v>
      </c>
      <c r="AO9" s="62">
        <f t="shared" si="36"/>
        <v>224.10083380795163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8.526315789473685</v>
      </c>
      <c r="BD9" s="13">
        <f>IF('Données projet'!$A$88&gt;35,BD8+BC9-BL8,IF(A9&lt;'Données projet'!$A$88,$BA$205^A9,IF(A9='Données projet'!$A$88,'Données projet'!$B$88,BD8+BC9-BL8)))</f>
        <v>4.9858772657326877</v>
      </c>
      <c r="BE9" s="14">
        <f>BD9*VLOOKUP('Données projet'!$B$11,Paramètres!$A$1:$I$89,3,0)*VLOOKUP('Données projet'!$B$11,Paramètres!$A$1:$I$89,5,0)</f>
        <v>2.7871053915445723</v>
      </c>
      <c r="BF9" s="14">
        <f t="shared" si="37"/>
        <v>1.1399599707787778</v>
      </c>
      <c r="BG9" s="22">
        <f t="shared" si="7"/>
        <v>6.839638839379834</v>
      </c>
      <c r="BH9" s="62">
        <f t="shared" si="8"/>
        <v>300.17297217271317</v>
      </c>
      <c r="BI9" s="62">
        <f ca="1">AVERAGE(OFFSET($BH$3,0,0,'Données projet'!$E$11+1,1))-AVERAGE(OFFSET($H$3,0,0,'Données projet'!$E$11+1,1))</f>
        <v>382.55387448074327</v>
      </c>
      <c r="BJ9" s="62">
        <f t="shared" si="38"/>
        <v>476.29465646955543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5.5909090909090908</v>
      </c>
      <c r="BY9" s="13">
        <f>IF('Données projet'!$A$114&gt;35,BY8+BX9-CG8,IF(A9&lt;'Données projet'!$A$114,$BV$205^A9,IF(A9='Données projet'!$A$114,'Données projet'!$B$114,BY8+BX9-CG8)))</f>
        <v>3.7151309075081826</v>
      </c>
      <c r="BZ9" s="14">
        <f>BY9*VLOOKUP('Données projet'!$B$12,Paramètres!$A$1:$I$89,3,0)*VLOOKUP('Données projet'!$B$12,Paramètres!$A$1:$I$89,5,0)</f>
        <v>2.2216482826898933</v>
      </c>
      <c r="CA9" s="14">
        <f t="shared" si="39"/>
        <v>0.93298436230530435</v>
      </c>
      <c r="CB9" s="22">
        <f t="shared" si="10"/>
        <v>5.4943185233666361</v>
      </c>
      <c r="CC9" s="62">
        <f t="shared" si="11"/>
        <v>298.82765185669996</v>
      </c>
      <c r="CD9" s="62">
        <f ca="1">AVERAGE(OFFSET($CC$3,0,0,'Données projet'!$E$12+1,1))-AVERAGE(OFFSET($H$3,0,0,'Données projet'!$E$12+1,1))</f>
        <v>287.69656598881124</v>
      </c>
      <c r="CE9" s="62">
        <f t="shared" si="40"/>
        <v>221.9773436301067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5.7692307692307692</v>
      </c>
      <c r="CT9" s="13">
        <f>IF('Données projet'!$A$140&gt;35,CT8+CS9-DB8,IF(A9&lt;'Données projet'!$A$140,$CQ$205^A9,IF(A9='Données projet'!$A$140,'Données projet'!$B$140,CT8+CS9-DB8)))</f>
        <v>7.3352157257950852</v>
      </c>
      <c r="CU9" s="18">
        <f>CT9*VLOOKUP('Données projet'!$B$13,Paramètres!$A$1:$I$89,3,0)*VLOOKUP('Données projet'!$B$13,Paramètres!$A$1:$I$89,5,0)</f>
        <v>4.3864590040254612</v>
      </c>
      <c r="CV9" s="14">
        <f t="shared" si="41"/>
        <v>1.7018609031391834</v>
      </c>
      <c r="CW9" s="22">
        <f t="shared" si="13"/>
        <v>10.603823838311754</v>
      </c>
      <c r="CX9" s="62">
        <f t="shared" si="14"/>
        <v>303.93715717164508</v>
      </c>
      <c r="CY9" s="62">
        <f ca="1">AVERAGE(OFFSET($CX$3,0,0,'Données projet'!$E$13+1,1))-AVERAGE(OFFSET($H$3,0,0,'Données projet'!$E$13+1,1))</f>
        <v>163.03280205647224</v>
      </c>
      <c r="CZ9" s="62">
        <f t="shared" si="42"/>
        <v>277.12388047243826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3.95</v>
      </c>
      <c r="N10" s="14">
        <f>IF('Données projet'!$A$36&gt;35,N9+M10-V9,IF(A10&lt;'Données projet'!$A$36,$K$205^A10,IF(A10='Données projet'!$A$36,'Données projet'!$B$36,N9+M10-V9)))</f>
        <v>4.6149763731463613</v>
      </c>
      <c r="O10" s="14">
        <f>N10*VLOOKUP('Données projet'!$B$9,Paramètres!$A$1:$I$89,3,0)*VLOOKUP('Données projet'!$B$9,Paramètres!$A$1:$I$89,5,0)</f>
        <v>4.0316433595806611</v>
      </c>
      <c r="P10" s="14">
        <f t="shared" si="33"/>
        <v>1.5796324795710794</v>
      </c>
      <c r="Q10" s="22">
        <f t="shared" si="2"/>
        <v>9.772972086522616</v>
      </c>
      <c r="R10" s="62">
        <f t="shared" si="0"/>
        <v>303.10630541985591</v>
      </c>
      <c r="S10" s="62">
        <f ca="1">AVERAGE(OFFSET($R$3,0,0,'Données projet'!$E$9+1,1))-AVERAGE(OFFSET($H$3,0,0,'Données projet'!$E$9+1,1))</f>
        <v>188.31046827337082</v>
      </c>
      <c r="T10" s="62">
        <f t="shared" si="34"/>
        <v>207.32535726327728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310.95287409903602</v>
      </c>
      <c r="AO10" s="62">
        <f t="shared" si="36"/>
        <v>224.10083380795163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8.526315789473685</v>
      </c>
      <c r="BD10" s="13">
        <f>IF('Données projet'!$A$88&gt;35,BD9+BC10-BL9,IF(A10&lt;'Données projet'!$A$88,$BA$205^A10,IF(A10='Données projet'!$A$88,'Données projet'!$B$88,BD9+BC10-BL9)))</f>
        <v>6.5167618069644444</v>
      </c>
      <c r="BE10" s="14">
        <f>BD10*VLOOKUP('Données projet'!$B$11,Paramètres!$A$1:$I$89,3,0)*VLOOKUP('Données projet'!$B$11,Paramètres!$A$1:$I$89,5,0)</f>
        <v>3.6428698500931249</v>
      </c>
      <c r="BF10" s="14">
        <f t="shared" si="37"/>
        <v>1.4442543315575544</v>
      </c>
      <c r="BG10" s="22">
        <f t="shared" si="7"/>
        <v>8.8600746163749324</v>
      </c>
      <c r="BH10" s="62">
        <f t="shared" si="8"/>
        <v>302.19340794970827</v>
      </c>
      <c r="BI10" s="62">
        <f ca="1">AVERAGE(OFFSET($BH$3,0,0,'Données projet'!$E$11+1,1))-AVERAGE(OFFSET($H$3,0,0,'Données projet'!$E$11+1,1))</f>
        <v>382.55387448074327</v>
      </c>
      <c r="BJ10" s="62">
        <f t="shared" si="38"/>
        <v>476.29465646955543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5.5909090909090908</v>
      </c>
      <c r="BY10" s="13">
        <f>IF('Données projet'!$A$114&gt;35,BY9+BX10-CG9,IF(A10&lt;'Données projet'!$A$114,$BV$205^A10,IF(A10='Données projet'!$A$114,'Données projet'!$B$114,BY9+BX10-CG9)))</f>
        <v>4.6234887814743333</v>
      </c>
      <c r="BZ10" s="14">
        <f>BY10*VLOOKUP('Données projet'!$B$12,Paramètres!$A$1:$I$89,3,0)*VLOOKUP('Données projet'!$B$12,Paramètres!$A$1:$I$89,5,0)</f>
        <v>2.7648462913216516</v>
      </c>
      <c r="CA10" s="14">
        <f t="shared" si="39"/>
        <v>1.1319117118000401</v>
      </c>
      <c r="CB10" s="22">
        <f t="shared" si="10"/>
        <v>6.7868535221036126</v>
      </c>
      <c r="CC10" s="62">
        <f t="shared" si="11"/>
        <v>300.12018685543694</v>
      </c>
      <c r="CD10" s="62">
        <f ca="1">AVERAGE(OFFSET($CC$3,0,0,'Données projet'!$E$12+1,1))-AVERAGE(OFFSET($H$3,0,0,'Données projet'!$E$12+1,1))</f>
        <v>287.69656598881124</v>
      </c>
      <c r="CE10" s="62">
        <f t="shared" si="40"/>
        <v>221.9773436301067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5.7692307692307692</v>
      </c>
      <c r="CT10" s="13">
        <f>IF('Données projet'!$A$140&gt;35,CT9+CS10-DB9,IF(A10&lt;'Données projet'!$A$140,$CQ$205^A10,IF(A10='Données projet'!$A$140,'Données projet'!$B$140,CT9+CS10-DB9)))</f>
        <v>10.224648163550844</v>
      </c>
      <c r="CU10" s="18">
        <f>CT10*VLOOKUP('Données projet'!$B$13,Paramètres!$A$1:$I$89,3,0)*VLOOKUP('Données projet'!$B$13,Paramètres!$A$1:$I$89,5,0)</f>
        <v>6.1143396018034055</v>
      </c>
      <c r="CV10" s="14">
        <f t="shared" si="41"/>
        <v>2.2822884533736612</v>
      </c>
      <c r="CW10" s="22">
        <f t="shared" si="13"/>
        <v>14.624127196100055</v>
      </c>
      <c r="CX10" s="62">
        <f t="shared" si="14"/>
        <v>307.95746052943338</v>
      </c>
      <c r="CY10" s="62">
        <f ca="1">AVERAGE(OFFSET($CX$3,0,0,'Données projet'!$E$13+1,1))-AVERAGE(OFFSET($H$3,0,0,'Données projet'!$E$13+1,1))</f>
        <v>163.03280205647224</v>
      </c>
      <c r="CZ10" s="62">
        <f t="shared" si="42"/>
        <v>277.12388047243826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3.95</v>
      </c>
      <c r="N11" s="14">
        <f>IF('Données projet'!$A$36&gt;35,N10+M11-V10,IF(A11&lt;'Données projet'!$A$36,$K$205^A11,IF(A11='Données projet'!$A$36,'Données projet'!$B$36,N10+M11-V10)))</f>
        <v>5.7418366957535838</v>
      </c>
      <c r="O11" s="14">
        <f>N11*VLOOKUP('Données projet'!$B$9,Paramètres!$A$1:$I$89,3,0)*VLOOKUP('Données projet'!$B$9,Paramètres!$A$1:$I$89,5,0)</f>
        <v>5.0160685374103311</v>
      </c>
      <c r="P11" s="14">
        <f t="shared" si="33"/>
        <v>1.9159899193534717</v>
      </c>
      <c r="Q11" s="22">
        <f t="shared" si="2"/>
        <v>12.073335145530288</v>
      </c>
      <c r="R11" s="62">
        <f t="shared" si="0"/>
        <v>305.40666847886359</v>
      </c>
      <c r="S11" s="62">
        <f ca="1">AVERAGE(OFFSET($R$3,0,0,'Données projet'!$E$9+1,1))-AVERAGE(OFFSET($H$3,0,0,'Données projet'!$E$9+1,1))</f>
        <v>188.31046827337082</v>
      </c>
      <c r="T11" s="62">
        <f t="shared" si="34"/>
        <v>207.32535726327728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310.95287409903602</v>
      </c>
      <c r="AO11" s="62">
        <f t="shared" si="36"/>
        <v>224.10083380795163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8.526315789473685</v>
      </c>
      <c r="BD11" s="13">
        <f>IF('Données projet'!$A$88&gt;35,BD10+BC11-BL10,IF(A11&lt;'Données projet'!$A$88,$BA$205^A11,IF(A11='Données projet'!$A$88,'Données projet'!$B$88,BD10+BC11-BL10)))</f>
        <v>8.5176955198213591</v>
      </c>
      <c r="BE11" s="14">
        <f>BD11*VLOOKUP('Données projet'!$B$11,Paramètres!$A$1:$I$89,3,0)*VLOOKUP('Données projet'!$B$11,Paramètres!$A$1:$I$89,5,0)</f>
        <v>4.7613917955801393</v>
      </c>
      <c r="BF11" s="14">
        <f t="shared" si="37"/>
        <v>1.8297752795633417</v>
      </c>
      <c r="BG11" s="22">
        <f t="shared" si="7"/>
        <v>11.479615989208229</v>
      </c>
      <c r="BH11" s="62">
        <f t="shared" si="8"/>
        <v>304.81294932254156</v>
      </c>
      <c r="BI11" s="62">
        <f ca="1">AVERAGE(OFFSET($BH$3,0,0,'Données projet'!$E$11+1,1))-AVERAGE(OFFSET($H$3,0,0,'Données projet'!$E$11+1,1))</f>
        <v>382.55387448074327</v>
      </c>
      <c r="BJ11" s="62">
        <f t="shared" si="38"/>
        <v>476.29465646955543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5.5909090909090908</v>
      </c>
      <c r="BY11" s="13">
        <f>IF('Données projet'!$A$114&gt;35,BY10+BX11-CG10,IF(A11&lt;'Données projet'!$A$114,$BV$205^A11,IF(A11='Données projet'!$A$114,'Données projet'!$B$114,BY10+BX11-CG10)))</f>
        <v>5.7539422013952093</v>
      </c>
      <c r="BZ11" s="14">
        <f>BY11*VLOOKUP('Données projet'!$B$12,Paramètres!$A$1:$I$89,3,0)*VLOOKUP('Données projet'!$B$12,Paramètres!$A$1:$I$89,5,0)</f>
        <v>3.4408574364343356</v>
      </c>
      <c r="CA11" s="14">
        <f t="shared" si="39"/>
        <v>1.3732535882427113</v>
      </c>
      <c r="CB11" s="22">
        <f t="shared" si="10"/>
        <v>8.3845767013125236</v>
      </c>
      <c r="CC11" s="62">
        <f t="shared" si="11"/>
        <v>301.71791003464585</v>
      </c>
      <c r="CD11" s="62">
        <f ca="1">AVERAGE(OFFSET($CC$3,0,0,'Données projet'!$E$12+1,1))-AVERAGE(OFFSET($H$3,0,0,'Données projet'!$E$12+1,1))</f>
        <v>287.69656598881124</v>
      </c>
      <c r="CE11" s="62">
        <f t="shared" si="40"/>
        <v>221.9773436301067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5.7692307692307692</v>
      </c>
      <c r="CT11" s="13">
        <f>IF('Données projet'!$A$140&gt;35,CT10+CS11-DB10,IF(A11&lt;'Données projet'!$A$140,$CQ$205^A11,IF(A11='Données projet'!$A$140,'Données projet'!$B$140,CT10+CS11-DB10)))</f>
        <v>14.252263870136129</v>
      </c>
      <c r="CU11" s="18">
        <f>CT11*VLOOKUP('Données projet'!$B$13,Paramètres!$A$1:$I$89,3,0)*VLOOKUP('Données projet'!$B$13,Paramètres!$A$1:$I$89,5,0)</f>
        <v>8.5228537943414064</v>
      </c>
      <c r="CV11" s="14">
        <f t="shared" si="41"/>
        <v>3.0606735102702713</v>
      </c>
      <c r="CW11" s="22">
        <f t="shared" si="13"/>
        <v>20.174643388865338</v>
      </c>
      <c r="CX11" s="62">
        <f t="shared" si="14"/>
        <v>313.50797672219863</v>
      </c>
      <c r="CY11" s="62">
        <f ca="1">AVERAGE(OFFSET($CX$3,0,0,'Données projet'!$E$13+1,1))-AVERAGE(OFFSET($H$3,0,0,'Données projet'!$E$13+1,1))</f>
        <v>163.03280205647224</v>
      </c>
      <c r="CZ11" s="62">
        <f t="shared" si="42"/>
        <v>277.12388047243826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3.95</v>
      </c>
      <c r="N12" s="14">
        <f>IF('Données projet'!$A$36&gt;35,N11+M12-V11,IF(A12&lt;'Données projet'!$A$36,$K$205^A12,IF(A12='Données projet'!$A$36,'Données projet'!$B$36,N11+M12-V11)))</f>
        <v>7.143847763238993</v>
      </c>
      <c r="O12" s="14">
        <f>N12*VLOOKUP('Données projet'!$B$9,Paramètres!$A$1:$I$89,3,0)*VLOOKUP('Données projet'!$B$9,Paramètres!$A$1:$I$89,5,0)</f>
        <v>6.2408654059655859</v>
      </c>
      <c r="P12" s="14">
        <f t="shared" si="33"/>
        <v>2.3239692894013682</v>
      </c>
      <c r="Q12" s="22">
        <f t="shared" si="2"/>
        <v>14.917087094430778</v>
      </c>
      <c r="R12" s="62">
        <f t="shared" si="0"/>
        <v>308.25042042776408</v>
      </c>
      <c r="S12" s="62">
        <f ca="1">AVERAGE(OFFSET($R$3,0,0,'Données projet'!$E$9+1,1))-AVERAGE(OFFSET($H$3,0,0,'Données projet'!$E$9+1,1))</f>
        <v>188.31046827337082</v>
      </c>
      <c r="T12" s="62">
        <f t="shared" si="34"/>
        <v>207.32535726327728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310.95287409903602</v>
      </c>
      <c r="AO12" s="62">
        <f t="shared" si="36"/>
        <v>224.10083380795163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8.526315789473685</v>
      </c>
      <c r="BD12" s="13">
        <f>IF('Données projet'!$A$88&gt;35,BD11+BC12-BL11,IF(A12&lt;'Données projet'!$A$88,$BA$205^A12,IF(A12='Données projet'!$A$88,'Données projet'!$B$88,BD11+BC12-BL11)))</f>
        <v>11.133004261541316</v>
      </c>
      <c r="BE12" s="14">
        <f>BD12*VLOOKUP('Données projet'!$B$11,Paramètres!$A$1:$I$89,3,0)*VLOOKUP('Données projet'!$B$11,Paramètres!$A$1:$I$89,5,0)</f>
        <v>6.2233493822015964</v>
      </c>
      <c r="BF12" s="14">
        <f t="shared" si="37"/>
        <v>2.3182049730052579</v>
      </c>
      <c r="BG12" s="22">
        <f t="shared" si="7"/>
        <v>14.87654050198527</v>
      </c>
      <c r="BH12" s="62">
        <f t="shared" si="8"/>
        <v>308.2098738353186</v>
      </c>
      <c r="BI12" s="62">
        <f ca="1">AVERAGE(OFFSET($BH$3,0,0,'Données projet'!$E$11+1,1))-AVERAGE(OFFSET($H$3,0,0,'Données projet'!$E$11+1,1))</f>
        <v>382.55387448074327</v>
      </c>
      <c r="BJ12" s="62">
        <f t="shared" si="38"/>
        <v>476.29465646955543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5.5909090909090908</v>
      </c>
      <c r="BY12" s="13">
        <f>IF('Données projet'!$A$114&gt;35,BY11+BX12-CG11,IF(A12&lt;'Données projet'!$A$114,$BV$205^A12,IF(A12='Données projet'!$A$114,'Données projet'!$B$114,BY11+BX12-CG11)))</f>
        <v>7.1607940284521145</v>
      </c>
      <c r="BZ12" s="14">
        <f>BY12*VLOOKUP('Données projet'!$B$12,Paramètres!$A$1:$I$89,3,0)*VLOOKUP('Données projet'!$B$12,Paramètres!$A$1:$I$89,5,0)</f>
        <v>4.2821548290143649</v>
      </c>
      <c r="CA12" s="14">
        <f t="shared" si="39"/>
        <v>1.6660534544894132</v>
      </c>
      <c r="CB12" s="22">
        <f t="shared" si="10"/>
        <v>10.359796093769079</v>
      </c>
      <c r="CC12" s="62">
        <f t="shared" si="11"/>
        <v>303.69312942710241</v>
      </c>
      <c r="CD12" s="62">
        <f ca="1">AVERAGE(OFFSET($CC$3,0,0,'Données projet'!$E$12+1,1))-AVERAGE(OFFSET($H$3,0,0,'Données projet'!$E$12+1,1))</f>
        <v>287.69656598881124</v>
      </c>
      <c r="CE12" s="62">
        <f t="shared" si="40"/>
        <v>221.9773436301067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5.7692307692307692</v>
      </c>
      <c r="CT12" s="13">
        <f>IF('Données projet'!$A$140&gt;35,CT11+CS12-DB11,IF(A12&lt;'Données projet'!$A$140,$CQ$205^A12,IF(A12='Données projet'!$A$140,'Données projet'!$B$140,CT11+CS12-DB11)))</f>
        <v>19.866407349653503</v>
      </c>
      <c r="CU12" s="18">
        <f>CT12*VLOOKUP('Données projet'!$B$13,Paramètres!$A$1:$I$89,3,0)*VLOOKUP('Données projet'!$B$13,Paramètres!$A$1:$I$89,5,0)</f>
        <v>11.880111595092796</v>
      </c>
      <c r="CV12" s="14">
        <f t="shared" si="41"/>
        <v>4.1045303991363813</v>
      </c>
      <c r="CW12" s="22">
        <f t="shared" si="13"/>
        <v>27.839918139949148</v>
      </c>
      <c r="CX12" s="62">
        <f t="shared" si="14"/>
        <v>321.17325147328245</v>
      </c>
      <c r="CY12" s="62">
        <f ca="1">AVERAGE(OFFSET($CX$3,0,0,'Données projet'!$E$13+1,1))-AVERAGE(OFFSET($H$3,0,0,'Données projet'!$E$13+1,1))</f>
        <v>163.03280205647224</v>
      </c>
      <c r="CZ12" s="62">
        <f t="shared" si="42"/>
        <v>277.12388047243826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3.95</v>
      </c>
      <c r="N13" s="14">
        <f>IF('Données projet'!$A$36&gt;35,N12+M13-V12,IF(A13&lt;'Données projet'!$A$36,$K$205^A13,IF(A13='Données projet'!$A$36,'Données projet'!$B$36,N12+M13-V12)))</f>
        <v>8.8881944173155834</v>
      </c>
      <c r="O13" s="14">
        <f>N13*VLOOKUP('Données projet'!$B$9,Paramètres!$A$1:$I$89,3,0)*VLOOKUP('Données projet'!$B$9,Paramètres!$A$1:$I$89,5,0)</f>
        <v>7.7647266429668944</v>
      </c>
      <c r="P13" s="14">
        <f t="shared" si="33"/>
        <v>2.8188213327881941</v>
      </c>
      <c r="Q13" s="22">
        <f t="shared" si="2"/>
        <v>18.433012724440111</v>
      </c>
      <c r="R13" s="62">
        <f t="shared" si="0"/>
        <v>311.76634605777343</v>
      </c>
      <c r="S13" s="62">
        <f ca="1">AVERAGE(OFFSET($R$3,0,0,'Données projet'!$E$9+1,1))-AVERAGE(OFFSET($H$3,0,0,'Données projet'!$E$9+1,1))</f>
        <v>188.31046827337082</v>
      </c>
      <c r="T13" s="62">
        <f t="shared" si="34"/>
        <v>207.32535726327728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310.95287409903602</v>
      </c>
      <c r="AO13" s="62">
        <f t="shared" si="36"/>
        <v>224.10083380795163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8.526315789473685</v>
      </c>
      <c r="BD13" s="13">
        <f>IF('Données projet'!$A$88&gt;35,BD12+BC13-BL12,IF(A13&lt;'Données projet'!$A$88,$BA$205^A13,IF(A13='Données projet'!$A$88,'Données projet'!$B$88,BD12+BC13-BL12)))</f>
        <v>14.551328302246779</v>
      </c>
      <c r="BE13" s="14">
        <f>BD13*VLOOKUP('Données projet'!$B$11,Paramètres!$A$1:$I$89,3,0)*VLOOKUP('Données projet'!$B$11,Paramètres!$A$1:$I$89,5,0)</f>
        <v>8.1341925209559491</v>
      </c>
      <c r="BF13" s="14">
        <f t="shared" si="37"/>
        <v>2.9370132807503975</v>
      </c>
      <c r="BG13" s="22">
        <f t="shared" si="7"/>
        <v>19.282350104638549</v>
      </c>
      <c r="BH13" s="62">
        <f t="shared" si="8"/>
        <v>312.61568343797188</v>
      </c>
      <c r="BI13" s="62">
        <f ca="1">AVERAGE(OFFSET($BH$3,0,0,'Données projet'!$E$11+1,1))-AVERAGE(OFFSET($H$3,0,0,'Données projet'!$E$11+1,1))</f>
        <v>382.55387448074327</v>
      </c>
      <c r="BJ13" s="62">
        <f t="shared" si="38"/>
        <v>476.29465646955543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5.5909090909090908</v>
      </c>
      <c r="BY13" s="13">
        <f>IF('Données projet'!$A$114&gt;35,BY12+BX13-CG12,IF(A13&lt;'Données projet'!$A$114,$BV$205^A13,IF(A13='Données projet'!$A$114,'Données projet'!$B$114,BY12+BX13-CG12)))</f>
        <v>8.9116242956840761</v>
      </c>
      <c r="BZ13" s="14">
        <f>BY13*VLOOKUP('Données projet'!$B$12,Paramètres!$A$1:$I$89,3,0)*VLOOKUP('Données projet'!$B$12,Paramètres!$A$1:$I$89,5,0)</f>
        <v>5.3291513288190782</v>
      </c>
      <c r="CA13" s="14">
        <f t="shared" si="39"/>
        <v>2.0212829858817885</v>
      </c>
      <c r="CB13" s="22">
        <f t="shared" si="10"/>
        <v>12.802006431437341</v>
      </c>
      <c r="CC13" s="62">
        <f t="shared" si="11"/>
        <v>306.13533976477066</v>
      </c>
      <c r="CD13" s="62">
        <f ca="1">AVERAGE(OFFSET($CC$3,0,0,'Données projet'!$E$12+1,1))-AVERAGE(OFFSET($H$3,0,0,'Données projet'!$E$12+1,1))</f>
        <v>287.69656598881124</v>
      </c>
      <c r="CE13" s="62">
        <f t="shared" si="40"/>
        <v>221.9773436301067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5.7692307692307692</v>
      </c>
      <c r="CT13" s="13">
        <f>IF('Données projet'!$A$140&gt;35,CT12+CS13-DB12,IF(A13&lt;'Données projet'!$A$140,$CQ$205^A13,IF(A13='Données projet'!$A$140,'Données projet'!$B$140,CT12+CS13-DB12)))</f>
        <v>27.69203156625229</v>
      </c>
      <c r="CU13" s="18">
        <f>CT13*VLOOKUP('Données projet'!$B$13,Paramètres!$A$1:$I$89,3,0)*VLOOKUP('Données projet'!$B$13,Paramètres!$A$1:$I$89,5,0)</f>
        <v>16.559834876618869</v>
      </c>
      <c r="CV13" s="14">
        <f t="shared" si="41"/>
        <v>5.5043995188977117</v>
      </c>
      <c r="CW13" s="22">
        <f t="shared" si="13"/>
        <v>38.428541572191371</v>
      </c>
      <c r="CX13" s="62">
        <f t="shared" si="14"/>
        <v>331.76187490552468</v>
      </c>
      <c r="CY13" s="62">
        <f ca="1">AVERAGE(OFFSET($CX$3,0,0,'Données projet'!$E$13+1,1))-AVERAGE(OFFSET($H$3,0,0,'Données projet'!$E$13+1,1))</f>
        <v>163.03280205647224</v>
      </c>
      <c r="CZ13" s="62">
        <f t="shared" si="42"/>
        <v>277.12388047243826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3.95</v>
      </c>
      <c r="N14" s="14">
        <f>IF('Données projet'!$A$36&gt;35,N13+M14-V13,IF(A14&lt;'Données projet'!$A$36,$K$205^A14,IF(A14='Données projet'!$A$36,'Données projet'!$B$36,N13+M14-V13)))</f>
        <v>11.058466336099752</v>
      </c>
      <c r="O14" s="14">
        <f>N14*VLOOKUP('Données projet'!$B$9,Paramètres!$A$1:$I$89,3,0)*VLOOKUP('Données projet'!$B$9,Paramètres!$A$1:$I$89,5,0)</f>
        <v>9.6606761912167443</v>
      </c>
      <c r="P14" s="14">
        <f t="shared" si="33"/>
        <v>3.4190441940945626</v>
      </c>
      <c r="Q14" s="22">
        <f t="shared" si="2"/>
        <v>22.780513004417188</v>
      </c>
      <c r="R14" s="62">
        <f t="shared" si="0"/>
        <v>316.11384633775049</v>
      </c>
      <c r="S14" s="62">
        <f ca="1">AVERAGE(OFFSET($R$3,0,0,'Données projet'!$E$9+1,1))-AVERAGE(OFFSET($H$3,0,0,'Données projet'!$E$9+1,1))</f>
        <v>188.31046827337082</v>
      </c>
      <c r="T14" s="62">
        <f t="shared" si="34"/>
        <v>207.32535726327728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310.95287409903602</v>
      </c>
      <c r="AO14" s="62">
        <f t="shared" si="36"/>
        <v>224.10083380795163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8.526315789473685</v>
      </c>
      <c r="BD14" s="13">
        <f>IF('Données projet'!$A$88&gt;35,BD13+BC14-BL13,IF(A14&lt;'Données projet'!$A$88,$BA$205^A14,IF(A14='Données projet'!$A$88,'Données projet'!$B$88,BD13+BC14-BL13)))</f>
        <v>19.01922880701866</v>
      </c>
      <c r="BE14" s="14">
        <f>BD14*VLOOKUP('Données projet'!$B$11,Paramètres!$A$1:$I$89,3,0)*VLOOKUP('Données projet'!$B$11,Paramètres!$A$1:$I$89,5,0)</f>
        <v>10.631748903123432</v>
      </c>
      <c r="BF14" s="14">
        <f t="shared" si="37"/>
        <v>3.7210027205323613</v>
      </c>
      <c r="BG14" s="22">
        <f t="shared" si="7"/>
        <v>24.997709077867171</v>
      </c>
      <c r="BH14" s="62">
        <f t="shared" si="8"/>
        <v>318.33104241120049</v>
      </c>
      <c r="BI14" s="62">
        <f ca="1">AVERAGE(OFFSET($BH$3,0,0,'Données projet'!$E$11+1,1))-AVERAGE(OFFSET($H$3,0,0,'Données projet'!$E$11+1,1))</f>
        <v>382.55387448074327</v>
      </c>
      <c r="BJ14" s="62">
        <f t="shared" si="38"/>
        <v>476.29465646955543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5.5909090909090908</v>
      </c>
      <c r="BY14" s="13">
        <f>IF('Données projet'!$A$114&gt;35,BY13+BX14-CG13,IF(A14&lt;'Données projet'!$A$114,$BV$205^A14,IF(A14='Données projet'!$A$114,'Données projet'!$B$114,BY13+BX14-CG13)))</f>
        <v>11.090536506409412</v>
      </c>
      <c r="BZ14" s="14">
        <f>BY14*VLOOKUP('Données projet'!$B$12,Paramètres!$A$1:$I$89,3,0)*VLOOKUP('Données projet'!$B$12,Paramètres!$A$1:$I$89,5,0)</f>
        <v>6.6321408308328289</v>
      </c>
      <c r="CA14" s="14">
        <f t="shared" si="39"/>
        <v>2.4522531963221348</v>
      </c>
      <c r="CB14" s="22">
        <f t="shared" si="10"/>
        <v>15.821986263961561</v>
      </c>
      <c r="CC14" s="62">
        <f t="shared" si="11"/>
        <v>309.15531959729486</v>
      </c>
      <c r="CD14" s="62">
        <f ca="1">AVERAGE(OFFSET($CC$3,0,0,'Données projet'!$E$12+1,1))-AVERAGE(OFFSET($H$3,0,0,'Données projet'!$E$12+1,1))</f>
        <v>287.69656598881124</v>
      </c>
      <c r="CE14" s="62">
        <f t="shared" si="40"/>
        <v>221.9773436301067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5.7692307692307692</v>
      </c>
      <c r="CT14" s="13">
        <f>IF('Données projet'!$A$140&gt;35,CT13+CS14-DB13,IF(A14&lt;'Données projet'!$A$140,$CQ$205^A14,IF(A14='Données projet'!$A$140,'Données projet'!$B$140,CT13+CS14-DB13)))</f>
        <v>38.600266206646971</v>
      </c>
      <c r="CU14" s="18">
        <f>CT14*VLOOKUP('Données projet'!$B$13,Paramètres!$A$1:$I$89,3,0)*VLOOKUP('Données projet'!$B$13,Paramètres!$A$1:$I$89,5,0)</f>
        <v>23.08295919157489</v>
      </c>
      <c r="CV14" s="14">
        <f t="shared" si="41"/>
        <v>7.3817004912465372</v>
      </c>
      <c r="CW14" s="22">
        <f t="shared" si="13"/>
        <v>53.059282280913983</v>
      </c>
      <c r="CX14" s="62">
        <f t="shared" si="14"/>
        <v>346.39261561424729</v>
      </c>
      <c r="CY14" s="62">
        <f ca="1">AVERAGE(OFFSET($CX$3,0,0,'Données projet'!$E$13+1,1))-AVERAGE(OFFSET($H$3,0,0,'Données projet'!$E$13+1,1))</f>
        <v>163.03280205647224</v>
      </c>
      <c r="CZ14" s="62">
        <f t="shared" si="42"/>
        <v>277.12388047243826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3.95</v>
      </c>
      <c r="N15" s="14">
        <f>IF('Données projet'!$A$36&gt;35,N14+M15-V14,IF(A15&lt;'Données projet'!$A$36,$K$205^A15,IF(A15='Données projet'!$A$36,'Données projet'!$B$36,N14+M15-V14)))</f>
        <v>13.758663679589656</v>
      </c>
      <c r="O15" s="14">
        <f>N15*VLOOKUP('Données projet'!$B$9,Paramètres!$A$1:$I$89,3,0)*VLOOKUP('Données projet'!$B$9,Paramètres!$A$1:$I$89,5,0)</f>
        <v>12.019568590489525</v>
      </c>
      <c r="P15" s="14">
        <f t="shared" si="33"/>
        <v>4.1470749015542889</v>
      </c>
      <c r="Q15" s="22">
        <f t="shared" si="2"/>
        <v>28.156904081976307</v>
      </c>
      <c r="R15" s="62">
        <f t="shared" si="0"/>
        <v>321.49023741530959</v>
      </c>
      <c r="S15" s="62">
        <f ca="1">AVERAGE(OFFSET($R$3,0,0,'Données projet'!$E$9+1,1))-AVERAGE(OFFSET($H$3,0,0,'Données projet'!$E$9+1,1))</f>
        <v>188.31046827337082</v>
      </c>
      <c r="T15" s="62">
        <f t="shared" si="34"/>
        <v>207.32535726327728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310.95287409903602</v>
      </c>
      <c r="AO15" s="62">
        <f t="shared" si="36"/>
        <v>224.10083380795163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8.526315789473685</v>
      </c>
      <c r="BD15" s="13">
        <f>IF('Données projet'!$A$88&gt;35,BD14+BC15-BL14,IF(A15&lt;'Données projet'!$A$88,$BA$205^A15,IF(A15='Données projet'!$A$88,'Données projet'!$B$88,BD14+BC15-BL14)))</f>
        <v>24.85897210895007</v>
      </c>
      <c r="BE15" s="14">
        <f>BD15*VLOOKUP('Données projet'!$B$11,Paramètres!$A$1:$I$89,3,0)*VLOOKUP('Données projet'!$B$11,Paramètres!$A$1:$I$89,5,0)</f>
        <v>13.896165408903089</v>
      </c>
      <c r="BF15" s="14">
        <f t="shared" si="37"/>
        <v>4.7142657940830492</v>
      </c>
      <c r="BG15" s="22">
        <f t="shared" si="7"/>
        <v>32.413167678534187</v>
      </c>
      <c r="BH15" s="62">
        <f t="shared" si="8"/>
        <v>325.74650101186751</v>
      </c>
      <c r="BI15" s="62">
        <f ca="1">AVERAGE(OFFSET($BH$3,0,0,'Données projet'!$E$11+1,1))-AVERAGE(OFFSET($H$3,0,0,'Données projet'!$E$11+1,1))</f>
        <v>382.55387448074327</v>
      </c>
      <c r="BJ15" s="62">
        <f t="shared" si="38"/>
        <v>476.29465646955543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5.5909090909090908</v>
      </c>
      <c r="BY15" s="13">
        <f>IF('Données projet'!$A$114&gt;35,BY14+BX15-CG14,IF(A15&lt;'Données projet'!$A$114,$BV$205^A15,IF(A15='Données projet'!$A$114,'Données projet'!$B$114,BY14+BX15-CG14)))</f>
        <v>13.802197659922571</v>
      </c>
      <c r="BZ15" s="14">
        <f>BY15*VLOOKUP('Données projet'!$B$12,Paramètres!$A$1:$I$89,3,0)*VLOOKUP('Données projet'!$B$12,Paramètres!$A$1:$I$89,5,0)</f>
        <v>8.2537142006336985</v>
      </c>
      <c r="CA15" s="14">
        <f t="shared" si="39"/>
        <v>2.9751132230743558</v>
      </c>
      <c r="CB15" s="22">
        <f t="shared" si="10"/>
        <v>19.556874429624859</v>
      </c>
      <c r="CC15" s="62">
        <f t="shared" si="11"/>
        <v>312.8902077629582</v>
      </c>
      <c r="CD15" s="62">
        <f ca="1">AVERAGE(OFFSET($CC$3,0,0,'Données projet'!$E$12+1,1))-AVERAGE(OFFSET($H$3,0,0,'Données projet'!$E$12+1,1))</f>
        <v>287.69656598881124</v>
      </c>
      <c r="CE15" s="62">
        <f t="shared" si="40"/>
        <v>221.9773436301067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5.7692307692307692</v>
      </c>
      <c r="CT15" s="13">
        <f>IF('Données projet'!$A$140&gt;35,CT14+CS15-DB14,IF(A15&lt;'Données projet'!$A$140,$CQ$205^A15,IF(A15='Données projet'!$A$140,'Données projet'!$B$140,CT14+CS15-DB14)))</f>
        <v>53.805389743951515</v>
      </c>
      <c r="CU15" s="18">
        <f>CT15*VLOOKUP('Données projet'!$B$13,Paramètres!$A$1:$I$89,3,0)*VLOOKUP('Données projet'!$B$13,Paramètres!$A$1:$I$89,5,0)</f>
        <v>32.175623066883006</v>
      </c>
      <c r="CV15" s="14">
        <f t="shared" si="41"/>
        <v>9.8992636627112418</v>
      </c>
      <c r="CW15" s="22">
        <f t="shared" si="13"/>
        <v>73.28042772070998</v>
      </c>
      <c r="CX15" s="62">
        <f t="shared" si="14"/>
        <v>366.61376105404327</v>
      </c>
      <c r="CY15" s="62">
        <f ca="1">AVERAGE(OFFSET($CX$3,0,0,'Données projet'!$E$13+1,1))-AVERAGE(OFFSET($H$3,0,0,'Données projet'!$E$13+1,1))</f>
        <v>163.03280205647224</v>
      </c>
      <c r="CZ15" s="62">
        <f t="shared" si="42"/>
        <v>277.12388047243826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3.95</v>
      </c>
      <c r="N16" s="14">
        <f>IF('Données projet'!$A$36&gt;35,N15+M16-V15,IF(A16&lt;'Données projet'!$A$36,$K$205^A16,IF(A16='Données projet'!$A$36,'Données projet'!$B$36,N15+M16-V15)))</f>
        <v>17.118180812297407</v>
      </c>
      <c r="O16" s="14">
        <f>N16*VLOOKUP('Données projet'!$B$9,Paramètres!$A$1:$I$89,3,0)*VLOOKUP('Données projet'!$B$9,Paramètres!$A$1:$I$89,5,0)</f>
        <v>14.954442757623017</v>
      </c>
      <c r="P16" s="14">
        <f t="shared" si="33"/>
        <v>5.0301280892498079</v>
      </c>
      <c r="Q16" s="22">
        <f t="shared" si="2"/>
        <v>34.806460891636839</v>
      </c>
      <c r="R16" s="62">
        <f t="shared" si="0"/>
        <v>328.13979422497016</v>
      </c>
      <c r="S16" s="62">
        <f ca="1">AVERAGE(OFFSET($R$3,0,0,'Données projet'!$E$9+1,1))-AVERAGE(OFFSET($H$3,0,0,'Données projet'!$E$9+1,1))</f>
        <v>188.31046827337082</v>
      </c>
      <c r="T16" s="62">
        <f t="shared" si="34"/>
        <v>207.32535726327728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310.95287409903602</v>
      </c>
      <c r="AO16" s="62">
        <f t="shared" si="36"/>
        <v>224.10083380795163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8.526315789473685</v>
      </c>
      <c r="BD16" s="13">
        <f>IF('Données projet'!$A$88&gt;35,BD15+BC16-BL15,IF(A16&lt;'Données projet'!$A$88,$BA$205^A16,IF(A16='Données projet'!$A$88,'Données projet'!$B$88,BD15+BC16-BL15)))</f>
        <v>32.491774539539094</v>
      </c>
      <c r="BE16" s="14">
        <f>BD16*VLOOKUP('Données projet'!$B$11,Paramètres!$A$1:$I$89,3,0)*VLOOKUP('Données projet'!$B$11,Paramètres!$A$1:$I$89,5,0)</f>
        <v>18.162901967602355</v>
      </c>
      <c r="BF16" s="14">
        <f t="shared" si="37"/>
        <v>5.9726648020514927</v>
      </c>
      <c r="BG16" s="22">
        <f t="shared" si="7"/>
        <v>42.036112123813787</v>
      </c>
      <c r="BH16" s="62">
        <f t="shared" si="8"/>
        <v>335.36944545714709</v>
      </c>
      <c r="BI16" s="62">
        <f ca="1">AVERAGE(OFFSET($BH$3,0,0,'Données projet'!$E$11+1,1))-AVERAGE(OFFSET($H$3,0,0,'Données projet'!$E$11+1,1))</f>
        <v>382.55387448074327</v>
      </c>
      <c r="BJ16" s="62">
        <f t="shared" si="38"/>
        <v>476.29465646955543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5.5909090909090908</v>
      </c>
      <c r="BY16" s="13">
        <f>IF('Données projet'!$A$114&gt;35,BY15+BX16-CG15,IF(A16&lt;'Données projet'!$A$114,$BV$205^A16,IF(A16='Données projet'!$A$114,'Données projet'!$B$114,BY15+BX16-CG15)))</f>
        <v>17.17686607257264</v>
      </c>
      <c r="BZ16" s="14">
        <f>BY16*VLOOKUP('Données projet'!$B$12,Paramètres!$A$1:$I$89,3,0)*VLOOKUP('Données projet'!$B$12,Paramètres!$A$1:$I$89,5,0)</f>
        <v>10.27176591139844</v>
      </c>
      <c r="CA16" s="14">
        <f t="shared" si="39"/>
        <v>3.609455460548272</v>
      </c>
      <c r="CB16" s="22">
        <f t="shared" si="10"/>
        <v>24.176460556140523</v>
      </c>
      <c r="CC16" s="62">
        <f t="shared" si="11"/>
        <v>317.50979388947383</v>
      </c>
      <c r="CD16" s="62">
        <f ca="1">AVERAGE(OFFSET($CC$3,0,0,'Données projet'!$E$12+1,1))-AVERAGE(OFFSET($H$3,0,0,'Données projet'!$E$12+1,1))</f>
        <v>287.69656598881124</v>
      </c>
      <c r="CE16" s="62">
        <f t="shared" si="40"/>
        <v>221.9773436301067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>
        <f>VLOOKUP(A16,'Données projet'!$A$139:$I$159,2,0)</f>
        <v>75</v>
      </c>
      <c r="CR16" s="13">
        <f>VLOOKUP(A16,'Données projet'!$A$139:$I$159,9,0)</f>
        <v>5.7692307692307692</v>
      </c>
      <c r="CS16" s="13">
        <f t="array" ref="CS16">INDEX(CR:CR,MIN(IF(ISNUMBER(CR16:CR212),ROW(CR16:CR212),"")))</f>
        <v>5.7692307692307692</v>
      </c>
      <c r="CT16" s="13">
        <f>IF('Données projet'!$A$140&gt;35,CT15+CS16-DB15,IF(A16&lt;'Données projet'!$A$140,$CQ$205^A16,IF(A16='Données projet'!$A$140,'Données projet'!$B$140,CT15+CS16-DB15)))</f>
        <v>75</v>
      </c>
      <c r="CU16" s="18">
        <f>CT16*VLOOKUP('Données projet'!$B$13,Paramètres!$A$1:$I$89,3,0)*VLOOKUP('Données projet'!$B$13,Paramètres!$A$1:$I$89,5,0)</f>
        <v>44.85</v>
      </c>
      <c r="CV16" s="14">
        <f t="shared" si="41"/>
        <v>13.275453424327006</v>
      </c>
      <c r="CW16" s="22">
        <f t="shared" si="13"/>
        <v>101.2351647140362</v>
      </c>
      <c r="CX16" s="62">
        <f t="shared" si="14"/>
        <v>394.56849804736953</v>
      </c>
      <c r="CY16" s="62">
        <f ca="1">AVERAGE(OFFSET($CX$3,0,0,'Données projet'!$E$13+1,1))-AVERAGE(OFFSET($H$3,0,0,'Données projet'!$E$13+1,1))</f>
        <v>163.03280205647224</v>
      </c>
      <c r="CZ16" s="62">
        <f t="shared" si="42"/>
        <v>277.12388047243826</v>
      </c>
      <c r="DA16" s="16">
        <f>IF(ISNA(VLOOKUP(A16,'Données projet'!$A$139:$I$159,3,0)),0,VLOOKUP(A16,'Données projet'!$A$139:$I$159,3,0))</f>
        <v>1</v>
      </c>
      <c r="DB16" s="16">
        <f>IF(ISNA(VLOOKUP(A16,'Données projet'!$A$139:$I$159,4,0)),0,VLOOKUP(A16,'Données projet'!$A$139:$I$159,4,0))</f>
        <v>15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1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10.1561237088124</v>
      </c>
      <c r="DI16" s="24">
        <f t="shared" si="15"/>
        <v>10.1561237088124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3.95</v>
      </c>
      <c r="N17" s="14">
        <f>IF('Données projet'!$A$36&gt;35,N16+M17-V16,IF(A17&lt;'Données projet'!$A$36,$K$205^A17,IF(A17='Données projet'!$A$36,'Données projet'!$B$36,N16+M17-V16)))</f>
        <v>21.298006924699145</v>
      </c>
      <c r="O17" s="14">
        <f>N17*VLOOKUP('Données projet'!$B$9,Paramètres!$A$1:$I$89,3,0)*VLOOKUP('Données projet'!$B$9,Paramètres!$A$1:$I$89,5,0)</f>
        <v>18.605938849417175</v>
      </c>
      <c r="P17" s="14">
        <f t="shared" si="33"/>
        <v>6.1012133117674976</v>
      </c>
      <c r="Q17" s="22">
        <f t="shared" si="2"/>
        <v>43.031623347396639</v>
      </c>
      <c r="R17" s="62">
        <f t="shared" si="0"/>
        <v>336.36495668072996</v>
      </c>
      <c r="S17" s="62">
        <f ca="1">AVERAGE(OFFSET($R$3,0,0,'Données projet'!$E$9+1,1))-AVERAGE(OFFSET($H$3,0,0,'Données projet'!$E$9+1,1))</f>
        <v>188.31046827337082</v>
      </c>
      <c r="T17" s="62">
        <f t="shared" si="34"/>
        <v>207.32535726327728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310.95287409903602</v>
      </c>
      <c r="AO17" s="62">
        <f t="shared" si="36"/>
        <v>224.10083380795163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8.526315789473685</v>
      </c>
      <c r="BD17" s="13">
        <f>IF('Données projet'!$A$88&gt;35,BD16+BC17-BL16,IF(A17&lt;'Données projet'!$A$88,$BA$205^A17,IF(A17='Données projet'!$A$88,'Données projet'!$B$88,BD16+BC17-BL16)))</f>
        <v>42.468184448710481</v>
      </c>
      <c r="BE17" s="14">
        <f>BD17*VLOOKUP('Données projet'!$B$11,Paramètres!$A$1:$I$89,3,0)*VLOOKUP('Données projet'!$B$11,Paramètres!$A$1:$I$89,5,0)</f>
        <v>23.739715106829159</v>
      </c>
      <c r="BF17" s="14">
        <f t="shared" si="37"/>
        <v>7.5669736064602473</v>
      </c>
      <c r="BG17" s="22">
        <f t="shared" si="7"/>
        <v>54.525816175645708</v>
      </c>
      <c r="BH17" s="62">
        <f t="shared" si="8"/>
        <v>347.85914950897904</v>
      </c>
      <c r="BI17" s="62">
        <f ca="1">AVERAGE(OFFSET($BH$3,0,0,'Données projet'!$E$11+1,1))-AVERAGE(OFFSET($H$3,0,0,'Données projet'!$E$11+1,1))</f>
        <v>382.55387448074327</v>
      </c>
      <c r="BJ17" s="62">
        <f t="shared" si="38"/>
        <v>476.29465646955543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5.5909090909090908</v>
      </c>
      <c r="BY17" s="13">
        <f>IF('Données projet'!$A$114&gt;35,BY16+BX17-CG16,IF(A17&lt;'Données projet'!$A$114,$BV$205^A17,IF(A17='Données projet'!$A$114,'Données projet'!$B$114,BY16+BX17-CG16)))</f>
        <v>21.376648512419013</v>
      </c>
      <c r="BZ17" s="14">
        <f>BY17*VLOOKUP('Données projet'!$B$12,Paramètres!$A$1:$I$89,3,0)*VLOOKUP('Données projet'!$B$12,Paramètres!$A$1:$I$89,5,0)</f>
        <v>12.783235810426572</v>
      </c>
      <c r="CA17" s="14">
        <f t="shared" si="39"/>
        <v>4.3790497183898731</v>
      </c>
      <c r="CB17" s="22">
        <f t="shared" si="10"/>
        <v>29.890980629355308</v>
      </c>
      <c r="CC17" s="62">
        <f t="shared" si="11"/>
        <v>323.2243139626886</v>
      </c>
      <c r="CD17" s="62">
        <f ca="1">AVERAGE(OFFSET($CC$3,0,0,'Données projet'!$E$12+1,1))-AVERAGE(OFFSET($H$3,0,0,'Données projet'!$E$12+1,1))</f>
        <v>287.69656598881124</v>
      </c>
      <c r="CE17" s="62">
        <f t="shared" si="40"/>
        <v>221.9773436301067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17.166666666666668</v>
      </c>
      <c r="CT17" s="13">
        <f>IF('Données projet'!$A$140&gt;35,CT16+CS17-DB16,IF(A17&lt;'Données projet'!$A$140,$CQ$205^A17,IF(A17='Données projet'!$A$140,'Données projet'!$B$140,CT16+CS17-DB16)))</f>
        <v>77.166666666666671</v>
      </c>
      <c r="CU17" s="18">
        <f>CT17*VLOOKUP('Données projet'!$B$13,Paramètres!$A$1:$I$89,3,0)*VLOOKUP('Données projet'!$B$13,Paramètres!$A$1:$I$89,5,0)</f>
        <v>46.145666666666671</v>
      </c>
      <c r="CV17" s="14">
        <f t="shared" si="41"/>
        <v>13.613761874667908</v>
      </c>
      <c r="CW17" s="22">
        <f t="shared" si="13"/>
        <v>104.08100470949104</v>
      </c>
      <c r="CX17" s="62">
        <f t="shared" si="14"/>
        <v>397.41433804282434</v>
      </c>
      <c r="CY17" s="62">
        <f ca="1">AVERAGE(OFFSET($CX$3,0,0,'Données projet'!$E$13+1,1))-AVERAGE(OFFSET($H$3,0,0,'Données projet'!$E$13+1,1))</f>
        <v>163.03280205647224</v>
      </c>
      <c r="CZ17" s="62">
        <f t="shared" si="42"/>
        <v>277.12388047243826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7.1814639450707176</v>
      </c>
      <c r="DI17" s="24">
        <f t="shared" si="15"/>
        <v>7.1814639450707176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3.95</v>
      </c>
      <c r="N18" s="14">
        <f>IF('Données projet'!$A$36&gt;35,N17+M18-V17,IF(A18&lt;'Données projet'!$A$36,$K$205^A18,IF(A18='Données projet'!$A$36,'Données projet'!$B$36,N17+M18-V17)))</f>
        <v>26.498440689367563</v>
      </c>
      <c r="O18" s="14">
        <f>N18*VLOOKUP('Données projet'!$B$9,Paramètres!$A$1:$I$89,3,0)*VLOOKUP('Données projet'!$B$9,Paramètres!$A$1:$I$89,5,0)</f>
        <v>23.149037786231506</v>
      </c>
      <c r="P18" s="14">
        <f t="shared" si="33"/>
        <v>7.4003689797172942</v>
      </c>
      <c r="Q18" s="22">
        <f t="shared" si="2"/>
        <v>53.206883450694164</v>
      </c>
      <c r="R18" s="62">
        <f t="shared" si="0"/>
        <v>346.54021678402751</v>
      </c>
      <c r="S18" s="62">
        <f ca="1">AVERAGE(OFFSET($R$3,0,0,'Données projet'!$E$9+1,1))-AVERAGE(OFFSET($H$3,0,0,'Données projet'!$E$9+1,1))</f>
        <v>188.31046827337082</v>
      </c>
      <c r="T18" s="62">
        <f t="shared" si="34"/>
        <v>207.32535726327728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310.95287409903602</v>
      </c>
      <c r="AO18" s="62">
        <f t="shared" si="36"/>
        <v>224.10083380795163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8.526315789473685</v>
      </c>
      <c r="BD18" s="13">
        <f>IF('Données projet'!$A$88&gt;35,BD17+BC18-BL17,IF(A18&lt;'Données projet'!$A$88,$BA$205^A18,IF(A18='Données projet'!$A$88,'Données projet'!$B$88,BD17+BC18-BL17)))</f>
        <v>55.507792846923991</v>
      </c>
      <c r="BE18" s="14">
        <f>BD18*VLOOKUP('Données projet'!$B$11,Paramètres!$A$1:$I$89,3,0)*VLOOKUP('Données projet'!$B$11,Paramètres!$A$1:$I$89,5,0)</f>
        <v>31.028856201430514</v>
      </c>
      <c r="BF18" s="14">
        <f t="shared" si="37"/>
        <v>9.5868580371693835</v>
      </c>
      <c r="BG18" s="22">
        <f t="shared" si="7"/>
        <v>70.739035632228152</v>
      </c>
      <c r="BH18" s="62">
        <f t="shared" si="8"/>
        <v>364.07236896556145</v>
      </c>
      <c r="BI18" s="62">
        <f ca="1">AVERAGE(OFFSET($BH$3,0,0,'Données projet'!$E$11+1,1))-AVERAGE(OFFSET($H$3,0,0,'Données projet'!$E$11+1,1))</f>
        <v>382.55387448074327</v>
      </c>
      <c r="BJ18" s="62">
        <f t="shared" si="38"/>
        <v>476.29465646955543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5.5909090909090908</v>
      </c>
      <c r="BY18" s="13">
        <f>IF('Données projet'!$A$114&gt;35,BY17+BX18-CG17,IF(A18&lt;'Données projet'!$A$114,$BV$205^A18,IF(A18='Données projet'!$A$114,'Données projet'!$B$114,BY17+BX18-CG17)))</f>
        <v>26.603287217402478</v>
      </c>
      <c r="BZ18" s="14">
        <f>BY18*VLOOKUP('Données projet'!$B$12,Paramètres!$A$1:$I$89,3,0)*VLOOKUP('Données projet'!$B$12,Paramètres!$A$1:$I$89,5,0)</f>
        <v>15.908765756006684</v>
      </c>
      <c r="CA18" s="14">
        <f t="shared" si="39"/>
        <v>5.312733913945455</v>
      </c>
      <c r="CB18" s="22">
        <f t="shared" si="10"/>
        <v>36.960778591833304</v>
      </c>
      <c r="CC18" s="62">
        <f t="shared" si="11"/>
        <v>330.29411192516659</v>
      </c>
      <c r="CD18" s="62">
        <f ca="1">AVERAGE(OFFSET($CC$3,0,0,'Données projet'!$E$12+1,1))-AVERAGE(OFFSET($H$3,0,0,'Données projet'!$E$12+1,1))</f>
        <v>287.69656598881124</v>
      </c>
      <c r="CE18" s="62">
        <f t="shared" si="40"/>
        <v>221.9773436301067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17.166666666666668</v>
      </c>
      <c r="CT18" s="13">
        <f>IF('Données projet'!$A$140&gt;35,CT17+CS18-DB17,IF(A18&lt;'Données projet'!$A$140,$CQ$205^A18,IF(A18='Données projet'!$A$140,'Données projet'!$B$140,CT17+CS18-DB17)))</f>
        <v>94.333333333333343</v>
      </c>
      <c r="CU18" s="18">
        <f>CT18*VLOOKUP('Données projet'!$B$13,Paramètres!$A$1:$I$89,3,0)*VLOOKUP('Données projet'!$B$13,Paramètres!$A$1:$I$89,5,0)</f>
        <v>56.411333333333339</v>
      </c>
      <c r="CV18" s="14">
        <f t="shared" si="41"/>
        <v>16.257710461388346</v>
      </c>
      <c r="CW18" s="22">
        <f t="shared" si="13"/>
        <v>126.56525127580693</v>
      </c>
      <c r="CX18" s="62">
        <f t="shared" si="14"/>
        <v>419.89858460914024</v>
      </c>
      <c r="CY18" s="62">
        <f ca="1">AVERAGE(OFFSET($CX$3,0,0,'Données projet'!$E$13+1,1))-AVERAGE(OFFSET($H$3,0,0,'Données projet'!$E$13+1,1))</f>
        <v>163.03280205647224</v>
      </c>
      <c r="CZ18" s="62">
        <f t="shared" si="42"/>
        <v>277.12388047243826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5.0780618544062008</v>
      </c>
      <c r="DI18" s="24">
        <f t="shared" si="15"/>
        <v>5.0780618544062008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3.95</v>
      </c>
      <c r="N19" s="14">
        <f>IF('Données projet'!$A$36&gt;35,N18+M19-V18,IF(A19&lt;'Données projet'!$A$36,$K$205^A19,IF(A19='Données projet'!$A$36,'Données projet'!$B$36,N18+M19-V18)))</f>
        <v>32.968688640702432</v>
      </c>
      <c r="O19" s="14">
        <f>N19*VLOOKUP('Données projet'!$B$9,Paramètres!$A$1:$I$89,3,0)*VLOOKUP('Données projet'!$B$9,Paramètres!$A$1:$I$89,5,0)</f>
        <v>28.801446396517651</v>
      </c>
      <c r="P19" s="14">
        <f t="shared" si="33"/>
        <v>8.9761590420605479</v>
      </c>
      <c r="Q19" s="22">
        <f t="shared" si="2"/>
        <v>65.795996138857035</v>
      </c>
      <c r="R19" s="62">
        <f t="shared" si="0"/>
        <v>359.12932947219036</v>
      </c>
      <c r="S19" s="62">
        <f ca="1">AVERAGE(OFFSET($R$3,0,0,'Données projet'!$E$9+1,1))-AVERAGE(OFFSET($H$3,0,0,'Données projet'!$E$9+1,1))</f>
        <v>188.31046827337082</v>
      </c>
      <c r="T19" s="62">
        <f t="shared" si="34"/>
        <v>207.32535726327728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310.95287409903602</v>
      </c>
      <c r="AO19" s="62">
        <f t="shared" si="36"/>
        <v>224.10083380795163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8.526315789473685</v>
      </c>
      <c r="BD19" s="13">
        <f>IF('Données projet'!$A$88&gt;35,BD18+BC19-BL18,IF(A19&lt;'Données projet'!$A$88,$BA$205^A19,IF(A19='Données projet'!$A$88,'Données projet'!$B$88,BD18+BC19-BL18)))</f>
        <v>72.551136968384853</v>
      </c>
      <c r="BE19" s="14">
        <f>BD19*VLOOKUP('Données projet'!$B$11,Paramètres!$A$1:$I$89,3,0)*VLOOKUP('Données projet'!$B$11,Paramètres!$A$1:$I$89,5,0)</f>
        <v>40.55608556532713</v>
      </c>
      <c r="BF19" s="14">
        <f t="shared" si="37"/>
        <v>12.145918805157919</v>
      </c>
      <c r="BG19" s="22">
        <f t="shared" si="7"/>
        <v>91.78932427859479</v>
      </c>
      <c r="BH19" s="62">
        <f t="shared" si="8"/>
        <v>385.1226576119281</v>
      </c>
      <c r="BI19" s="62">
        <f ca="1">AVERAGE(OFFSET($BH$3,0,0,'Données projet'!$E$11+1,1))-AVERAGE(OFFSET($H$3,0,0,'Données projet'!$E$11+1,1))</f>
        <v>382.55387448074327</v>
      </c>
      <c r="BJ19" s="62">
        <f t="shared" si="38"/>
        <v>476.29465646955543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5.5909090909090908</v>
      </c>
      <c r="BY19" s="13">
        <f>IF('Données projet'!$A$114&gt;35,BY18+BX19-CG18,IF(A19&lt;'Données projet'!$A$114,$BV$205^A19,IF(A19='Données projet'!$A$114,'Données projet'!$B$114,BY18+BX19-CG18)))</f>
        <v>33.107850856996748</v>
      </c>
      <c r="BZ19" s="14">
        <f>BY19*VLOOKUP('Données projet'!$B$12,Paramètres!$A$1:$I$89,3,0)*VLOOKUP('Données projet'!$B$12,Paramètres!$A$1:$I$89,5,0)</f>
        <v>19.798494812484059</v>
      </c>
      <c r="CA19" s="14">
        <f t="shared" si="39"/>
        <v>6.4454946747588586</v>
      </c>
      <c r="CB19" s="22">
        <f t="shared" si="10"/>
        <v>45.70828169028141</v>
      </c>
      <c r="CC19" s="62">
        <f t="shared" si="11"/>
        <v>339.04161502361472</v>
      </c>
      <c r="CD19" s="62">
        <f ca="1">AVERAGE(OFFSET($CC$3,0,0,'Données projet'!$E$12+1,1))-AVERAGE(OFFSET($H$3,0,0,'Données projet'!$E$12+1,1))</f>
        <v>287.69656598881124</v>
      </c>
      <c r="CE19" s="62">
        <f t="shared" si="40"/>
        <v>221.9773436301067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17.166666666666668</v>
      </c>
      <c r="CT19" s="13">
        <f>IF('Données projet'!$A$140&gt;35,CT18+CS19-DB18,IF(A19&lt;'Données projet'!$A$140,$CQ$205^A19,IF(A19='Données projet'!$A$140,'Données projet'!$B$140,CT18+CS19-DB18)))</f>
        <v>111.50000000000001</v>
      </c>
      <c r="CU19" s="18">
        <f>CT19*VLOOKUP('Données projet'!$B$13,Paramètres!$A$1:$I$89,3,0)*VLOOKUP('Données projet'!$B$13,Paramètres!$A$1:$I$89,5,0)</f>
        <v>66.677000000000007</v>
      </c>
      <c r="CV19" s="14">
        <f t="shared" si="41"/>
        <v>18.845918291779732</v>
      </c>
      <c r="CW19" s="22">
        <f t="shared" si="13"/>
        <v>148.95241602484973</v>
      </c>
      <c r="CX19" s="62">
        <f t="shared" si="14"/>
        <v>442.28574935818301</v>
      </c>
      <c r="CY19" s="62">
        <f ca="1">AVERAGE(OFFSET($CX$3,0,0,'Données projet'!$E$13+1,1))-AVERAGE(OFFSET($H$3,0,0,'Données projet'!$E$13+1,1))</f>
        <v>163.03280205647224</v>
      </c>
      <c r="CZ19" s="62">
        <f t="shared" si="42"/>
        <v>277.12388047243826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3.5907319725353593</v>
      </c>
      <c r="DI19" s="24">
        <f t="shared" si="15"/>
        <v>3.5907319725353593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3.95</v>
      </c>
      <c r="N20" s="14">
        <f>IF('Données projet'!$A$36&gt;35,N19+M20-V19,IF(A20&lt;'Données projet'!$A$36,$K$205^A20,IF(A20='Données projet'!$A$36,'Données projet'!$B$36,N19+M20-V19)))</f>
        <v>41.018807235842807</v>
      </c>
      <c r="O20" s="14">
        <f>N20*VLOOKUP('Données projet'!$B$9,Paramètres!$A$1:$I$89,3,0)*VLOOKUP('Données projet'!$B$9,Paramètres!$A$1:$I$89,5,0)</f>
        <v>35.834030001232279</v>
      </c>
      <c r="P20" s="14">
        <f t="shared" si="33"/>
        <v>10.887488362971231</v>
      </c>
      <c r="Q20" s="22">
        <f t="shared" si="2"/>
        <v>81.373311150987774</v>
      </c>
      <c r="R20" s="62">
        <f t="shared" si="0"/>
        <v>374.70664448432109</v>
      </c>
      <c r="S20" s="62">
        <f ca="1">AVERAGE(OFFSET($R$3,0,0,'Données projet'!$E$9+1,1))-AVERAGE(OFFSET($H$3,0,0,'Données projet'!$E$9+1,1))</f>
        <v>188.31046827337082</v>
      </c>
      <c r="T20" s="62">
        <f t="shared" si="34"/>
        <v>207.32535726327728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310.95287409903602</v>
      </c>
      <c r="AO20" s="62">
        <f t="shared" si="36"/>
        <v>224.10083380795163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8.526315789473685</v>
      </c>
      <c r="BD20" s="13">
        <f>IF('Données projet'!$A$88&gt;35,BD19+BC20-BL19,IF(A20&lt;'Données projet'!$A$88,$BA$205^A20,IF(A20='Données projet'!$A$88,'Données projet'!$B$88,BD19+BC20-BL19)))</f>
        <v>94.827540520682575</v>
      </c>
      <c r="BE20" s="14">
        <f>BD20*VLOOKUP('Données projet'!$B$11,Paramètres!$A$1:$I$89,3,0)*VLOOKUP('Données projet'!$B$11,Paramètres!$A$1:$I$89,5,0)</f>
        <v>53.008595151061563</v>
      </c>
      <c r="BF20" s="14">
        <f t="shared" si="37"/>
        <v>15.388080542084102</v>
      </c>
      <c r="BG20" s="22">
        <f t="shared" si="7"/>
        <v>119.12421016556203</v>
      </c>
      <c r="BH20" s="62">
        <f t="shared" si="8"/>
        <v>412.45754349889535</v>
      </c>
      <c r="BI20" s="62">
        <f ca="1">AVERAGE(OFFSET($BH$3,0,0,'Données projet'!$E$11+1,1))-AVERAGE(OFFSET($H$3,0,0,'Données projet'!$E$11+1,1))</f>
        <v>382.55387448074327</v>
      </c>
      <c r="BJ20" s="62">
        <f t="shared" si="38"/>
        <v>476.29465646955543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5.5909090909090908</v>
      </c>
      <c r="BY20" s="13">
        <f>IF('Données projet'!$A$114&gt;35,BY19+BX20-CG19,IF(A20&lt;'Données projet'!$A$114,$BV$205^A20,IF(A20='Données projet'!$A$114,'Données projet'!$B$114,BY19+BX20-CG19)))</f>
        <v>41.202794955809431</v>
      </c>
      <c r="BZ20" s="14">
        <f>BY20*VLOOKUP('Données projet'!$B$12,Paramètres!$A$1:$I$89,3,0)*VLOOKUP('Données projet'!$B$12,Paramètres!$A$1:$I$89,5,0)</f>
        <v>24.639271383574041</v>
      </c>
      <c r="CA20" s="14">
        <f t="shared" si="39"/>
        <v>7.8197783429910519</v>
      </c>
      <c r="CB20" s="22">
        <f t="shared" si="10"/>
        <v>56.532844940434195</v>
      </c>
      <c r="CC20" s="62">
        <f t="shared" si="11"/>
        <v>349.8661782737675</v>
      </c>
      <c r="CD20" s="62">
        <f ca="1">AVERAGE(OFFSET($CC$3,0,0,'Données projet'!$E$12+1,1))-AVERAGE(OFFSET($H$3,0,0,'Données projet'!$E$12+1,1))</f>
        <v>287.69656598881124</v>
      </c>
      <c r="CE20" s="62">
        <f t="shared" si="40"/>
        <v>221.9773436301067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17.166666666666668</v>
      </c>
      <c r="CT20" s="13">
        <f>IF('Données projet'!$A$140&gt;35,CT19+CS20-DB19,IF(A20&lt;'Données projet'!$A$140,$CQ$205^A20,IF(A20='Données projet'!$A$140,'Données projet'!$B$140,CT19+CS20-DB19)))</f>
        <v>128.66666666666669</v>
      </c>
      <c r="CU20" s="18">
        <f>CT20*VLOOKUP('Données projet'!$B$13,Paramètres!$A$1:$I$89,3,0)*VLOOKUP('Données projet'!$B$13,Paramètres!$A$1:$I$89,5,0)</f>
        <v>76.942666666666682</v>
      </c>
      <c r="CV20" s="14">
        <f t="shared" si="41"/>
        <v>21.387963426287346</v>
      </c>
      <c r="CW20" s="22">
        <f t="shared" si="13"/>
        <v>171.25918074522826</v>
      </c>
      <c r="CX20" s="62">
        <f t="shared" si="14"/>
        <v>464.59251407856158</v>
      </c>
      <c r="CY20" s="62">
        <f ca="1">AVERAGE(OFFSET($CX$3,0,0,'Données projet'!$E$13+1,1))-AVERAGE(OFFSET($H$3,0,0,'Données projet'!$E$13+1,1))</f>
        <v>163.03280205647224</v>
      </c>
      <c r="CZ20" s="62">
        <f t="shared" si="42"/>
        <v>277.12388047243826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2.5390309272031004</v>
      </c>
      <c r="DI20" s="24">
        <f t="shared" si="15"/>
        <v>2.5390309272031004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3.95</v>
      </c>
      <c r="N21" s="14">
        <f>IF('Données projet'!$A$36&gt;35,N20+M21-V20,IF(A21&lt;'Données projet'!$A$36,$K$205^A21,IF(A21='Données projet'!$A$36,'Données projet'!$B$36,N20+M21-V20)))</f>
        <v>51.034560864334757</v>
      </c>
      <c r="O21" s="14">
        <f>N21*VLOOKUP('Données projet'!$B$9,Paramètres!$A$1:$I$89,3,0)*VLOOKUP('Données projet'!$B$9,Paramètres!$A$1:$I$89,5,0)</f>
        <v>44.583792371082851</v>
      </c>
      <c r="P21" s="14">
        <f t="shared" si="33"/>
        <v>13.205804654127736</v>
      </c>
      <c r="Q21" s="22">
        <f t="shared" si="2"/>
        <v>100.65021481890842</v>
      </c>
      <c r="R21" s="62">
        <f t="shared" si="0"/>
        <v>393.98354815224172</v>
      </c>
      <c r="S21" s="62">
        <f ca="1">AVERAGE(OFFSET($R$3,0,0,'Données projet'!$E$9+1,1))-AVERAGE(OFFSET($H$3,0,0,'Données projet'!$E$9+1,1))</f>
        <v>188.31046827337082</v>
      </c>
      <c r="T21" s="62">
        <f t="shared" si="34"/>
        <v>207.32535726327728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310.95287409903602</v>
      </c>
      <c r="AO21" s="62">
        <f t="shared" si="36"/>
        <v>224.10083380795163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8.526315789473685</v>
      </c>
      <c r="BD21" s="13">
        <f>IF('Données projet'!$A$88&gt;35,BD20+BC21-BL20,IF(A21&lt;'Données projet'!$A$88,$BA$205^A21,IF(A21='Données projet'!$A$88,'Données projet'!$B$88,BD20+BC21-BL20)))</f>
        <v>123.94378388749713</v>
      </c>
      <c r="BE21" s="14">
        <f>BD21*VLOOKUP('Données projet'!$B$11,Paramètres!$A$1:$I$89,3,0)*VLOOKUP('Données projet'!$B$11,Paramètres!$A$1:$I$89,5,0)</f>
        <v>69.284575193110896</v>
      </c>
      <c r="BF21" s="14">
        <f t="shared" si="37"/>
        <v>19.495686293334202</v>
      </c>
      <c r="BG21" s="22">
        <f t="shared" si="7"/>
        <v>154.62562208889187</v>
      </c>
      <c r="BH21" s="62">
        <f t="shared" si="8"/>
        <v>447.95895542222519</v>
      </c>
      <c r="BI21" s="62">
        <f ca="1">AVERAGE(OFFSET($BH$3,0,0,'Données projet'!$E$11+1,1))-AVERAGE(OFFSET($H$3,0,0,'Données projet'!$E$11+1,1))</f>
        <v>382.55387448074327</v>
      </c>
      <c r="BJ21" s="62">
        <f t="shared" si="38"/>
        <v>476.29465646955543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5.5909090909090908</v>
      </c>
      <c r="BY21" s="13">
        <f>IF('Données projet'!$A$114&gt;35,BY20+BX21-CG20,IF(A21&lt;'Données projet'!$A$114,$BV$205^A21,IF(A21='Données projet'!$A$114,'Données projet'!$B$114,BY20+BX21-CG20)))</f>
        <v>51.276971117915458</v>
      </c>
      <c r="BZ21" s="14">
        <f>BY21*VLOOKUP('Données projet'!$B$12,Paramètres!$A$1:$I$89,3,0)*VLOOKUP('Données projet'!$B$12,Paramètres!$A$1:$I$89,5,0)</f>
        <v>30.663628728513448</v>
      </c>
      <c r="CA21" s="14">
        <f t="shared" si="39"/>
        <v>9.4870815071768995</v>
      </c>
      <c r="CB21" s="22">
        <f t="shared" si="10"/>
        <v>69.929153660494023</v>
      </c>
      <c r="CC21" s="62">
        <f t="shared" si="11"/>
        <v>363.26248699382734</v>
      </c>
      <c r="CD21" s="62">
        <f ca="1">AVERAGE(OFFSET($CC$3,0,0,'Données projet'!$E$12+1,1))-AVERAGE(OFFSET($H$3,0,0,'Données projet'!$E$12+1,1))</f>
        <v>287.69656598881124</v>
      </c>
      <c r="CE21" s="62">
        <f t="shared" si="40"/>
        <v>221.9773436301067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17.166666666666668</v>
      </c>
      <c r="CT21" s="13">
        <f>IF('Données projet'!$A$140&gt;35,CT20+CS21-DB20,IF(A21&lt;'Données projet'!$A$140,$CQ$205^A21,IF(A21='Données projet'!$A$140,'Données projet'!$B$140,CT20+CS21-DB20)))</f>
        <v>145.83333333333334</v>
      </c>
      <c r="CU21" s="18">
        <f>CT21*VLOOKUP('Données projet'!$B$13,Paramètres!$A$1:$I$89,3,0)*VLOOKUP('Données projet'!$B$13,Paramètres!$A$1:$I$89,5,0)</f>
        <v>87.208333333333343</v>
      </c>
      <c r="CV21" s="14">
        <f t="shared" si="41"/>
        <v>23.890712489742075</v>
      </c>
      <c r="CW21" s="22">
        <f t="shared" si="13"/>
        <v>193.49750480852299</v>
      </c>
      <c r="CX21" s="62">
        <f t="shared" si="14"/>
        <v>486.8308381418563</v>
      </c>
      <c r="CY21" s="62">
        <f ca="1">AVERAGE(OFFSET($CX$3,0,0,'Données projet'!$E$13+1,1))-AVERAGE(OFFSET($H$3,0,0,'Données projet'!$E$13+1,1))</f>
        <v>163.03280205647224</v>
      </c>
      <c r="CZ21" s="62">
        <f t="shared" si="42"/>
        <v>277.12388047243826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1.7953659862676796</v>
      </c>
      <c r="DI21" s="24">
        <f t="shared" si="15"/>
        <v>1.7953659862676796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3.95</v>
      </c>
      <c r="N22" s="14">
        <f>IF('Données projet'!$A$36&gt;35,N21+M22-V21,IF(A22&lt;'Données projet'!$A$36,$K$205^A22,IF(A22='Données projet'!$A$36,'Données projet'!$B$36,N21+M22-V21)))</f>
        <v>63.495907807373236</v>
      </c>
      <c r="O22" s="14">
        <f>N22*VLOOKUP('Données projet'!$B$9,Paramètres!$A$1:$I$89,3,0)*VLOOKUP('Données projet'!$B$9,Paramètres!$A$1:$I$89,5,0)</f>
        <v>55.470025060521266</v>
      </c>
      <c r="P22" s="14">
        <f t="shared" si="33"/>
        <v>16.01776927322376</v>
      </c>
      <c r="Q22" s="22">
        <f t="shared" si="2"/>
        <v>124.50790846460593</v>
      </c>
      <c r="R22" s="62">
        <f t="shared" si="0"/>
        <v>417.84124179793923</v>
      </c>
      <c r="S22" s="62">
        <f ca="1">AVERAGE(OFFSET($R$3,0,0,'Données projet'!$E$9+1,1))-AVERAGE(OFFSET($H$3,0,0,'Données projet'!$E$9+1,1))</f>
        <v>188.31046827337082</v>
      </c>
      <c r="T22" s="62">
        <f t="shared" si="34"/>
        <v>207.32535726327728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310.95287409903602</v>
      </c>
      <c r="AO22" s="62">
        <f t="shared" si="36"/>
        <v>224.10083380795163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162</v>
      </c>
      <c r="BB22" s="13">
        <f>VLOOKUP(A22,'Données projet'!$A$87:$I$107,9,0)</f>
        <v>8.526315789473685</v>
      </c>
      <c r="BC22" s="13">
        <f t="array" ref="BC22">INDEX(BB:BB,MIN(IF(ISNUMBER(BB22:BB218),ROW(BB22:BB218),"")))</f>
        <v>8.526315789473685</v>
      </c>
      <c r="BD22" s="13">
        <f>IF('Données projet'!$A$88&gt;35,BD21+BC22-BL21,IF(A22&lt;'Données projet'!$A$88,$BA$205^A22,IF(A22='Données projet'!$A$88,'Données projet'!$B$88,BD21+BC22-BL21)))</f>
        <v>162</v>
      </c>
      <c r="BE22" s="14">
        <f>BD22*VLOOKUP('Données projet'!$B$11,Paramètres!$A$1:$I$89,3,0)*VLOOKUP('Données projet'!$B$11,Paramètres!$A$1:$I$89,5,0)</f>
        <v>90.557999999999993</v>
      </c>
      <c r="BF22" s="14">
        <f t="shared" si="37"/>
        <v>24.699752708509138</v>
      </c>
      <c r="BG22" s="22">
        <f t="shared" si="7"/>
        <v>200.74058596732007</v>
      </c>
      <c r="BH22" s="62">
        <f t="shared" si="8"/>
        <v>494.07391930065342</v>
      </c>
      <c r="BI22" s="62">
        <f ca="1">AVERAGE(OFFSET($BH$3,0,0,'Données projet'!$E$11+1,1))-AVERAGE(OFFSET($H$3,0,0,'Données projet'!$E$11+1,1))</f>
        <v>382.55387448074327</v>
      </c>
      <c r="BJ22" s="62">
        <f t="shared" si="38"/>
        <v>476.29465646955543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8.2500000000000004E-2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0.85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5.5909090909090908</v>
      </c>
      <c r="BY22" s="13">
        <f>IF('Données projet'!$A$114&gt;35,BY21+BX22-CG21,IF(A22&lt;'Données projet'!$A$114,$BV$205^A22,IF(A22='Données projet'!$A$114,'Données projet'!$B$114,BY21+BX22-CG21)))</f>
        <v>63.814306040343304</v>
      </c>
      <c r="BZ22" s="14">
        <f>BY22*VLOOKUP('Données projet'!$B$12,Paramètres!$A$1:$I$89,3,0)*VLOOKUP('Données projet'!$B$12,Paramètres!$A$1:$I$89,5,0)</f>
        <v>38.160955012125299</v>
      </c>
      <c r="CA22" s="14">
        <f t="shared" si="39"/>
        <v>11.509880661066306</v>
      </c>
      <c r="CB22" s="22">
        <f t="shared" si="10"/>
        <v>86.510038797475374</v>
      </c>
      <c r="CC22" s="62">
        <f t="shared" si="11"/>
        <v>379.84337213080869</v>
      </c>
      <c r="CD22" s="62">
        <f ca="1">AVERAGE(OFFSET($CC$3,0,0,'Données projet'!$E$12+1,1))-AVERAGE(OFFSET($H$3,0,0,'Données projet'!$E$12+1,1))</f>
        <v>287.69656598881124</v>
      </c>
      <c r="CE22" s="62">
        <f t="shared" si="40"/>
        <v>221.9773436301067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>
        <f>VLOOKUP(A22,'Données projet'!$A$139:$I$159,2,0)</f>
        <v>163</v>
      </c>
      <c r="CR22" s="13">
        <f>VLOOKUP(A22,'Données projet'!$A$139:$I$159,9,0)</f>
        <v>17.166666666666668</v>
      </c>
      <c r="CS22" s="13">
        <f t="array" ref="CS22">INDEX(CR:CR,MIN(IF(ISNUMBER(CR22:CR218),ROW(CR22:CR218),"")))</f>
        <v>17.166666666666668</v>
      </c>
      <c r="CT22" s="13">
        <f>IF('Données projet'!$A$140&gt;35,CT21+CS22-DB21,IF(A22&lt;'Données projet'!$A$140,$CQ$205^A22,IF(A22='Données projet'!$A$140,'Données projet'!$B$140,CT21+CS22-DB21)))</f>
        <v>163</v>
      </c>
      <c r="CU22" s="18">
        <f>CT22*VLOOKUP('Données projet'!$B$13,Paramètres!$A$1:$I$89,3,0)*VLOOKUP('Données projet'!$B$13,Paramètres!$A$1:$I$89,5,0)</f>
        <v>97.474000000000004</v>
      </c>
      <c r="CV22" s="14">
        <f t="shared" si="41"/>
        <v>26.359319748929014</v>
      </c>
      <c r="CW22" s="22">
        <f t="shared" si="13"/>
        <v>215.67636522938469</v>
      </c>
      <c r="CX22" s="62">
        <f t="shared" si="14"/>
        <v>509.00969856271797</v>
      </c>
      <c r="CY22" s="62">
        <f ca="1">AVERAGE(OFFSET($CX$3,0,0,'Données projet'!$E$13+1,1))-AVERAGE(OFFSET($H$3,0,0,'Données projet'!$E$13+1,1))</f>
        <v>163.03280205647224</v>
      </c>
      <c r="CZ22" s="62">
        <f t="shared" si="42"/>
        <v>277.12388047243826</v>
      </c>
      <c r="DA22" s="16">
        <f>IF(ISNA(VLOOKUP(A22,'Données projet'!$A$139:$I$159,3,0)),0,VLOOKUP(A22,'Données projet'!$A$139:$I$159,3,0))</f>
        <v>2</v>
      </c>
      <c r="DB22" s="16">
        <f>IF(ISNA(VLOOKUP(A22,'Données projet'!$A$139:$I$159,4,0)),0,VLOOKUP(A22,'Données projet'!$A$139:$I$159,4,0))</f>
        <v>40</v>
      </c>
      <c r="DC22" s="17">
        <f>IF(ISNA(VLOOKUP(A22,'Données projet'!$A$139:$I$159,5,0)),0%,VLOOKUP(A22,'Données projet'!$A$139:$I$159,5,0)*VLOOKUP('Données projet'!$B$13,Paramètres!$A$1:$I$89,7,0))</f>
        <v>0.13500000000000001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0.7</v>
      </c>
      <c r="DF22" s="23">
        <f>EXP(-LN(2)/35)*DF21+(1-EXP(-LN(2)/35))/(LN(2)/35)*DB22*DC22*VLOOKUP('Données projet'!$B$13,Paramètres!$A$1:$I$89,3,0)*0.475*44/12</f>
        <v>4.2837419395053642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20.227613053384697</v>
      </c>
      <c r="DI22" s="24">
        <f t="shared" si="15"/>
        <v>24.511354992890062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79</v>
      </c>
      <c r="L23" s="13">
        <f>VLOOKUP(A23,'Données projet'!$A$35:$I$55,9,0)</f>
        <v>3.95</v>
      </c>
      <c r="M23" s="13">
        <f t="array" ref="M23">INDEX(L:L,MIN(IF(ISNUMBER(L23:L219),ROW(L23:L219),"")))</f>
        <v>3.95</v>
      </c>
      <c r="N23" s="14">
        <f>IF('Données projet'!$A$36&gt;35,N22+M23-V22,IF(A23&lt;'Données projet'!$A$36,$K$205^A23,IF(A23='Données projet'!$A$36,'Données projet'!$B$36,N22+M23-V22)))</f>
        <v>79</v>
      </c>
      <c r="O23" s="14">
        <f>N23*VLOOKUP('Données projet'!$B$9,Paramètres!$A$1:$I$89,3,0)*VLOOKUP('Données projet'!$B$9,Paramètres!$A$1:$I$89,5,0)</f>
        <v>69.014400000000009</v>
      </c>
      <c r="P23" s="14">
        <f t="shared" si="33"/>
        <v>19.428496726251055</v>
      </c>
      <c r="Q23" s="22">
        <f t="shared" si="2"/>
        <v>154.03804513155393</v>
      </c>
      <c r="R23" s="62">
        <f t="shared" si="0"/>
        <v>447.37137846488724</v>
      </c>
      <c r="S23" s="62">
        <f ca="1">AVERAGE(OFFSET($R$3,0,0,'Données projet'!$E$9+1,1))-AVERAGE(OFFSET($H$3,0,0,'Données projet'!$E$9+1,1))</f>
        <v>188.31046827337082</v>
      </c>
      <c r="T23" s="62">
        <f t="shared" si="34"/>
        <v>207.32535726327728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17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310.95287409903602</v>
      </c>
      <c r="AO23" s="62">
        <f t="shared" si="36"/>
        <v>224.10083380795163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0.22000000000000003</v>
      </c>
      <c r="AS23" s="17">
        <f>IF(ISNA(VLOOKUP(A23,'Données projet'!$A$61:$I$81,6,0)),0%,VLOOKUP(A23,'Données projet'!$A$61:$I$81,6,0)*VLOOKUP('Données projet'!$B$10,Paramètres!$A$1:$I$89,7,0))</f>
        <v>0.24750000000000003</v>
      </c>
      <c r="AT23" s="17">
        <f>IF(ISNA(VLOOKUP(A23,'Données projet'!$A$61:$I$81,7,0)),0%,VLOOKUP(A23,'Données projet'!$A$61:$I$81,7,0))</f>
        <v>0.15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28.833333333333332</v>
      </c>
      <c r="BD23" s="13">
        <f>IF('Données projet'!$A$88&gt;35,BD22+BC23-BL22,IF(A23&lt;'Données projet'!$A$88,$BA$205^A23,IF(A23='Données projet'!$A$88,'Données projet'!$B$88,BD22+BC23-BL22)))</f>
        <v>190.83333333333334</v>
      </c>
      <c r="BE23" s="14">
        <f>BD23*VLOOKUP('Données projet'!$B$11,Paramètres!$A$1:$I$89,3,0)*VLOOKUP('Données projet'!$B$11,Paramètres!$A$1:$I$89,5,0)</f>
        <v>106.67583333333334</v>
      </c>
      <c r="BF23" s="14">
        <f t="shared" si="37"/>
        <v>28.546391754319739</v>
      </c>
      <c r="BG23" s="22">
        <f t="shared" si="7"/>
        <v>235.51204202766243</v>
      </c>
      <c r="BH23" s="62">
        <f t="shared" si="8"/>
        <v>528.84537536099572</v>
      </c>
      <c r="BI23" s="62">
        <f ca="1">AVERAGE(OFFSET($BH$3,0,0,'Données projet'!$E$11+1,1))-AVERAGE(OFFSET($H$3,0,0,'Données projet'!$E$11+1,1))</f>
        <v>382.55387448074327</v>
      </c>
      <c r="BJ23" s="62">
        <f t="shared" si="38"/>
        <v>476.29465646955543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5.5909090909090908</v>
      </c>
      <c r="BY23" s="13">
        <f>IF('Données projet'!$A$114&gt;35,BY22+BX23-CG22,IF(A23&lt;'Données projet'!$A$114,$BV$205^A23,IF(A23='Données projet'!$A$114,'Données projet'!$B$114,BY22+BX23-CG22)))</f>
        <v>79.417047587426694</v>
      </c>
      <c r="BZ23" s="14">
        <f>BY23*VLOOKUP('Données projet'!$B$12,Paramètres!$A$1:$I$89,3,0)*VLOOKUP('Données projet'!$B$12,Paramètres!$A$1:$I$89,5,0)</f>
        <v>47.49139445728116</v>
      </c>
      <c r="CA23" s="14">
        <f t="shared" si="39"/>
        <v>13.96397329692701</v>
      </c>
      <c r="CB23" s="22">
        <f t="shared" si="10"/>
        <v>107.03476550524589</v>
      </c>
      <c r="CC23" s="62">
        <f t="shared" si="11"/>
        <v>400.36809883857921</v>
      </c>
      <c r="CD23" s="62">
        <f ca="1">AVERAGE(OFFSET($CC$3,0,0,'Données projet'!$E$12+1,1))-AVERAGE(OFFSET($H$3,0,0,'Données projet'!$E$12+1,1))</f>
        <v>287.69656598881124</v>
      </c>
      <c r="CE23" s="62">
        <f t="shared" si="40"/>
        <v>221.9773436301067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16.5</v>
      </c>
      <c r="CT23" s="13">
        <f>IF('Données projet'!$A$140&gt;35,CT22+CS23-DB22,IF(A23&lt;'Données projet'!$A$140,$CQ$205^A23,IF(A23='Données projet'!$A$140,'Données projet'!$B$140,CT22+CS23-DB22)))</f>
        <v>139.5</v>
      </c>
      <c r="CU23" s="18">
        <f>CT23*VLOOKUP('Données projet'!$B$13,Paramètres!$A$1:$I$89,3,0)*VLOOKUP('Données projet'!$B$13,Paramètres!$A$1:$I$89,5,0)</f>
        <v>83.421000000000006</v>
      </c>
      <c r="CV23" s="14">
        <f t="shared" si="41"/>
        <v>22.97158706718762</v>
      </c>
      <c r="CW23" s="22">
        <f t="shared" si="13"/>
        <v>185.30042247535178</v>
      </c>
      <c r="CX23" s="62">
        <f t="shared" si="14"/>
        <v>478.63375580868512</v>
      </c>
      <c r="CY23" s="62">
        <f ca="1">AVERAGE(OFFSET($CX$3,0,0,'Données projet'!$E$13+1,1))-AVERAGE(OFFSET($H$3,0,0,'Données projet'!$E$13+1,1))</f>
        <v>163.03280205647224</v>
      </c>
      <c r="CZ23" s="62">
        <f t="shared" si="42"/>
        <v>277.12388047243826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4.1997403728962519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14.303082357265847</v>
      </c>
      <c r="DI23" s="24">
        <f t="shared" si="15"/>
        <v>18.502822730162098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71.2</v>
      </c>
      <c r="O24" s="14">
        <f>N24*VLOOKUP('Données projet'!$B$9,Paramètres!$A$1:$I$89,3,0)*VLOOKUP('Données projet'!$B$9,Paramètres!$A$1:$I$89,5,0)</f>
        <v>62.200320000000012</v>
      </c>
      <c r="P24" s="14">
        <f t="shared" si="33"/>
        <v>17.723407501510042</v>
      </c>
      <c r="Q24" s="22">
        <f t="shared" si="2"/>
        <v>139.20049206513002</v>
      </c>
      <c r="R24" s="62">
        <f t="shared" si="0"/>
        <v>432.53382539846336</v>
      </c>
      <c r="S24" s="62">
        <f ca="1">AVERAGE(OFFSET($R$3,0,0,'Données projet'!$E$9+1,1))-AVERAGE(OFFSET($H$3,0,0,'Données projet'!$E$9+1,1))</f>
        <v>188.31046827337082</v>
      </c>
      <c r="T24" s="62">
        <f t="shared" si="34"/>
        <v>207.32535726327728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467.42729018925093</v>
      </c>
      <c r="AN24" s="62">
        <f ca="1">AVERAGE(OFFSET($AM$3,0,0,'Données projet'!$E$10+1,1))-AVERAGE(OFFSET($H$3,0,0,'Données projet'!$E$10+1,1))</f>
        <v>310.95287409903602</v>
      </c>
      <c r="AO24" s="62">
        <f t="shared" si="36"/>
        <v>224.10083380795163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28.833333333333332</v>
      </c>
      <c r="BD24" s="13">
        <f>IF('Données projet'!$A$88&gt;35,BD23+BC24-BL23,IF(A24&lt;'Données projet'!$A$88,$BA$205^A24,IF(A24='Données projet'!$A$88,'Données projet'!$B$88,BD23+BC24-BL23)))</f>
        <v>219.66666666666669</v>
      </c>
      <c r="BE24" s="14">
        <f>BD24*VLOOKUP('Données projet'!$B$11,Paramètres!$A$1:$I$89,3,0)*VLOOKUP('Données projet'!$B$11,Paramètres!$A$1:$I$89,5,0)</f>
        <v>122.79366666666668</v>
      </c>
      <c r="BF24" s="14">
        <f t="shared" si="37"/>
        <v>32.32570088253398</v>
      </c>
      <c r="BG24" s="22">
        <f t="shared" si="7"/>
        <v>270.16623181485778</v>
      </c>
      <c r="BH24" s="62">
        <f t="shared" si="8"/>
        <v>563.4995651481911</v>
      </c>
      <c r="BI24" s="62">
        <f ca="1">AVERAGE(OFFSET($BH$3,0,0,'Données projet'!$E$11+1,1))-AVERAGE(OFFSET($H$3,0,0,'Données projet'!$E$11+1,1))</f>
        <v>382.55387448074327</v>
      </c>
      <c r="BJ24" s="62">
        <f t="shared" si="38"/>
        <v>476.29465646955543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5.5909090909090908</v>
      </c>
      <c r="BY24" s="13">
        <f>IF('Données projet'!$A$114&gt;35,BY23+BX24-CG23,IF(A24&lt;'Données projet'!$A$114,$BV$205^A24,IF(A24='Données projet'!$A$114,'Données projet'!$B$114,BY23+BX24-CG23)))</f>
        <v>98.834694582689295</v>
      </c>
      <c r="BZ24" s="14">
        <f>BY24*VLOOKUP('Données projet'!$B$12,Paramètres!$A$1:$I$89,3,0)*VLOOKUP('Données projet'!$B$12,Paramètres!$A$1:$I$89,5,0)</f>
        <v>59.103147360448204</v>
      </c>
      <c r="CA24" s="14">
        <f t="shared" si="39"/>
        <v>16.94131815778756</v>
      </c>
      <c r="CB24" s="22">
        <f t="shared" si="10"/>
        <v>132.44411077759398</v>
      </c>
      <c r="CC24" s="62">
        <f t="shared" si="11"/>
        <v>425.77744411092726</v>
      </c>
      <c r="CD24" s="62">
        <f ca="1">AVERAGE(OFFSET($CC$3,0,0,'Données projet'!$E$12+1,1))-AVERAGE(OFFSET($H$3,0,0,'Données projet'!$E$12+1,1))</f>
        <v>287.69656598881124</v>
      </c>
      <c r="CE24" s="62">
        <f t="shared" si="40"/>
        <v>221.9773436301067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16.5</v>
      </c>
      <c r="CT24" s="13">
        <f>IF('Données projet'!$A$140&gt;35,CT23+CS24-DB23,IF(A24&lt;'Données projet'!$A$140,$CQ$205^A24,IF(A24='Données projet'!$A$140,'Données projet'!$B$140,CT23+CS24-DB23)))</f>
        <v>156</v>
      </c>
      <c r="CU24" s="18">
        <f>CT24*VLOOKUP('Données projet'!$B$13,Paramètres!$A$1:$I$89,3,0)*VLOOKUP('Données projet'!$B$13,Paramètres!$A$1:$I$89,5,0)</f>
        <v>93.288000000000011</v>
      </c>
      <c r="CV24" s="14">
        <f t="shared" si="41"/>
        <v>25.356547829040977</v>
      </c>
      <c r="CW24" s="22">
        <f t="shared" si="13"/>
        <v>206.63925413557971</v>
      </c>
      <c r="CX24" s="62">
        <f t="shared" si="14"/>
        <v>499.97258746891305</v>
      </c>
      <c r="CY24" s="62">
        <f ca="1">AVERAGE(OFFSET($CX$3,0,0,'Données projet'!$E$13+1,1))-AVERAGE(OFFSET($H$3,0,0,'Données projet'!$E$13+1,1))</f>
        <v>163.03280205647224</v>
      </c>
      <c r="CZ24" s="62">
        <f t="shared" si="42"/>
        <v>277.12388047243826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4.1173860257724479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10.11380652669235</v>
      </c>
      <c r="DI24" s="24">
        <f t="shared" si="15"/>
        <v>14.231192552464798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80.400000000000006</v>
      </c>
      <c r="O25" s="14">
        <f>N25*VLOOKUP('Données projet'!$B$9,Paramètres!$A$1:$I$89,3,0)*VLOOKUP('Données projet'!$B$9,Paramètres!$A$1:$I$89,5,0)</f>
        <v>70.237440000000021</v>
      </c>
      <c r="P25" s="14">
        <f t="shared" si="33"/>
        <v>19.732410665998678</v>
      </c>
      <c r="Q25" s="22">
        <f t="shared" si="2"/>
        <v>156.69748990994773</v>
      </c>
      <c r="R25" s="62">
        <f t="shared" si="0"/>
        <v>450.03082324328102</v>
      </c>
      <c r="S25" s="62">
        <f ca="1">AVERAGE(OFFSET($R$3,0,0,'Données projet'!$E$9+1,1))-AVERAGE(OFFSET($H$3,0,0,'Données projet'!$E$9+1,1))</f>
        <v>188.31046827337082</v>
      </c>
      <c r="T25" s="62">
        <f t="shared" si="34"/>
        <v>207.32535726327728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476.75869306268868</v>
      </c>
      <c r="AN25" s="62">
        <f ca="1">AVERAGE(OFFSET($AM$3,0,0,'Données projet'!$E$10+1,1))-AVERAGE(OFFSET($H$3,0,0,'Données projet'!$E$10+1,1))</f>
        <v>310.95287409903602</v>
      </c>
      <c r="AO25" s="62">
        <f t="shared" si="36"/>
        <v>224.10083380795163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28.833333333333332</v>
      </c>
      <c r="BD25" s="13">
        <f>IF('Données projet'!$A$88&gt;35,BD24+BC25-BL24,IF(A25&lt;'Données projet'!$A$88,$BA$205^A25,IF(A25='Données projet'!$A$88,'Données projet'!$B$88,BD24+BC25-BL24)))</f>
        <v>248.50000000000003</v>
      </c>
      <c r="BE25" s="14">
        <f>BD25*VLOOKUP('Données projet'!$B$11,Paramètres!$A$1:$I$89,3,0)*VLOOKUP('Données projet'!$B$11,Paramètres!$A$1:$I$89,5,0)</f>
        <v>138.91150000000002</v>
      </c>
      <c r="BF25" s="14">
        <f t="shared" si="37"/>
        <v>36.047532265727178</v>
      </c>
      <c r="BG25" s="22">
        <f t="shared" si="7"/>
        <v>304.72031452947482</v>
      </c>
      <c r="BH25" s="62">
        <f t="shared" si="8"/>
        <v>598.05364786280813</v>
      </c>
      <c r="BI25" s="62">
        <f ca="1">AVERAGE(OFFSET($BH$3,0,0,'Données projet'!$E$11+1,1))-AVERAGE(OFFSET($H$3,0,0,'Données projet'!$E$11+1,1))</f>
        <v>382.55387448074327</v>
      </c>
      <c r="BJ25" s="62">
        <f t="shared" si="38"/>
        <v>476.29465646955543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123</v>
      </c>
      <c r="BW25" s="13">
        <f>VLOOKUP(A25,'Données projet'!$A$113:$I$133,9,0)</f>
        <v>5.5909090909090908</v>
      </c>
      <c r="BX25" s="13">
        <f t="array" ref="BX25">INDEX(BW:BW,MIN(IF(ISNUMBER(BW25:BW221),ROW(BW25:BW221),"")))</f>
        <v>5.5909090909090908</v>
      </c>
      <c r="BY25" s="13">
        <f>IF('Données projet'!$A$114&gt;35,BY24+BX25-CG24,IF(A25&lt;'Données projet'!$A$114,$BV$205^A25,IF(A25='Données projet'!$A$114,'Données projet'!$B$114,BY24+BX25-CG24)))</f>
        <v>123</v>
      </c>
      <c r="BZ25" s="14">
        <f>BY25*VLOOKUP('Données projet'!$B$12,Paramètres!$A$1:$I$89,3,0)*VLOOKUP('Données projet'!$B$12,Paramètres!$A$1:$I$89,5,0)</f>
        <v>73.554000000000016</v>
      </c>
      <c r="CA25" s="14">
        <f t="shared" si="39"/>
        <v>20.553481077376691</v>
      </c>
      <c r="CB25" s="22">
        <f t="shared" si="10"/>
        <v>163.90386287643108</v>
      </c>
      <c r="CC25" s="62">
        <f t="shared" si="11"/>
        <v>457.23719620976442</v>
      </c>
      <c r="CD25" s="62">
        <f ca="1">AVERAGE(OFFSET($CC$3,0,0,'Données projet'!$E$12+1,1))-AVERAGE(OFFSET($H$3,0,0,'Données projet'!$E$12+1,1))</f>
        <v>287.69656598881124</v>
      </c>
      <c r="CE25" s="62">
        <f t="shared" si="40"/>
        <v>221.9773436301067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16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1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10.833198622733226</v>
      </c>
      <c r="CN25" s="24">
        <f t="shared" si="12"/>
        <v>10.833198622733226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16.5</v>
      </c>
      <c r="CT25" s="13">
        <f>IF('Données projet'!$A$140&gt;35,CT24+CS25-DB24,IF(A25&lt;'Données projet'!$A$140,$CQ$205^A25,IF(A25='Données projet'!$A$140,'Données projet'!$B$140,CT24+CS25-DB24)))</f>
        <v>172.5</v>
      </c>
      <c r="CU25" s="18">
        <f>CT25*VLOOKUP('Données projet'!$B$13,Paramètres!$A$1:$I$89,3,0)*VLOOKUP('Données projet'!$B$13,Paramètres!$A$1:$I$89,5,0)</f>
        <v>103.15500000000002</v>
      </c>
      <c r="CV25" s="14">
        <f t="shared" si="41"/>
        <v>27.71226857071613</v>
      </c>
      <c r="CW25" s="22">
        <f t="shared" si="13"/>
        <v>227.92715942733059</v>
      </c>
      <c r="CX25" s="62">
        <f t="shared" si="14"/>
        <v>521.26049276066396</v>
      </c>
      <c r="CY25" s="62">
        <f ca="1">AVERAGE(OFFSET($CX$3,0,0,'Données projet'!$E$13+1,1))-AVERAGE(OFFSET($H$3,0,0,'Données projet'!$E$13+1,1))</f>
        <v>163.03280205647224</v>
      </c>
      <c r="CZ25" s="62">
        <f t="shared" si="42"/>
        <v>277.12388047243826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4.03664659716455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7.1515411786329244</v>
      </c>
      <c r="DI25" s="24">
        <f t="shared" si="15"/>
        <v>11.188187775797473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89.600000000000009</v>
      </c>
      <c r="O26" s="14">
        <f>N26*VLOOKUP('Données projet'!$B$9,Paramètres!$A$1:$I$89,3,0)*VLOOKUP('Données projet'!$B$9,Paramètres!$A$1:$I$89,5,0)</f>
        <v>78.274560000000022</v>
      </c>
      <c r="P26" s="14">
        <f t="shared" si="33"/>
        <v>21.714771212170209</v>
      </c>
      <c r="Q26" s="22">
        <f t="shared" si="2"/>
        <v>174.14808519452981</v>
      </c>
      <c r="R26" s="62">
        <f t="shared" si="0"/>
        <v>467.48141852786313</v>
      </c>
      <c r="S26" s="62">
        <f ca="1">AVERAGE(OFFSET($R$3,0,0,'Données projet'!$E$9+1,1))-AVERAGE(OFFSET($H$3,0,0,'Données projet'!$E$9+1,1))</f>
        <v>188.31046827337082</v>
      </c>
      <c r="T26" s="62">
        <f t="shared" si="34"/>
        <v>207.32535726327728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486.07899978226311</v>
      </c>
      <c r="AN26" s="62">
        <f ca="1">AVERAGE(OFFSET($AM$3,0,0,'Données projet'!$E$10+1,1))-AVERAGE(OFFSET($H$3,0,0,'Données projet'!$E$10+1,1))</f>
        <v>310.95287409903602</v>
      </c>
      <c r="AO26" s="62">
        <f t="shared" si="36"/>
        <v>224.10083380795163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28.833333333333332</v>
      </c>
      <c r="BD26" s="13">
        <f>IF('Données projet'!$A$88&gt;35,BD25+BC26-BL25,IF(A26&lt;'Données projet'!$A$88,$BA$205^A26,IF(A26='Données projet'!$A$88,'Données projet'!$B$88,BD25+BC26-BL25)))</f>
        <v>277.33333333333337</v>
      </c>
      <c r="BE26" s="14">
        <f>BD26*VLOOKUP('Données projet'!$B$11,Paramètres!$A$1:$I$89,3,0)*VLOOKUP('Données projet'!$B$11,Paramètres!$A$1:$I$89,5,0)</f>
        <v>155.02933333333334</v>
      </c>
      <c r="BF26" s="14">
        <f t="shared" si="37"/>
        <v>39.719316712120367</v>
      </c>
      <c r="BG26" s="22">
        <f t="shared" si="7"/>
        <v>339.1872321624985</v>
      </c>
      <c r="BH26" s="62">
        <f t="shared" si="8"/>
        <v>632.52056549583176</v>
      </c>
      <c r="BI26" s="62">
        <f ca="1">AVERAGE(OFFSET($BH$3,0,0,'Données projet'!$E$11+1,1))-AVERAGE(OFFSET($H$3,0,0,'Données projet'!$E$11+1,1))</f>
        <v>382.55387448074327</v>
      </c>
      <c r="BJ26" s="62">
        <f t="shared" si="38"/>
        <v>476.29465646955543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12.333333333333334</v>
      </c>
      <c r="BY26" s="13">
        <f>IF('Données projet'!$A$114&gt;35,BY25+BX26-CG25,IF(A26&lt;'Données projet'!$A$114,$BV$205^A26,IF(A26='Données projet'!$A$114,'Données projet'!$B$114,BY25+BX26-CG25)))</f>
        <v>119.33333333333334</v>
      </c>
      <c r="BZ26" s="14">
        <f>BY26*VLOOKUP('Données projet'!$B$12,Paramètres!$A$1:$I$89,3,0)*VLOOKUP('Données projet'!$B$12,Paramètres!$A$1:$I$89,5,0)</f>
        <v>71.361333333333349</v>
      </c>
      <c r="CA26" s="14">
        <f t="shared" si="39"/>
        <v>20.011144716858571</v>
      </c>
      <c r="CB26" s="22">
        <f t="shared" si="10"/>
        <v>159.14039927075092</v>
      </c>
      <c r="CC26" s="62">
        <f t="shared" si="11"/>
        <v>452.47373260408426</v>
      </c>
      <c r="CD26" s="62">
        <f ca="1">AVERAGE(OFFSET($CC$3,0,0,'Données projet'!$E$12+1,1))-AVERAGE(OFFSET($H$3,0,0,'Données projet'!$E$12+1,1))</f>
        <v>287.69656598881124</v>
      </c>
      <c r="CE26" s="62">
        <f t="shared" si="40"/>
        <v>221.9773436301067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7.6602282080754316</v>
      </c>
      <c r="CN26" s="24">
        <f t="shared" si="12"/>
        <v>7.6602282080754316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16.5</v>
      </c>
      <c r="CT26" s="13">
        <f>IF('Données projet'!$A$140&gt;35,CT25+CS26-DB25,IF(A26&lt;'Données projet'!$A$140,$CQ$205^A26,IF(A26='Données projet'!$A$140,'Données projet'!$B$140,CT25+CS26-DB25)))</f>
        <v>189</v>
      </c>
      <c r="CU26" s="18">
        <f>CT26*VLOOKUP('Données projet'!$B$13,Paramètres!$A$1:$I$89,3,0)*VLOOKUP('Données projet'!$B$13,Paramètres!$A$1:$I$89,5,0)</f>
        <v>113.02200000000001</v>
      </c>
      <c r="CV26" s="14">
        <f t="shared" si="41"/>
        <v>30.041864379091852</v>
      </c>
      <c r="CW26" s="22">
        <f t="shared" si="13"/>
        <v>249.16956379358496</v>
      </c>
      <c r="CX26" s="62">
        <f t="shared" si="14"/>
        <v>542.50289712691824</v>
      </c>
      <c r="CY26" s="62">
        <f ca="1">AVERAGE(OFFSET($CX$3,0,0,'Données projet'!$E$13+1,1))-AVERAGE(OFFSET($H$3,0,0,'Données projet'!$E$13+1,1))</f>
        <v>163.03280205647224</v>
      </c>
      <c r="CZ26" s="62">
        <f t="shared" si="42"/>
        <v>277.12388047243826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3.9574904195054641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5.0569032633461761</v>
      </c>
      <c r="DI26" s="24">
        <f t="shared" si="15"/>
        <v>9.0143936828516402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98.800000000000011</v>
      </c>
      <c r="O27" s="14">
        <f>N27*VLOOKUP('Données projet'!$B$9,Paramètres!$A$1:$I$89,3,0)*VLOOKUP('Données projet'!$B$9,Paramètres!$A$1:$I$89,5,0)</f>
        <v>86.311680000000024</v>
      </c>
      <c r="P27" s="14">
        <f t="shared" si="33"/>
        <v>23.673536308765961</v>
      </c>
      <c r="Q27" s="22">
        <f t="shared" si="2"/>
        <v>191.55758507110076</v>
      </c>
      <c r="R27" s="62">
        <f t="shared" si="0"/>
        <v>484.89091840443405</v>
      </c>
      <c r="S27" s="62">
        <f ca="1">AVERAGE(OFFSET($R$3,0,0,'Données projet'!$E$9+1,1))-AVERAGE(OFFSET($H$3,0,0,'Données projet'!$E$9+1,1))</f>
        <v>188.31046827337082</v>
      </c>
      <c r="T27" s="62">
        <f t="shared" si="34"/>
        <v>207.32535726327728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495.38882314153864</v>
      </c>
      <c r="AN27" s="62">
        <f ca="1">AVERAGE(OFFSET($AM$3,0,0,'Données projet'!$E$10+1,1))-AVERAGE(OFFSET($H$3,0,0,'Données projet'!$E$10+1,1))</f>
        <v>310.95287409903602</v>
      </c>
      <c r="AO27" s="62">
        <f t="shared" si="36"/>
        <v>224.10083380795163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28.833333333333332</v>
      </c>
      <c r="BD27" s="13">
        <f>IF('Données projet'!$A$88&gt;35,BD26+BC27-BL26,IF(A27&lt;'Données projet'!$A$88,$BA$205^A27,IF(A27='Données projet'!$A$88,'Données projet'!$B$88,BD26+BC27-BL26)))</f>
        <v>306.16666666666669</v>
      </c>
      <c r="BE27" s="14">
        <f>BD27*VLOOKUP('Données projet'!$B$11,Paramètres!$A$1:$I$89,3,0)*VLOOKUP('Données projet'!$B$11,Paramètres!$A$1:$I$89,5,0)</f>
        <v>171.14716666666669</v>
      </c>
      <c r="BF27" s="14">
        <f t="shared" si="37"/>
        <v>43.346850105371793</v>
      </c>
      <c r="BG27" s="22">
        <f t="shared" si="7"/>
        <v>373.57707921130037</v>
      </c>
      <c r="BH27" s="62">
        <f t="shared" si="8"/>
        <v>666.91041254463369</v>
      </c>
      <c r="BI27" s="62">
        <f ca="1">AVERAGE(OFFSET($BH$3,0,0,'Données projet'!$E$11+1,1))-AVERAGE(OFFSET($H$3,0,0,'Données projet'!$E$11+1,1))</f>
        <v>382.55387448074327</v>
      </c>
      <c r="BJ27" s="62">
        <f t="shared" si="38"/>
        <v>476.29465646955543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12.333333333333334</v>
      </c>
      <c r="BY27" s="13">
        <f>IF('Données projet'!$A$114&gt;35,BY26+BX27-CG26,IF(A27&lt;'Données projet'!$A$114,$BV$205^A27,IF(A27='Données projet'!$A$114,'Données projet'!$B$114,BY26+BX27-CG26)))</f>
        <v>131.66666666666669</v>
      </c>
      <c r="BZ27" s="14">
        <f>BY27*VLOOKUP('Données projet'!$B$12,Paramètres!$A$1:$I$89,3,0)*VLOOKUP('Données projet'!$B$12,Paramètres!$A$1:$I$89,5,0)</f>
        <v>78.736666666666679</v>
      </c>
      <c r="CA27" s="14">
        <f t="shared" si="39"/>
        <v>21.828006984037064</v>
      </c>
      <c r="CB27" s="22">
        <f t="shared" si="10"/>
        <v>175.15013994164235</v>
      </c>
      <c r="CC27" s="62">
        <f t="shared" si="11"/>
        <v>468.48347327497567</v>
      </c>
      <c r="CD27" s="62">
        <f ca="1">AVERAGE(OFFSET($CC$3,0,0,'Données projet'!$E$12+1,1))-AVERAGE(OFFSET($H$3,0,0,'Données projet'!$E$12+1,1))</f>
        <v>287.69656598881124</v>
      </c>
      <c r="CE27" s="62">
        <f t="shared" si="40"/>
        <v>221.9773436301067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5.416599311366614</v>
      </c>
      <c r="CN27" s="24">
        <f t="shared" si="12"/>
        <v>5.416599311366614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16.5</v>
      </c>
      <c r="CT27" s="13">
        <f>IF('Données projet'!$A$140&gt;35,CT26+CS27-DB26,IF(A27&lt;'Données projet'!$A$140,$CQ$205^A27,IF(A27='Données projet'!$A$140,'Données projet'!$B$140,CT26+CS27-DB26)))</f>
        <v>205.5</v>
      </c>
      <c r="CU27" s="18">
        <f>CT27*VLOOKUP('Données projet'!$B$13,Paramètres!$A$1:$I$89,3,0)*VLOOKUP('Données projet'!$B$13,Paramètres!$A$1:$I$89,5,0)</f>
        <v>122.88900000000001</v>
      </c>
      <c r="CV27" s="14">
        <f t="shared" si="41"/>
        <v>32.347875332170432</v>
      </c>
      <c r="CW27" s="22">
        <f t="shared" si="13"/>
        <v>270.37089120353011</v>
      </c>
      <c r="CX27" s="62">
        <f t="shared" si="14"/>
        <v>563.70422453686342</v>
      </c>
      <c r="CY27" s="62">
        <f ca="1">AVERAGE(OFFSET($CX$3,0,0,'Données projet'!$E$13+1,1))-AVERAGE(OFFSET($H$3,0,0,'Données projet'!$E$13+1,1))</f>
        <v>163.03280205647224</v>
      </c>
      <c r="CZ27" s="62">
        <f t="shared" si="42"/>
        <v>277.12388047243826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3.8798864462097717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3.5757705893164631</v>
      </c>
      <c r="DI27" s="24">
        <f t="shared" si="15"/>
        <v>7.4556570355262348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108</v>
      </c>
      <c r="L28" s="13">
        <f>VLOOKUP(A28,'Données projet'!$A$35:$I$55,9,0)</f>
        <v>9.1999999999999993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108.00000000000001</v>
      </c>
      <c r="O28" s="14">
        <f>N28*VLOOKUP('Données projet'!$B$9,Paramètres!$A$1:$I$89,3,0)*VLOOKUP('Données projet'!$B$9,Paramètres!$A$1:$I$89,5,0)</f>
        <v>94.348800000000026</v>
      </c>
      <c r="P28" s="14">
        <f t="shared" si="33"/>
        <v>25.611153022386485</v>
      </c>
      <c r="Q28" s="22">
        <f t="shared" si="2"/>
        <v>208.93025151398982</v>
      </c>
      <c r="R28" s="62">
        <f t="shared" si="0"/>
        <v>502.26358484732316</v>
      </c>
      <c r="S28" s="62">
        <f ca="1">AVERAGE(OFFSET($R$3,0,0,'Données projet'!$E$9+1,1))-AVERAGE(OFFSET($H$3,0,0,'Données projet'!$E$9+1,1))</f>
        <v>188.31046827337082</v>
      </c>
      <c r="T28" s="62">
        <f t="shared" si="34"/>
        <v>207.32535726327728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504.68871478129415</v>
      </c>
      <c r="AN28" s="62">
        <f ca="1">AVERAGE(OFFSET($AM$3,0,0,'Données projet'!$E$10+1,1))-AVERAGE(OFFSET($H$3,0,0,'Données projet'!$E$10+1,1))</f>
        <v>310.95287409903602</v>
      </c>
      <c r="AO28" s="62">
        <f t="shared" si="36"/>
        <v>224.10083380795163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335</v>
      </c>
      <c r="BB28" s="13">
        <f>VLOOKUP(A28,'Données projet'!$A$87:$I$107,9,0)</f>
        <v>28.833333333333332</v>
      </c>
      <c r="BC28" s="13">
        <f t="array" ref="BC28">INDEX(BB:BB,MIN(IF(ISNUMBER(BB28:BB224),ROW(BB28:BB224),"")))</f>
        <v>28.833333333333332</v>
      </c>
      <c r="BD28" s="13">
        <f>IF('Données projet'!$A$88&gt;35,BD27+BC28-BL27,IF(A28&lt;'Données projet'!$A$88,$BA$205^A28,IF(A28='Données projet'!$A$88,'Données projet'!$B$88,BD27+BC28-BL27)))</f>
        <v>335</v>
      </c>
      <c r="BE28" s="14">
        <f>BD28*VLOOKUP('Données projet'!$B$11,Paramètres!$A$1:$I$89,3,0)*VLOOKUP('Données projet'!$B$11,Paramètres!$A$1:$I$89,5,0)</f>
        <v>187.26500000000001</v>
      </c>
      <c r="BF28" s="14">
        <f t="shared" si="37"/>
        <v>46.934773872544483</v>
      </c>
      <c r="BG28" s="22">
        <f t="shared" si="7"/>
        <v>407.89793949468162</v>
      </c>
      <c r="BH28" s="62">
        <f t="shared" si="8"/>
        <v>701.23127282801488</v>
      </c>
      <c r="BI28" s="62">
        <f ca="1">AVERAGE(OFFSET($BH$3,0,0,'Données projet'!$E$11+1,1))-AVERAGE(OFFSET($H$3,0,0,'Données projet'!$E$11+1,1))</f>
        <v>382.55387448074327</v>
      </c>
      <c r="BJ28" s="62">
        <f t="shared" si="38"/>
        <v>476.29465646955543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8.2500000000000004E-2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0.85</v>
      </c>
      <c r="BP28" s="23">
        <f>EXP(-LN(2)/35)*BP27+(1-EXP(-LN(2)/35))/(LN(2)/35)*BL28*BM28*VLOOKUP('Données projet'!$B$11,Paramètres!$A$1:$I$89,3,0)*0.475*44/12</f>
        <v>3.3036031587815811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29.050929513163819</v>
      </c>
      <c r="BS28" s="24">
        <f t="shared" si="9"/>
        <v>32.3545326719454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144</v>
      </c>
      <c r="BW28" s="13">
        <f>VLOOKUP(A28,'Données projet'!$A$113:$I$133,9,0)</f>
        <v>12.333333333333334</v>
      </c>
      <c r="BX28" s="13">
        <f t="array" ref="BX28">INDEX(BW:BW,MIN(IF(ISNUMBER(BW28:BW224),ROW(BW28:BW224),"")))</f>
        <v>12.333333333333334</v>
      </c>
      <c r="BY28" s="13">
        <f>IF('Données projet'!$A$114&gt;35,BY27+BX28-CG27,IF(A28&lt;'Données projet'!$A$114,$BV$205^A28,IF(A28='Données projet'!$A$114,'Données projet'!$B$114,BY27+BX28-CG27)))</f>
        <v>144.00000000000003</v>
      </c>
      <c r="BZ28" s="14">
        <f>BY28*VLOOKUP('Données projet'!$B$12,Paramètres!$A$1:$I$89,3,0)*VLOOKUP('Données projet'!$B$12,Paramètres!$A$1:$I$89,5,0)</f>
        <v>86.112000000000009</v>
      </c>
      <c r="CA28" s="14">
        <f t="shared" si="39"/>
        <v>23.625136642852297</v>
      </c>
      <c r="CB28" s="22">
        <f t="shared" si="10"/>
        <v>191.12551298630106</v>
      </c>
      <c r="CC28" s="62">
        <f t="shared" si="11"/>
        <v>484.4588463196344</v>
      </c>
      <c r="CD28" s="62">
        <f ca="1">AVERAGE(OFFSET($CC$3,0,0,'Données projet'!$E$12+1,1))-AVERAGE(OFFSET($H$3,0,0,'Données projet'!$E$12+1,1))</f>
        <v>287.69656598881124</v>
      </c>
      <c r="CE28" s="62">
        <f t="shared" si="40"/>
        <v>221.9773436301067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17</v>
      </c>
      <c r="CH28" s="17">
        <f>IF(ISNA(VLOOKUP(A28,'Données projet'!$A$113:$I$133,5,0)),0%,VLOOKUP(A28,'Données projet'!$A$113:$I$133,5,0)*VLOOKUP('Données projet'!$B$12,Paramètres!$A$1:$I$89,7,0))</f>
        <v>9.0000000000000011E-2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0.8</v>
      </c>
      <c r="CK28" s="23">
        <f>EXP(-LN(2)/35)*CK27+(1-EXP(-LN(2)/35))/(LN(2)/35)*CG28*CH28*VLOOKUP('Données projet'!$B$12,Paramètres!$A$1:$I$89,3,0)*0.475*44/12</f>
        <v>1.2137268828598531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13.038332933360959</v>
      </c>
      <c r="CN28" s="24">
        <f t="shared" si="12"/>
        <v>14.252059816220811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222</v>
      </c>
      <c r="CR28" s="13">
        <f>VLOOKUP(A28,'Données projet'!$A$139:$I$159,9,0)</f>
        <v>16.5</v>
      </c>
      <c r="CS28" s="13">
        <f t="array" ref="CS28">INDEX(CR:CR,MIN(IF(ISNUMBER(CR28:CR224),ROW(CR28:CR224),"")))</f>
        <v>16.5</v>
      </c>
      <c r="CT28" s="13">
        <f>IF('Données projet'!$A$140&gt;35,CT27+CS28-DB27,IF(A28&lt;'Données projet'!$A$140,$CQ$205^A28,IF(A28='Données projet'!$A$140,'Données projet'!$B$140,CT27+CS28-DB27)))</f>
        <v>222</v>
      </c>
      <c r="CU28" s="18">
        <f>CT28*VLOOKUP('Données projet'!$B$13,Paramètres!$A$1:$I$89,3,0)*VLOOKUP('Données projet'!$B$13,Paramètres!$A$1:$I$89,5,0)</f>
        <v>132.756</v>
      </c>
      <c r="CV28" s="14">
        <f t="shared" si="41"/>
        <v>34.632410397339967</v>
      </c>
      <c r="CW28" s="22">
        <f t="shared" si="13"/>
        <v>291.53481477536712</v>
      </c>
      <c r="CX28" s="62">
        <f t="shared" si="14"/>
        <v>584.86814810870044</v>
      </c>
      <c r="CY28" s="62">
        <f ca="1">AVERAGE(OFFSET($CX$3,0,0,'Données projet'!$E$13+1,1))-AVERAGE(OFFSET($H$3,0,0,'Données projet'!$E$13+1,1))</f>
        <v>163.03280205647224</v>
      </c>
      <c r="CZ28" s="62">
        <f t="shared" si="42"/>
        <v>277.12388047243826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54</v>
      </c>
      <c r="DC28" s="17">
        <f>IF(ISNA(VLOOKUP(A28,'Données projet'!$A$139:$I$159,5,0)),0%,VLOOKUP(A28,'Données projet'!$A$139:$I$159,5,0)*VLOOKUP('Données projet'!$B$13,Paramètres!$A$1:$I$89,7,0))</f>
        <v>0.18000000000000002</v>
      </c>
      <c r="DD28" s="17">
        <f>IF(ISNA(VLOOKUP(A28,'Données projet'!$A$139:$I$159,6,0)),0%,VLOOKUP(A28,'Données projet'!$A$139:$I$159,6,0)*VLOOKUP('Données projet'!$B$13,Paramètres!$A$1:$I$89,7,0))</f>
        <v>9.0000000000000011E-2</v>
      </c>
      <c r="DE28" s="17">
        <f>IF(ISNA(VLOOKUP(A28,'Données projet'!$A$139:$I$159,7,0)),0%,VLOOKUP(A28,'Données projet'!$A$139:$I$159,7,0))</f>
        <v>0.4</v>
      </c>
      <c r="DF28" s="23">
        <f>EXP(-LN(2)/35)*DF27+(1-EXP(-LN(2)/35))/(LN(2)/35)*DB28*DC28*VLOOKUP('Données projet'!$B$13,Paramètres!$A$1:$I$89,3,0)*0.475*44/12</f>
        <v>11.514539730606312</v>
      </c>
      <c r="DG28" s="23">
        <f>EXP(-LN(2)/25)*DG27+(1-EXP(-LN(2)/25))/(LN(2)/25)*Calculateur!DB28*Calculateur!DD28*VLOOKUP('Données projet'!$B$13,Paramètres!$A$1:$I$89,3,0)*0.475*44/12</f>
        <v>3.8401876937302988</v>
      </c>
      <c r="DH28" s="23">
        <f>EXP(-LN(2)/2)*DH27+(1-EXP(-LN(2)/2))/(LN(2)/2)*DB28*DE28*VLOOKUP('Données projet'!$B$13,Paramètres!$A$1:$I$89,3,0)*0.475*44/12</f>
        <v>17.153269772362943</v>
      </c>
      <c r="DI28" s="24">
        <f t="shared" si="15"/>
        <v>32.507997196699556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90.600000000000009</v>
      </c>
      <c r="O29" s="14">
        <f>N29*VLOOKUP('Données projet'!$B$9,Paramètres!$A$1:$I$89,3,0)*VLOOKUP('Données projet'!$B$9,Paramètres!$A$1:$I$89,5,0)</f>
        <v>79.148160000000018</v>
      </c>
      <c r="P29" s="14">
        <f t="shared" si="33"/>
        <v>21.928775232328398</v>
      </c>
      <c r="Q29" s="22">
        <f t="shared" si="2"/>
        <v>176.042328862972</v>
      </c>
      <c r="R29" s="62">
        <f t="shared" si="0"/>
        <v>469.37566219630531</v>
      </c>
      <c r="S29" s="62">
        <f ca="1">AVERAGE(OFFSET($R$3,0,0,'Données projet'!$E$9+1,1))-AVERAGE(OFFSET($H$3,0,0,'Données projet'!$E$9+1,1))</f>
        <v>188.31046827337082</v>
      </c>
      <c r="T29" s="62">
        <f t="shared" si="34"/>
        <v>207.32535726327728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513.97917377376575</v>
      </c>
      <c r="AN29" s="62">
        <f ca="1">AVERAGE(OFFSET($AM$3,0,0,'Données projet'!$E$10+1,1))-AVERAGE(OFFSET($H$3,0,0,'Données projet'!$E$10+1,1))</f>
        <v>310.95287409903602</v>
      </c>
      <c r="AO29" s="62">
        <f t="shared" si="36"/>
        <v>224.10083380795163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28</v>
      </c>
      <c r="BD29" s="13">
        <f>IF('Données projet'!$A$88&gt;35,BD28+BC29-BL28,IF(A29&lt;'Données projet'!$A$88,$BA$205^A29,IF(A29='Données projet'!$A$88,'Données projet'!$B$88,BD28+BC29-BL28)))</f>
        <v>309</v>
      </c>
      <c r="BE29" s="14">
        <f>BD29*VLOOKUP('Données projet'!$B$11,Paramètres!$A$1:$I$89,3,0)*VLOOKUP('Données projet'!$B$11,Paramètres!$A$1:$I$89,5,0)</f>
        <v>172.73100000000002</v>
      </c>
      <c r="BF29" s="14">
        <f t="shared" si="37"/>
        <v>43.701108252019125</v>
      </c>
      <c r="BG29" s="22">
        <f t="shared" si="7"/>
        <v>376.9525885389333</v>
      </c>
      <c r="BH29" s="62">
        <f t="shared" si="8"/>
        <v>670.28592187226661</v>
      </c>
      <c r="BI29" s="62">
        <f ca="1">AVERAGE(OFFSET($BH$3,0,0,'Données projet'!$E$11+1,1))-AVERAGE(OFFSET($H$3,0,0,'Données projet'!$E$11+1,1))</f>
        <v>382.55387448074327</v>
      </c>
      <c r="BJ29" s="62">
        <f t="shared" si="38"/>
        <v>476.29465646955543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3.2388215158368365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20.542109258530544</v>
      </c>
      <c r="BS29" s="24">
        <f t="shared" si="9"/>
        <v>23.780930774367381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13.4</v>
      </c>
      <c r="BY29" s="13">
        <f>IF('Données projet'!$A$114&gt;35,BY28+BX29-CG28,IF(A29&lt;'Données projet'!$A$114,$BV$205^A29,IF(A29='Données projet'!$A$114,'Données projet'!$B$114,BY28+BX29-CG28)))</f>
        <v>140.40000000000003</v>
      </c>
      <c r="BZ29" s="14">
        <f>BY29*VLOOKUP('Données projet'!$B$12,Paramètres!$A$1:$I$89,3,0)*VLOOKUP('Données projet'!$B$12,Paramètres!$A$1:$I$89,5,0)</f>
        <v>83.959200000000024</v>
      </c>
      <c r="CA29" s="14">
        <f t="shared" si="39"/>
        <v>23.102490880810642</v>
      </c>
      <c r="CB29" s="22">
        <f t="shared" si="10"/>
        <v>186.46577828407854</v>
      </c>
      <c r="CC29" s="62">
        <f t="shared" si="11"/>
        <v>479.79911161741188</v>
      </c>
      <c r="CD29" s="62">
        <f ca="1">AVERAGE(OFFSET($CC$3,0,0,'Données projet'!$E$12+1,1))-AVERAGE(OFFSET($H$3,0,0,'Données projet'!$E$12+1,1))</f>
        <v>287.69656598881124</v>
      </c>
      <c r="CE29" s="62">
        <f t="shared" si="40"/>
        <v>221.9773436301067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1.1899264389872712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9.2194936325474242</v>
      </c>
      <c r="CN29" s="24">
        <f t="shared" si="12"/>
        <v>10.409420071534695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13.8</v>
      </c>
      <c r="CT29" s="13">
        <f>IF('Données projet'!$A$140&gt;35,CT28+CS29-DB28,IF(A29&lt;'Données projet'!$A$140,$CQ$205^A29,IF(A29='Données projet'!$A$140,'Données projet'!$B$140,CT28+CS29-DB28)))</f>
        <v>181.8</v>
      </c>
      <c r="CU29" s="18">
        <f>CT29*VLOOKUP('Données projet'!$B$13,Paramètres!$A$1:$I$89,3,0)*VLOOKUP('Données projet'!$B$13,Paramètres!$A$1:$I$89,5,0)</f>
        <v>108.71640000000002</v>
      </c>
      <c r="CV29" s="14">
        <f t="shared" si="41"/>
        <v>29.028352113364011</v>
      </c>
      <c r="CW29" s="22">
        <f t="shared" si="13"/>
        <v>239.90544326410898</v>
      </c>
      <c r="CX29" s="62">
        <f t="shared" si="14"/>
        <v>533.23877659744232</v>
      </c>
      <c r="CY29" s="62">
        <f ca="1">AVERAGE(OFFSET($CX$3,0,0,'Données projet'!$E$13+1,1))-AVERAGE(OFFSET($H$3,0,0,'Données projet'!$E$13+1,1))</f>
        <v>163.03280205647224</v>
      </c>
      <c r="CZ29" s="62">
        <f t="shared" si="42"/>
        <v>277.12388047243826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11.288746629664876</v>
      </c>
      <c r="DG29" s="23">
        <f>EXP(-LN(2)/25)*DG28+(1-EXP(-LN(2)/25))/(LN(2)/25)*Calculateur!DB29*Calculateur!DD29*VLOOKUP('Données projet'!$B$13,Paramètres!$A$1:$I$89,3,0)*0.475*44/12</f>
        <v>3.7351775592985499</v>
      </c>
      <c r="DH29" s="23">
        <f>EXP(-LN(2)/2)*DH28+(1-EXP(-LN(2)/2))/(LN(2)/2)*DB29*DE29*VLOOKUP('Données projet'!$B$13,Paramètres!$A$1:$I$89,3,0)*0.475*44/12</f>
        <v>12.129193375560064</v>
      </c>
      <c r="DI29" s="24">
        <f t="shared" si="15"/>
        <v>27.153117564523491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99.2</v>
      </c>
      <c r="O30" s="14">
        <f>N30*VLOOKUP('Données projet'!$B$9,Paramètres!$A$1:$I$89,3,0)*VLOOKUP('Données projet'!$B$9,Paramètres!$A$1:$I$89,5,0)</f>
        <v>86.661120000000011</v>
      </c>
      <c r="P30" s="14">
        <f t="shared" si="33"/>
        <v>23.75820438670381</v>
      </c>
      <c r="Q30" s="22">
        <f t="shared" si="2"/>
        <v>192.31365664017582</v>
      </c>
      <c r="R30" s="62">
        <f t="shared" si="0"/>
        <v>485.64698997350911</v>
      </c>
      <c r="S30" s="62">
        <f ca="1">AVERAGE(OFFSET($R$3,0,0,'Données projet'!$E$9+1,1))-AVERAGE(OFFSET($H$3,0,0,'Données projet'!$E$9+1,1))</f>
        <v>188.31046827337082</v>
      </c>
      <c r="T30" s="62">
        <f t="shared" si="34"/>
        <v>207.32535726327728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523.260653683383</v>
      </c>
      <c r="AN30" s="62">
        <f ca="1">AVERAGE(OFFSET($AM$3,0,0,'Données projet'!$E$10+1,1))-AVERAGE(OFFSET($H$3,0,0,'Données projet'!$E$10+1,1))</f>
        <v>310.95287409903602</v>
      </c>
      <c r="AO30" s="62">
        <f t="shared" si="36"/>
        <v>224.10083380795163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</v>
      </c>
      <c r="BD30" s="13">
        <f>IF('Données projet'!$A$88&gt;35,BD29+BC30-BL29,IF(A30&lt;'Données projet'!$A$88,$BA$205^A30,IF(A30='Données projet'!$A$88,'Données projet'!$B$88,BD29+BC30-BL29)))</f>
        <v>337</v>
      </c>
      <c r="BE30" s="14">
        <f>BD30*VLOOKUP('Données projet'!$B$11,Paramètres!$A$1:$I$89,3,0)*VLOOKUP('Données projet'!$B$11,Paramètres!$A$1:$I$89,5,0)</f>
        <v>188.38300000000001</v>
      </c>
      <c r="BF30" s="14">
        <f t="shared" si="37"/>
        <v>47.182279474248382</v>
      </c>
      <c r="BG30" s="22">
        <f t="shared" si="7"/>
        <v>410.27619508431599</v>
      </c>
      <c r="BH30" s="62">
        <f t="shared" si="8"/>
        <v>703.60952841764924</v>
      </c>
      <c r="BI30" s="62">
        <f ca="1">AVERAGE(OFFSET($BH$3,0,0,'Données projet'!$E$11+1,1))-AVERAGE(OFFSET($H$3,0,0,'Données projet'!$E$11+1,1))</f>
        <v>382.55387448074327</v>
      </c>
      <c r="BJ30" s="62">
        <f t="shared" si="38"/>
        <v>476.29465646955543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3.175310201397338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14.525464756581911</v>
      </c>
      <c r="BS30" s="24">
        <f t="shared" si="9"/>
        <v>17.700774957979249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13.4</v>
      </c>
      <c r="BY30" s="13">
        <f>IF('Données projet'!$A$114&gt;35,BY29+BX30-CG29,IF(A30&lt;'Données projet'!$A$114,$BV$205^A30,IF(A30='Données projet'!$A$114,'Données projet'!$B$114,BY29+BX30-CG29)))</f>
        <v>153.80000000000004</v>
      </c>
      <c r="BZ30" s="14">
        <f>BY30*VLOOKUP('Données projet'!$B$12,Paramètres!$A$1:$I$89,3,0)*VLOOKUP('Données projet'!$B$12,Paramètres!$A$1:$I$89,5,0)</f>
        <v>91.972400000000022</v>
      </c>
      <c r="CA30" s="14">
        <f t="shared" si="39"/>
        <v>25.040318527820091</v>
      </c>
      <c r="CB30" s="22">
        <f t="shared" si="10"/>
        <v>203.79715143595334</v>
      </c>
      <c r="CC30" s="62">
        <f t="shared" si="11"/>
        <v>497.13048476928668</v>
      </c>
      <c r="CD30" s="62">
        <f ca="1">AVERAGE(OFFSET($CC$3,0,0,'Données projet'!$E$12+1,1))-AVERAGE(OFFSET($H$3,0,0,'Données projet'!$E$12+1,1))</f>
        <v>287.69656598881124</v>
      </c>
      <c r="CE30" s="62">
        <f t="shared" si="40"/>
        <v>221.9773436301067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1.1665927073021936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6.5191664666804803</v>
      </c>
      <c r="CN30" s="24">
        <f t="shared" si="12"/>
        <v>7.6857591739826736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13.8</v>
      </c>
      <c r="CT30" s="13">
        <f>IF('Données projet'!$A$140&gt;35,CT29+CS30-DB29,IF(A30&lt;'Données projet'!$A$140,$CQ$205^A30,IF(A30='Données projet'!$A$140,'Données projet'!$B$140,CT29+CS30-DB29)))</f>
        <v>195.60000000000002</v>
      </c>
      <c r="CU30" s="18">
        <f>CT30*VLOOKUP('Données projet'!$B$13,Paramètres!$A$1:$I$89,3,0)*VLOOKUP('Données projet'!$B$13,Paramètres!$A$1:$I$89,5,0)</f>
        <v>116.96880000000002</v>
      </c>
      <c r="CV30" s="14">
        <f t="shared" si="41"/>
        <v>30.966972418998537</v>
      </c>
      <c r="CW30" s="22">
        <f t="shared" si="13"/>
        <v>257.6548036297558</v>
      </c>
      <c r="CX30" s="62">
        <f t="shared" si="14"/>
        <v>550.98813696308912</v>
      </c>
      <c r="CY30" s="62">
        <f ca="1">AVERAGE(OFFSET($CX$3,0,0,'Données projet'!$E$13+1,1))-AVERAGE(OFFSET($H$3,0,0,'Données projet'!$E$13+1,1))</f>
        <v>163.03280205647224</v>
      </c>
      <c r="CZ30" s="62">
        <f t="shared" si="42"/>
        <v>277.12388047243826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11.067381193712711</v>
      </c>
      <c r="DG30" s="23">
        <f>EXP(-LN(2)/25)*DG29+(1-EXP(-LN(2)/25))/(LN(2)/25)*Calculateur!DB30*Calculateur!DD30*VLOOKUP('Données projet'!$B$13,Paramètres!$A$1:$I$89,3,0)*0.475*44/12</f>
        <v>3.6330389325150803</v>
      </c>
      <c r="DH30" s="23">
        <f>EXP(-LN(2)/2)*DH29+(1-EXP(-LN(2)/2))/(LN(2)/2)*DB30*DE30*VLOOKUP('Données projet'!$B$13,Paramètres!$A$1:$I$89,3,0)*0.475*44/12</f>
        <v>8.5766348861814716</v>
      </c>
      <c r="DI30" s="24">
        <f t="shared" si="15"/>
        <v>23.277055012409264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107.8</v>
      </c>
      <c r="O31" s="14">
        <f>N31*VLOOKUP('Données projet'!$B$9,Paramètres!$A$1:$I$89,3,0)*VLOOKUP('Données projet'!$B$9,Paramètres!$A$1:$I$89,5,0)</f>
        <v>94.174080000000004</v>
      </c>
      <c r="P31" s="14">
        <f t="shared" si="33"/>
        <v>25.569241067746205</v>
      </c>
      <c r="Q31" s="22">
        <f t="shared" si="2"/>
        <v>208.55295085965795</v>
      </c>
      <c r="R31" s="62">
        <f t="shared" si="0"/>
        <v>501.8862841929913</v>
      </c>
      <c r="S31" s="62">
        <f ca="1">AVERAGE(OFFSET($R$3,0,0,'Données projet'!$E$9+1,1))-AVERAGE(OFFSET($H$3,0,0,'Données projet'!$E$9+1,1))</f>
        <v>188.31046827337082</v>
      </c>
      <c r="T31" s="62">
        <f t="shared" si="34"/>
        <v>207.32535726327728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532.53356842626727</v>
      </c>
      <c r="AN31" s="62">
        <f ca="1">AVERAGE(OFFSET($AM$3,0,0,'Données projet'!$E$10+1,1))-AVERAGE(OFFSET($H$3,0,0,'Données projet'!$E$10+1,1))</f>
        <v>310.95287409903602</v>
      </c>
      <c r="AO31" s="62">
        <f t="shared" si="36"/>
        <v>224.10083380795163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28</v>
      </c>
      <c r="BD31" s="13">
        <f>IF('Données projet'!$A$88&gt;35,BD30+BC31-BL30,IF(A31&lt;'Données projet'!$A$88,$BA$205^A31,IF(A31='Données projet'!$A$88,'Données projet'!$B$88,BD30+BC31-BL30)))</f>
        <v>365</v>
      </c>
      <c r="BE31" s="14">
        <f>BD31*VLOOKUP('Données projet'!$B$11,Paramètres!$A$1:$I$89,3,0)*VLOOKUP('Données projet'!$B$11,Paramètres!$A$1:$I$89,5,0)</f>
        <v>204.035</v>
      </c>
      <c r="BF31" s="14">
        <f t="shared" si="37"/>
        <v>50.629905099971396</v>
      </c>
      <c r="BG31" s="22">
        <f t="shared" si="7"/>
        <v>443.54137638245015</v>
      </c>
      <c r="BH31" s="62">
        <f t="shared" si="8"/>
        <v>736.87470971578341</v>
      </c>
      <c r="BI31" s="62">
        <f ca="1">AVERAGE(OFFSET($BH$3,0,0,'Données projet'!$E$11+1,1))-AVERAGE(OFFSET($H$3,0,0,'Données projet'!$E$11+1,1))</f>
        <v>382.55387448074327</v>
      </c>
      <c r="BJ31" s="62">
        <f t="shared" si="38"/>
        <v>476.29465646955543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3.1130443050959209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10.271054629265274</v>
      </c>
      <c r="BS31" s="24">
        <f t="shared" si="9"/>
        <v>13.384098934361194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13.4</v>
      </c>
      <c r="BY31" s="13">
        <f>IF('Données projet'!$A$114&gt;35,BY30+BX31-CG30,IF(A31&lt;'Données projet'!$A$114,$BV$205^A31,IF(A31='Données projet'!$A$114,'Données projet'!$B$114,BY30+BX31-CG30)))</f>
        <v>167.20000000000005</v>
      </c>
      <c r="BZ31" s="14">
        <f>BY31*VLOOKUP('Données projet'!$B$12,Paramètres!$A$1:$I$89,3,0)*VLOOKUP('Données projet'!$B$12,Paramètres!$A$1:$I$89,5,0)</f>
        <v>99.985600000000034</v>
      </c>
      <c r="CA31" s="14">
        <f t="shared" si="39"/>
        <v>26.958566918169435</v>
      </c>
      <c r="CB31" s="22">
        <f t="shared" si="10"/>
        <v>221.09442404914515</v>
      </c>
      <c r="CC31" s="62">
        <f t="shared" si="11"/>
        <v>514.42775738247849</v>
      </c>
      <c r="CD31" s="62">
        <f ca="1">AVERAGE(OFFSET($CC$3,0,0,'Données projet'!$E$12+1,1))-AVERAGE(OFFSET($H$3,0,0,'Données projet'!$E$12+1,1))</f>
        <v>287.69656598881124</v>
      </c>
      <c r="CE31" s="62">
        <f t="shared" si="40"/>
        <v>221.9773436301067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1.143716535863289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4.609746816273713</v>
      </c>
      <c r="CN31" s="24">
        <f t="shared" si="12"/>
        <v>5.7534633521370022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13.8</v>
      </c>
      <c r="CT31" s="13">
        <f>IF('Données projet'!$A$140&gt;35,CT30+CS31-DB30,IF(A31&lt;'Données projet'!$A$140,$CQ$205^A31,IF(A31='Données projet'!$A$140,'Données projet'!$B$140,CT30+CS31-DB30)))</f>
        <v>209.40000000000003</v>
      </c>
      <c r="CU31" s="18">
        <f>CT31*VLOOKUP('Données projet'!$B$13,Paramètres!$A$1:$I$89,3,0)*VLOOKUP('Données projet'!$B$13,Paramètres!$A$1:$I$89,5,0)</f>
        <v>125.22120000000004</v>
      </c>
      <c r="CV31" s="14">
        <f t="shared" si="41"/>
        <v>32.889723553463881</v>
      </c>
      <c r="CW31" s="22">
        <f t="shared" si="13"/>
        <v>275.37652518894964</v>
      </c>
      <c r="CX31" s="62">
        <f t="shared" si="14"/>
        <v>568.70985852228296</v>
      </c>
      <c r="CY31" s="62">
        <f ca="1">AVERAGE(OFFSET($CX$3,0,0,'Données projet'!$E$13+1,1))-AVERAGE(OFFSET($H$3,0,0,'Données projet'!$E$13+1,1))</f>
        <v>163.03280205647224</v>
      </c>
      <c r="CZ31" s="62">
        <f t="shared" si="42"/>
        <v>277.12388047243826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10.850356598939982</v>
      </c>
      <c r="DG31" s="23">
        <f>EXP(-LN(2)/25)*DG30+(1-EXP(-LN(2)/25))/(LN(2)/25)*Calculateur!DB31*Calculateur!DD31*VLOOKUP('Données projet'!$B$13,Paramètres!$A$1:$I$89,3,0)*0.475*44/12</f>
        <v>3.5336932918522415</v>
      </c>
      <c r="DH31" s="23">
        <f>EXP(-LN(2)/2)*DH30+(1-EXP(-LN(2)/2))/(LN(2)/2)*DB31*DE31*VLOOKUP('Données projet'!$B$13,Paramètres!$A$1:$I$89,3,0)*0.475*44/12</f>
        <v>6.0645966877800319</v>
      </c>
      <c r="DI31" s="24">
        <f t="shared" si="15"/>
        <v>20.448646578572255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116.39999999999999</v>
      </c>
      <c r="O32" s="14">
        <f>N32*VLOOKUP('Données projet'!$B$9,Paramètres!$A$1:$I$89,3,0)*VLOOKUP('Données projet'!$B$9,Paramètres!$A$1:$I$89,5,0)</f>
        <v>101.68704</v>
      </c>
      <c r="P32" s="14">
        <f t="shared" si="33"/>
        <v>27.363519398004541</v>
      </c>
      <c r="Q32" s="22">
        <f t="shared" si="2"/>
        <v>224.76305761819125</v>
      </c>
      <c r="R32" s="62">
        <f t="shared" si="0"/>
        <v>518.09639095152454</v>
      </c>
      <c r="S32" s="62">
        <f ca="1">AVERAGE(OFFSET($R$3,0,0,'Données projet'!$E$9+1,1))-AVERAGE(OFFSET($H$3,0,0,'Données projet'!$E$9+1,1))</f>
        <v>188.31046827337082</v>
      </c>
      <c r="T32" s="62">
        <f t="shared" si="34"/>
        <v>207.32535726327728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541.79829717248401</v>
      </c>
      <c r="AN32" s="62">
        <f ca="1">AVERAGE(OFFSET($AM$3,0,0,'Données projet'!$E$10+1,1))-AVERAGE(OFFSET($H$3,0,0,'Données projet'!$E$10+1,1))</f>
        <v>310.95287409903602</v>
      </c>
      <c r="AO32" s="62">
        <f t="shared" si="36"/>
        <v>224.10083380795163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28</v>
      </c>
      <c r="BD32" s="13">
        <f>IF('Données projet'!$A$88&gt;35,BD31+BC32-BL31,IF(A32&lt;'Données projet'!$A$88,$BA$205^A32,IF(A32='Données projet'!$A$88,'Données projet'!$B$88,BD31+BC32-BL31)))</f>
        <v>393</v>
      </c>
      <c r="BE32" s="14">
        <f>BD32*VLOOKUP('Données projet'!$B$11,Paramètres!$A$1:$I$89,3,0)*VLOOKUP('Données projet'!$B$11,Paramètres!$A$1:$I$89,5,0)</f>
        <v>219.68700000000001</v>
      </c>
      <c r="BF32" s="14">
        <f t="shared" si="37"/>
        <v>54.046851081096591</v>
      </c>
      <c r="BG32" s="22">
        <f t="shared" si="7"/>
        <v>476.75312396624321</v>
      </c>
      <c r="BH32" s="62">
        <f t="shared" si="8"/>
        <v>770.08645729957652</v>
      </c>
      <c r="BI32" s="62">
        <f ca="1">AVERAGE(OFFSET($BH$3,0,0,'Données projet'!$E$11+1,1))-AVERAGE(OFFSET($H$3,0,0,'Données projet'!$E$11+1,1))</f>
        <v>382.55387448074327</v>
      </c>
      <c r="BJ32" s="62">
        <f t="shared" si="38"/>
        <v>476.29465646955543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3.0519994050425279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7.2627323782909565</v>
      </c>
      <c r="BS32" s="24">
        <f t="shared" si="9"/>
        <v>10.314731783333485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13.4</v>
      </c>
      <c r="BY32" s="13">
        <f>IF('Données projet'!$A$114&gt;35,BY31+BX32-CG31,IF(A32&lt;'Données projet'!$A$114,$BV$205^A32,IF(A32='Données projet'!$A$114,'Données projet'!$B$114,BY31+BX32-CG31)))</f>
        <v>180.60000000000005</v>
      </c>
      <c r="BZ32" s="14">
        <f>BY32*VLOOKUP('Données projet'!$B$12,Paramètres!$A$1:$I$89,3,0)*VLOOKUP('Données projet'!$B$12,Paramètres!$A$1:$I$89,5,0)</f>
        <v>107.99880000000003</v>
      </c>
      <c r="CA32" s="14">
        <f t="shared" si="39"/>
        <v>28.85898360070161</v>
      </c>
      <c r="CB32" s="22">
        <f t="shared" si="10"/>
        <v>238.36063977122203</v>
      </c>
      <c r="CC32" s="62">
        <f t="shared" si="11"/>
        <v>531.69397310455531</v>
      </c>
      <c r="CD32" s="62">
        <f ca="1">AVERAGE(OFFSET($CC$3,0,0,'Données projet'!$E$12+1,1))-AVERAGE(OFFSET($H$3,0,0,'Données projet'!$E$12+1,1))</f>
        <v>287.69656598881124</v>
      </c>
      <c r="CE32" s="62">
        <f t="shared" si="40"/>
        <v>221.9773436301067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1.1212889521932148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3.2595832333402406</v>
      </c>
      <c r="CN32" s="24">
        <f t="shared" si="12"/>
        <v>4.3808721855334554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13.8</v>
      </c>
      <c r="CT32" s="13">
        <f>IF('Données projet'!$A$140&gt;35,CT31+CS32-DB31,IF(A32&lt;'Données projet'!$A$140,$CQ$205^A32,IF(A32='Données projet'!$A$140,'Données projet'!$B$140,CT31+CS32-DB31)))</f>
        <v>223.20000000000005</v>
      </c>
      <c r="CU32" s="18">
        <f>CT32*VLOOKUP('Données projet'!$B$13,Paramètres!$A$1:$I$89,3,0)*VLOOKUP('Données projet'!$B$13,Paramètres!$A$1:$I$89,5,0)</f>
        <v>133.47360000000003</v>
      </c>
      <c r="CV32" s="14">
        <f t="shared" si="41"/>
        <v>34.79777034418013</v>
      </c>
      <c r="CW32" s="22">
        <f t="shared" si="13"/>
        <v>293.0726366827804</v>
      </c>
      <c r="CX32" s="62">
        <f t="shared" si="14"/>
        <v>586.40597001611377</v>
      </c>
      <c r="CY32" s="62">
        <f ca="1">AVERAGE(OFFSET($CX$3,0,0,'Données projet'!$E$13+1,1))-AVERAGE(OFFSET($H$3,0,0,'Données projet'!$E$13+1,1))</f>
        <v>163.03280205647224</v>
      </c>
      <c r="CZ32" s="62">
        <f t="shared" si="42"/>
        <v>277.12388047243826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10.637587724098815</v>
      </c>
      <c r="DG32" s="23">
        <f>EXP(-LN(2)/25)*DG31+(1-EXP(-LN(2)/25))/(LN(2)/25)*Calculateur!DB32*Calculateur!DD32*VLOOKUP('Données projet'!$B$13,Paramètres!$A$1:$I$89,3,0)*0.475*44/12</f>
        <v>3.437064262957688</v>
      </c>
      <c r="DH32" s="23">
        <f>EXP(-LN(2)/2)*DH31+(1-EXP(-LN(2)/2))/(LN(2)/2)*DB32*DE32*VLOOKUP('Données projet'!$B$13,Paramètres!$A$1:$I$89,3,0)*0.475*44/12</f>
        <v>4.2883174430907358</v>
      </c>
      <c r="DI32" s="24">
        <f t="shared" si="15"/>
        <v>18.362969430147238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125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124.99999999999999</v>
      </c>
      <c r="O33" s="14">
        <f>N33*VLOOKUP('Données projet'!$B$9,Paramètres!$A$1:$I$89,3,0)*VLOOKUP('Données projet'!$B$9,Paramètres!$A$1:$I$89,5,0)</f>
        <v>109.2</v>
      </c>
      <c r="P33" s="14">
        <f t="shared" si="33"/>
        <v>29.142418334948612</v>
      </c>
      <c r="Q33" s="22">
        <f t="shared" si="2"/>
        <v>240.94637860003544</v>
      </c>
      <c r="R33" s="62">
        <f t="shared" si="0"/>
        <v>534.27971193336873</v>
      </c>
      <c r="S33" s="62">
        <f ca="1">AVERAGE(OFFSET($R$3,0,0,'Données projet'!$E$9+1,1))-AVERAGE(OFFSET($H$3,0,0,'Données projet'!$E$9+1,1))</f>
        <v>188.31046827337082</v>
      </c>
      <c r="T33" s="62">
        <f t="shared" si="34"/>
        <v>207.32535726327728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310.95287409903602</v>
      </c>
      <c r="AO33" s="62">
        <f t="shared" si="36"/>
        <v>224.10083380795163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421</v>
      </c>
      <c r="BB33" s="13">
        <f>VLOOKUP(A33,'Données projet'!$A$87:$I$107,9,0)</f>
        <v>28</v>
      </c>
      <c r="BC33" s="13">
        <f t="array" ref="BC33">INDEX(BB:BB,MIN(IF(ISNUMBER(BB33:BB229),ROW(BB33:BB229),"")))</f>
        <v>28</v>
      </c>
      <c r="BD33" s="13">
        <f>IF('Données projet'!$A$88&gt;35,BD32+BC33-BL32,IF(A33&lt;'Données projet'!$A$88,$BA$205^A33,IF(A33='Données projet'!$A$88,'Données projet'!$B$88,BD32+BC33-BL32)))</f>
        <v>421</v>
      </c>
      <c r="BE33" s="14">
        <f>BD33*VLOOKUP('Données projet'!$B$11,Paramètres!$A$1:$I$89,3,0)*VLOOKUP('Données projet'!$B$11,Paramètres!$A$1:$I$89,5,0)</f>
        <v>235.339</v>
      </c>
      <c r="BF33" s="14">
        <f t="shared" si="37"/>
        <v>57.43555185051494</v>
      </c>
      <c r="BG33" s="22">
        <f t="shared" si="7"/>
        <v>509.91567780631357</v>
      </c>
      <c r="BH33" s="62">
        <f t="shared" si="8"/>
        <v>803.24901113964688</v>
      </c>
      <c r="BI33" s="62">
        <f ca="1">AVERAGE(OFFSET($BH$3,0,0,'Données projet'!$E$11+1,1))-AVERAGE(OFFSET($H$3,0,0,'Données projet'!$E$11+1,1))</f>
        <v>382.55387448074327</v>
      </c>
      <c r="BJ33" s="62">
        <f t="shared" si="38"/>
        <v>476.29465646955543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0.13750000000000001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0.75</v>
      </c>
      <c r="BP33" s="23">
        <f>EXP(-LN(2)/35)*BP32+(1-EXP(-LN(2)/35))/(LN(2)/35)*BL33*BM33*VLOOKUP('Données projet'!$B$11,Paramètres!$A$1:$I$89,3,0)*0.475*44/12</f>
        <v>8.4981568228814393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30.768700414483064</v>
      </c>
      <c r="BS33" s="24">
        <f t="shared" si="9"/>
        <v>39.266857237364505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194</v>
      </c>
      <c r="BW33" s="13">
        <f>VLOOKUP(A33,'Données projet'!$A$113:$I$133,9,0)</f>
        <v>13.4</v>
      </c>
      <c r="BX33" s="13">
        <f t="array" ref="BX33">INDEX(BW:BW,MIN(IF(ISNUMBER(BW33:BW229),ROW(BW33:BW229),"")))</f>
        <v>13.4</v>
      </c>
      <c r="BY33" s="13">
        <f>IF('Données projet'!$A$114&gt;35,BY32+BX33-CG32,IF(A33&lt;'Données projet'!$A$114,$BV$205^A33,IF(A33='Données projet'!$A$114,'Données projet'!$B$114,BY32+BX33-CG32)))</f>
        <v>194.00000000000006</v>
      </c>
      <c r="BZ33" s="14">
        <f>BY33*VLOOKUP('Données projet'!$B$12,Paramètres!$A$1:$I$89,3,0)*VLOOKUP('Données projet'!$B$12,Paramètres!$A$1:$I$89,5,0)</f>
        <v>116.01200000000003</v>
      </c>
      <c r="CA33" s="14">
        <f t="shared" si="39"/>
        <v>30.743042086238173</v>
      </c>
      <c r="CB33" s="22">
        <f t="shared" si="10"/>
        <v>255.59836496686489</v>
      </c>
      <c r="CC33" s="62">
        <f t="shared" si="11"/>
        <v>548.93169830019815</v>
      </c>
      <c r="CD33" s="62">
        <f ca="1">AVERAGE(OFFSET($CC$3,0,0,'Données projet'!$E$12+1,1))-AVERAGE(OFFSET($H$3,0,0,'Données projet'!$E$12+1,1))</f>
        <v>287.69656598881124</v>
      </c>
      <c r="CE33" s="62">
        <f t="shared" si="40"/>
        <v>221.9773436301067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34</v>
      </c>
      <c r="CH33" s="17">
        <f>IF(ISNA(VLOOKUP(A33,'Données projet'!$A$113:$I$133,5,0)),0%,VLOOKUP(A33,'Données projet'!$A$113:$I$133,5,0)*VLOOKUP('Données projet'!$B$12,Paramètres!$A$1:$I$89,7,0))</f>
        <v>0.18000000000000002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0.6</v>
      </c>
      <c r="CK33" s="23">
        <f>EXP(-LN(2)/35)*CK32+(1-EXP(-LN(2)/35))/(LN(2)/35)*CG33*CH33*VLOOKUP('Données projet'!$B$12,Paramètres!$A$1:$I$89,3,0)*0.475*44/12</f>
        <v>5.9542086911988479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16.117201652121722</v>
      </c>
      <c r="CN33" s="24">
        <f t="shared" si="12"/>
        <v>22.071410343320569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237</v>
      </c>
      <c r="CR33" s="13">
        <f>VLOOKUP(A33,'Données projet'!$A$139:$I$159,9,0)</f>
        <v>13.8</v>
      </c>
      <c r="CS33" s="13">
        <f t="array" ref="CS33">INDEX(CR:CR,MIN(IF(ISNUMBER(CR33:CR229),ROW(CR33:CR229),"")))</f>
        <v>13.8</v>
      </c>
      <c r="CT33" s="13">
        <f>IF('Données projet'!$A$140&gt;35,CT32+CS33-DB32,IF(A33&lt;'Données projet'!$A$140,$CQ$205^A33,IF(A33='Données projet'!$A$140,'Données projet'!$B$140,CT32+CS33-DB32)))</f>
        <v>237.00000000000006</v>
      </c>
      <c r="CU33" s="18">
        <f>CT33*VLOOKUP('Données projet'!$B$13,Paramètres!$A$1:$I$89,3,0)*VLOOKUP('Données projet'!$B$13,Paramètres!$A$1:$I$89,5,0)</f>
        <v>141.72600000000003</v>
      </c>
      <c r="CV33" s="14">
        <f t="shared" si="41"/>
        <v>36.692125440686915</v>
      </c>
      <c r="CW33" s="22">
        <f t="shared" si="13"/>
        <v>310.74490180919639</v>
      </c>
      <c r="CX33" s="62">
        <f t="shared" si="14"/>
        <v>604.07823514252971</v>
      </c>
      <c r="CY33" s="62">
        <f ca="1">AVERAGE(OFFSET($CX$3,0,0,'Données projet'!$E$13+1,1))-AVERAGE(OFFSET($H$3,0,0,'Données projet'!$E$13+1,1))</f>
        <v>163.03280205647224</v>
      </c>
      <c r="CZ33" s="62">
        <f t="shared" si="42"/>
        <v>277.12388047243826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0.18000000000000002</v>
      </c>
      <c r="DD33" s="17">
        <f>IF(ISNA(VLOOKUP(A33,'Données projet'!$A$139:$I$159,6,0)),0%,VLOOKUP(A33,'Données projet'!$A$139:$I$159,6,0)*VLOOKUP('Données projet'!$B$13,Paramètres!$A$1:$I$89,7,0))</f>
        <v>9.0000000000000011E-2</v>
      </c>
      <c r="DE33" s="17">
        <f>IF(ISNA(VLOOKUP(A33,'Données projet'!$A$139:$I$159,7,0)),0%,VLOOKUP(A33,'Données projet'!$A$139:$I$159,7,0))</f>
        <v>0.4</v>
      </c>
      <c r="DF33" s="23">
        <f>EXP(-LN(2)/35)*DF32+(1-EXP(-LN(2)/35))/(LN(2)/35)*DB33*DC33*VLOOKUP('Données projet'!$B$13,Paramètres!$A$1:$I$89,3,0)*0.475*44/12</f>
        <v>10.428991117117084</v>
      </c>
      <c r="DG33" s="23">
        <f>EXP(-LN(2)/25)*DG32+(1-EXP(-LN(2)/25))/(LN(2)/25)*Calculateur!DB33*Calculateur!DD33*VLOOKUP('Données projet'!$B$13,Paramètres!$A$1:$I$89,3,0)*0.475*44/12</f>
        <v>3.343077559939756</v>
      </c>
      <c r="DH33" s="23">
        <f>EXP(-LN(2)/2)*DH32+(1-EXP(-LN(2)/2))/(LN(2)/2)*DB33*DE33*VLOOKUP('Données projet'!$B$13,Paramètres!$A$1:$I$89,3,0)*0.475*44/12</f>
        <v>3.032298343890016</v>
      </c>
      <c r="DI33" s="24">
        <f t="shared" si="15"/>
        <v>16.804367020946856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106.79999999999998</v>
      </c>
      <c r="O34" s="14">
        <f>N34*VLOOKUP('Données projet'!$B$9,Paramètres!$A$1:$I$89,3,0)*VLOOKUP('Données projet'!$B$9,Paramètres!$A$1:$I$89,5,0)</f>
        <v>93.300479999999993</v>
      </c>
      <c r="P34" s="14">
        <f t="shared" si="33"/>
        <v>25.35954513622837</v>
      </c>
      <c r="Q34" s="22">
        <f t="shared" si="2"/>
        <v>206.66621044559773</v>
      </c>
      <c r="R34" s="62">
        <f t="shared" si="0"/>
        <v>499.99954377893107</v>
      </c>
      <c r="S34" s="62">
        <f ca="1">AVERAGE(OFFSET($R$3,0,0,'Données projet'!$E$9+1,1))-AVERAGE(OFFSET($H$3,0,0,'Données projet'!$E$9+1,1))</f>
        <v>188.31046827337082</v>
      </c>
      <c r="T34" s="62">
        <f t="shared" si="34"/>
        <v>207.32535726327728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310.95287409903602</v>
      </c>
      <c r="AO34" s="62">
        <f t="shared" si="36"/>
        <v>224.10083380795163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27.6</v>
      </c>
      <c r="BD34" s="13">
        <f>IF('Données projet'!$A$88&gt;35,BD33+BC34-BL33,IF(A34&lt;'Données projet'!$A$88,$BA$205^A34,IF(A34='Données projet'!$A$88,'Données projet'!$B$88,BD33+BC34-BL33)))</f>
        <v>394.6</v>
      </c>
      <c r="BE34" s="14">
        <f>BD34*VLOOKUP('Données projet'!$B$11,Paramètres!$A$1:$I$89,3,0)*VLOOKUP('Données projet'!$B$11,Paramètres!$A$1:$I$89,5,0)</f>
        <v>220.5814</v>
      </c>
      <c r="BF34" s="14">
        <f t="shared" si="37"/>
        <v>54.241230721401301</v>
      </c>
      <c r="BG34" s="22">
        <f t="shared" si="7"/>
        <v>478.64941517310723</v>
      </c>
      <c r="BH34" s="62">
        <f t="shared" si="8"/>
        <v>771.98274850644054</v>
      </c>
      <c r="BI34" s="62">
        <f ca="1">AVERAGE(OFFSET($BH$3,0,0,'Données projet'!$E$11+1,1))-AVERAGE(OFFSET($H$3,0,0,'Données projet'!$E$11+1,1))</f>
        <v>382.55387448074327</v>
      </c>
      <c r="BJ34" s="62">
        <f t="shared" si="38"/>
        <v>476.29465646955543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8.3315131509485809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21.756756711378312</v>
      </c>
      <c r="BS34" s="24">
        <f t="shared" si="9"/>
        <v>30.088269862326893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14.6</v>
      </c>
      <c r="BY34" s="13">
        <f>IF('Données projet'!$A$114&gt;35,BY33+BX34-CG33,IF(A34&lt;'Données projet'!$A$114,$BV$205^A34,IF(A34='Données projet'!$A$114,'Données projet'!$B$114,BY33+BX34-CG33)))</f>
        <v>174.60000000000005</v>
      </c>
      <c r="BZ34" s="14">
        <f>BY34*VLOOKUP('Données projet'!$B$12,Paramètres!$A$1:$I$89,3,0)*VLOOKUP('Données projet'!$B$12,Paramètres!$A$1:$I$89,5,0)</f>
        <v>104.41080000000004</v>
      </c>
      <c r="CA34" s="14">
        <f t="shared" si="39"/>
        <v>28.010155571424168</v>
      </c>
      <c r="CB34" s="22">
        <f t="shared" si="10"/>
        <v>230.63316428689714</v>
      </c>
      <c r="CC34" s="62">
        <f t="shared" si="11"/>
        <v>523.96649762023048</v>
      </c>
      <c r="CD34" s="62">
        <f ca="1">AVERAGE(OFFSET($CC$3,0,0,'Données projet'!$E$12+1,1))-AVERAGE(OFFSET($H$3,0,0,'Données projet'!$E$12+1,1))</f>
        <v>287.69656598881124</v>
      </c>
      <c r="CE34" s="62">
        <f t="shared" si="40"/>
        <v>221.9773436301067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5.8374502904731385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11.396582581966298</v>
      </c>
      <c r="CN34" s="24">
        <f t="shared" si="12"/>
        <v>17.234032872439435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12.625</v>
      </c>
      <c r="CT34" s="13">
        <f>IF('Données projet'!$A$140&gt;35,CT33+CS34-DB33,IF(A34&lt;'Données projet'!$A$140,$CQ$205^A34,IF(A34='Données projet'!$A$140,'Données projet'!$B$140,CT33+CS34-DB33)))</f>
        <v>249.62500000000006</v>
      </c>
      <c r="CU34" s="18">
        <f>CT34*VLOOKUP('Données projet'!$B$13,Paramètres!$A$1:$I$89,3,0)*VLOOKUP('Données projet'!$B$13,Paramètres!$A$1:$I$89,5,0)</f>
        <v>149.27575000000004</v>
      </c>
      <c r="CV34" s="14">
        <f t="shared" si="41"/>
        <v>38.413950875340568</v>
      </c>
      <c r="CW34" s="22">
        <f t="shared" si="13"/>
        <v>326.89289569121826</v>
      </c>
      <c r="CX34" s="62">
        <f t="shared" si="14"/>
        <v>620.22622902455157</v>
      </c>
      <c r="CY34" s="62">
        <f ca="1">AVERAGE(OFFSET($CX$3,0,0,'Données projet'!$E$13+1,1))-AVERAGE(OFFSET($H$3,0,0,'Données projet'!$E$13+1,1))</f>
        <v>163.03280205647224</v>
      </c>
      <c r="CZ34" s="62">
        <f t="shared" si="42"/>
        <v>277.12388047243826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10.224484962366898</v>
      </c>
      <c r="DG34" s="23">
        <f>EXP(-LN(2)/25)*DG33+(1-EXP(-LN(2)/25))/(LN(2)/25)*Calculateur!DB34*Calculateur!DD34*VLOOKUP('Données projet'!$B$13,Paramètres!$A$1:$I$89,3,0)*0.475*44/12</f>
        <v>3.2516609282583953</v>
      </c>
      <c r="DH34" s="23">
        <f>EXP(-LN(2)/2)*DH33+(1-EXP(-LN(2)/2))/(LN(2)/2)*DB34*DE34*VLOOKUP('Données projet'!$B$13,Paramètres!$A$1:$I$89,3,0)*0.475*44/12</f>
        <v>2.1441587215453679</v>
      </c>
      <c r="DI34" s="24">
        <f t="shared" si="15"/>
        <v>15.620304612170662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114.59999999999998</v>
      </c>
      <c r="O35" s="14">
        <f>N35*VLOOKUP('Données projet'!$B$9,Paramètres!$A$1:$I$89,3,0)*VLOOKUP('Données projet'!$B$9,Paramètres!$A$1:$I$89,5,0)</f>
        <v>100.11456000000001</v>
      </c>
      <c r="P35" s="14">
        <f t="shared" si="33"/>
        <v>26.989288069695206</v>
      </c>
      <c r="Q35" s="22">
        <f t="shared" ref="Q35:Q66" si="53">(O35+P35)*0.475*44/12</f>
        <v>221.37253538805248</v>
      </c>
      <c r="R35" s="62">
        <f t="shared" si="0"/>
        <v>514.70586872138574</v>
      </c>
      <c r="S35" s="62">
        <f ca="1">AVERAGE(OFFSET($R$3,0,0,'Données projet'!$E$9+1,1))-AVERAGE(OFFSET($H$3,0,0,'Données projet'!$E$9+1,1))</f>
        <v>188.31046827337082</v>
      </c>
      <c r="T35" s="62">
        <f t="shared" si="34"/>
        <v>207.32535726327728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310.95287409903602</v>
      </c>
      <c r="AO35" s="62">
        <f t="shared" si="36"/>
        <v>224.10083380795163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27.6</v>
      </c>
      <c r="BD35" s="13">
        <f>IF('Données projet'!$A$88&gt;35,BD34+BC35-BL34,IF(A35&lt;'Données projet'!$A$88,$BA$205^A35,IF(A35='Données projet'!$A$88,'Données projet'!$B$88,BD34+BC35-BL34)))</f>
        <v>422.20000000000005</v>
      </c>
      <c r="BE35" s="14">
        <f>BD35*VLOOKUP('Données projet'!$B$11,Paramètres!$A$1:$I$89,3,0)*VLOOKUP('Données projet'!$B$11,Paramètres!$A$1:$I$89,5,0)</f>
        <v>236.00980000000004</v>
      </c>
      <c r="BF35" s="14">
        <f t="shared" si="37"/>
        <v>57.580183613654185</v>
      </c>
      <c r="BG35" s="22">
        <f t="shared" si="7"/>
        <v>511.3358881271144</v>
      </c>
      <c r="BH35" s="62">
        <f t="shared" si="8"/>
        <v>804.66922146044772</v>
      </c>
      <c r="BI35" s="62">
        <f ca="1">AVERAGE(OFFSET($BH$3,0,0,'Données projet'!$E$11+1,1))-AVERAGE(OFFSET($H$3,0,0,'Données projet'!$E$11+1,1))</f>
        <v>382.55387448074327</v>
      </c>
      <c r="BJ35" s="62">
        <f t="shared" si="38"/>
        <v>476.29465646955543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8.1681372597797228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15.384350207241534</v>
      </c>
      <c r="BS35" s="24">
        <f t="shared" si="9"/>
        <v>23.552487467021258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14.6</v>
      </c>
      <c r="BY35" s="13">
        <f>IF('Données projet'!$A$114&gt;35,BY34+BX35-CG34,IF(A35&lt;'Données projet'!$A$114,$BV$205^A35,IF(A35='Données projet'!$A$114,'Données projet'!$B$114,BY34+BX35-CG34)))</f>
        <v>189.20000000000005</v>
      </c>
      <c r="BZ35" s="14">
        <f>BY35*VLOOKUP('Données projet'!$B$12,Paramètres!$A$1:$I$89,3,0)*VLOOKUP('Données projet'!$B$12,Paramètres!$A$1:$I$89,5,0)</f>
        <v>113.14160000000004</v>
      </c>
      <c r="CA35" s="14">
        <f t="shared" si="39"/>
        <v>30.069952587742019</v>
      </c>
      <c r="CB35" s="22">
        <f t="shared" si="10"/>
        <v>249.42678742365072</v>
      </c>
      <c r="CC35" s="62">
        <f t="shared" si="11"/>
        <v>542.76012075698407</v>
      </c>
      <c r="CD35" s="62">
        <f ca="1">AVERAGE(OFFSET($CC$3,0,0,'Données projet'!$E$12+1,1))-AVERAGE(OFFSET($H$3,0,0,'Données projet'!$E$12+1,1))</f>
        <v>287.69656598881124</v>
      </c>
      <c r="CE35" s="62">
        <f t="shared" si="40"/>
        <v>221.9773436301067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5.7229814507700683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8.0586008260608626</v>
      </c>
      <c r="CN35" s="24">
        <f t="shared" si="12"/>
        <v>13.781582276830932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12.625</v>
      </c>
      <c r="CT35" s="13">
        <f>IF('Données projet'!$A$140&gt;35,CT34+CS35-DB34,IF(A35&lt;'Données projet'!$A$140,$CQ$205^A35,IF(A35='Données projet'!$A$140,'Données projet'!$B$140,CT34+CS35-DB34)))</f>
        <v>262.25000000000006</v>
      </c>
      <c r="CU35" s="18">
        <f>CT35*VLOOKUP('Données projet'!$B$13,Paramètres!$A$1:$I$89,3,0)*VLOOKUP('Données projet'!$B$13,Paramètres!$A$1:$I$89,5,0)</f>
        <v>156.82550000000006</v>
      </c>
      <c r="CV35" s="14">
        <f t="shared" si="41"/>
        <v>40.12566509846944</v>
      </c>
      <c r="CW35" s="22">
        <f t="shared" si="13"/>
        <v>343.02327921316777</v>
      </c>
      <c r="CX35" s="62">
        <f t="shared" si="14"/>
        <v>636.35661254650108</v>
      </c>
      <c r="CY35" s="62">
        <f ca="1">AVERAGE(OFFSET($CX$3,0,0,'Données projet'!$E$13+1,1))-AVERAGE(OFFSET($H$3,0,0,'Données projet'!$E$13+1,1))</f>
        <v>163.03280205647224</v>
      </c>
      <c r="CZ35" s="62">
        <f t="shared" si="42"/>
        <v>277.12388047243826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10.023989048574924</v>
      </c>
      <c r="DG35" s="23">
        <f>EXP(-LN(2)/25)*DG34+(1-EXP(-LN(2)/25))/(LN(2)/25)*Calculateur!DB35*Calculateur!DD35*VLOOKUP('Données projet'!$B$13,Paramètres!$A$1:$I$89,3,0)*0.475*44/12</f>
        <v>3.1627440891777532</v>
      </c>
      <c r="DH35" s="23">
        <f>EXP(-LN(2)/2)*DH34+(1-EXP(-LN(2)/2))/(LN(2)/2)*DB35*DE35*VLOOKUP('Données projet'!$B$13,Paramètres!$A$1:$I$89,3,0)*0.475*44/12</f>
        <v>1.516149171945008</v>
      </c>
      <c r="DI35" s="24">
        <f t="shared" si="15"/>
        <v>14.702882309697685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122.39999999999998</v>
      </c>
      <c r="O36" s="14">
        <f>N36*VLOOKUP('Données projet'!$B$9,Paramètres!$A$1:$I$89,3,0)*VLOOKUP('Données projet'!$B$9,Paramètres!$A$1:$I$89,5,0)</f>
        <v>106.92864</v>
      </c>
      <c r="P36" s="14">
        <f t="shared" si="33"/>
        <v>28.606159868782942</v>
      </c>
      <c r="Q36" s="22">
        <f t="shared" si="53"/>
        <v>236.05644310479695</v>
      </c>
      <c r="R36" s="62">
        <f t="shared" si="0"/>
        <v>529.3897764381303</v>
      </c>
      <c r="S36" s="62">
        <f ca="1">AVERAGE(OFFSET($R$3,0,0,'Données projet'!$E$9+1,1))-AVERAGE(OFFSET($H$3,0,0,'Données projet'!$E$9+1,1))</f>
        <v>188.31046827337082</v>
      </c>
      <c r="T36" s="62">
        <f t="shared" si="34"/>
        <v>207.32535726327728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310.95287409903602</v>
      </c>
      <c r="AO36" s="62">
        <f t="shared" si="36"/>
        <v>224.10083380795163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27.6</v>
      </c>
      <c r="BD36" s="13">
        <f>IF('Données projet'!$A$88&gt;35,BD35+BC36-BL35,IF(A36&lt;'Données projet'!$A$88,$BA$205^A36,IF(A36='Données projet'!$A$88,'Données projet'!$B$88,BD35+BC36-BL35)))</f>
        <v>449.80000000000007</v>
      </c>
      <c r="BE36" s="14">
        <f>BD36*VLOOKUP('Données projet'!$B$11,Paramètres!$A$1:$I$89,3,0)*VLOOKUP('Données projet'!$B$11,Paramètres!$A$1:$I$89,5,0)</f>
        <v>251.43820000000002</v>
      </c>
      <c r="BF36" s="14">
        <f t="shared" si="37"/>
        <v>60.893806844597648</v>
      </c>
      <c r="BG36" s="22">
        <f t="shared" si="7"/>
        <v>543.978245254341</v>
      </c>
      <c r="BH36" s="62">
        <f t="shared" si="8"/>
        <v>837.31157858767438</v>
      </c>
      <c r="BI36" s="62">
        <f ca="1">AVERAGE(OFFSET($BH$3,0,0,'Données projet'!$E$11+1,1))-AVERAGE(OFFSET($H$3,0,0,'Données projet'!$E$11+1,1))</f>
        <v>382.55387448074327</v>
      </c>
      <c r="BJ36" s="62">
        <f t="shared" si="38"/>
        <v>476.29465646955543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8.0079650701872325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10.878378355689158</v>
      </c>
      <c r="BS36" s="24">
        <f t="shared" si="9"/>
        <v>18.88634342587639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14.6</v>
      </c>
      <c r="BY36" s="13">
        <f>IF('Données projet'!$A$114&gt;35,BY35+BX36-CG35,IF(A36&lt;'Données projet'!$A$114,$BV$205^A36,IF(A36='Données projet'!$A$114,'Données projet'!$B$114,BY35+BX36-CG35)))</f>
        <v>203.80000000000004</v>
      </c>
      <c r="BZ36" s="14">
        <f>BY36*VLOOKUP('Données projet'!$B$12,Paramètres!$A$1:$I$89,3,0)*VLOOKUP('Données projet'!$B$12,Paramètres!$A$1:$I$89,5,0)</f>
        <v>121.87240000000003</v>
      </c>
      <c r="CA36" s="14">
        <f t="shared" si="39"/>
        <v>32.111311550408985</v>
      </c>
      <c r="CB36" s="22">
        <f t="shared" si="10"/>
        <v>268.1882976169623</v>
      </c>
      <c r="CC36" s="62">
        <f t="shared" si="11"/>
        <v>561.52163095029562</v>
      </c>
      <c r="CD36" s="62">
        <f ca="1">AVERAGE(OFFSET($CC$3,0,0,'Données projet'!$E$12+1,1))-AVERAGE(OFFSET($H$3,0,0,'Données projet'!$E$12+1,1))</f>
        <v>287.69656598881124</v>
      </c>
      <c r="CE36" s="62">
        <f t="shared" si="40"/>
        <v>221.9773436301067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5.6107572751944765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5.6982912909831498</v>
      </c>
      <c r="CN36" s="24">
        <f t="shared" si="12"/>
        <v>11.309048566177626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12.625</v>
      </c>
      <c r="CT36" s="13">
        <f>IF('Données projet'!$A$140&gt;35,CT35+CS36-DB35,IF(A36&lt;'Données projet'!$A$140,$CQ$205^A36,IF(A36='Données projet'!$A$140,'Données projet'!$B$140,CT35+CS36-DB35)))</f>
        <v>274.87500000000006</v>
      </c>
      <c r="CU36" s="18">
        <f>CT36*VLOOKUP('Données projet'!$B$13,Paramètres!$A$1:$I$89,3,0)*VLOOKUP('Données projet'!$B$13,Paramètres!$A$1:$I$89,5,0)</f>
        <v>164.37525000000005</v>
      </c>
      <c r="CV36" s="14">
        <f t="shared" si="41"/>
        <v>41.827810443115574</v>
      </c>
      <c r="CW36" s="22">
        <f t="shared" si="13"/>
        <v>359.13699693842636</v>
      </c>
      <c r="CX36" s="62">
        <f t="shared" si="14"/>
        <v>652.47033027175962</v>
      </c>
      <c r="CY36" s="62">
        <f ca="1">AVERAGE(OFFSET($CX$3,0,0,'Données projet'!$E$13+1,1))-AVERAGE(OFFSET($H$3,0,0,'Données projet'!$E$13+1,1))</f>
        <v>163.03280205647224</v>
      </c>
      <c r="CZ36" s="62">
        <f t="shared" si="42"/>
        <v>277.12388047243826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9.8274247373619783</v>
      </c>
      <c r="DG36" s="23">
        <f>EXP(-LN(2)/25)*DG35+(1-EXP(-LN(2)/25))/(LN(2)/25)*Calculateur!DB36*Calculateur!DD36*VLOOKUP('Données projet'!$B$13,Paramètres!$A$1:$I$89,3,0)*0.475*44/12</f>
        <v>3.0762586857377046</v>
      </c>
      <c r="DH36" s="23">
        <f>EXP(-LN(2)/2)*DH35+(1-EXP(-LN(2)/2))/(LN(2)/2)*DB36*DE36*VLOOKUP('Données projet'!$B$13,Paramètres!$A$1:$I$89,3,0)*0.475*44/12</f>
        <v>1.072079360772684</v>
      </c>
      <c r="DI36" s="24">
        <f t="shared" si="15"/>
        <v>13.975762783872366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130.19999999999999</v>
      </c>
      <c r="O37" s="14">
        <f>N37*VLOOKUP('Données projet'!$B$9,Paramètres!$A$1:$I$89,3,0)*VLOOKUP('Données projet'!$B$9,Paramètres!$A$1:$I$89,5,0)</f>
        <v>113.74272000000002</v>
      </c>
      <c r="P37" s="14">
        <f t="shared" si="33"/>
        <v>30.211074114233345</v>
      </c>
      <c r="Q37" s="22">
        <f t="shared" si="53"/>
        <v>250.71952474895647</v>
      </c>
      <c r="R37" s="62">
        <f t="shared" si="0"/>
        <v>544.05285808228973</v>
      </c>
      <c r="S37" s="62">
        <f ca="1">AVERAGE(OFFSET($R$3,0,0,'Données projet'!$E$9+1,1))-AVERAGE(OFFSET($H$3,0,0,'Données projet'!$E$9+1,1))</f>
        <v>188.31046827337082</v>
      </c>
      <c r="T37" s="62">
        <f t="shared" si="34"/>
        <v>207.32535726327728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310.95287409903602</v>
      </c>
      <c r="AO37" s="62">
        <f t="shared" si="36"/>
        <v>224.10083380795163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27.6</v>
      </c>
      <c r="BD37" s="13">
        <f>IF('Données projet'!$A$88&gt;35,BD36+BC37-BL36,IF(A37&lt;'Données projet'!$A$88,$BA$205^A37,IF(A37='Données projet'!$A$88,'Données projet'!$B$88,BD36+BC37-BL36)))</f>
        <v>477.40000000000009</v>
      </c>
      <c r="BE37" s="14">
        <f>BD37*VLOOKUP('Données projet'!$B$11,Paramètres!$A$1:$I$89,3,0)*VLOOKUP('Données projet'!$B$11,Paramètres!$A$1:$I$89,5,0)</f>
        <v>266.86660000000006</v>
      </c>
      <c r="BF37" s="14">
        <f t="shared" si="37"/>
        <v>64.183831628008477</v>
      </c>
      <c r="BG37" s="22">
        <f t="shared" si="7"/>
        <v>576.57950175211477</v>
      </c>
      <c r="BH37" s="62">
        <f t="shared" si="8"/>
        <v>869.91283508544802</v>
      </c>
      <c r="BI37" s="62">
        <f ca="1">AVERAGE(OFFSET($BH$3,0,0,'Données projet'!$E$11+1,1))-AVERAGE(OFFSET($H$3,0,0,'Données projet'!$E$11+1,1))</f>
        <v>382.55387448074327</v>
      </c>
      <c r="BJ37" s="62">
        <f t="shared" si="38"/>
        <v>476.29465646955543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7.8509337595372619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7.6921751036207686</v>
      </c>
      <c r="BS37" s="24">
        <f t="shared" si="9"/>
        <v>15.543108863158031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14.6</v>
      </c>
      <c r="BY37" s="13">
        <f>IF('Données projet'!$A$114&gt;35,BY36+BX37-CG36,IF(A37&lt;'Données projet'!$A$114,$BV$205^A37,IF(A37='Données projet'!$A$114,'Données projet'!$B$114,BY36+BX37-CG36)))</f>
        <v>218.40000000000003</v>
      </c>
      <c r="BZ37" s="14">
        <f>BY37*VLOOKUP('Données projet'!$B$12,Paramètres!$A$1:$I$89,3,0)*VLOOKUP('Données projet'!$B$12,Paramètres!$A$1:$I$89,5,0)</f>
        <v>130.60320000000004</v>
      </c>
      <c r="CA37" s="14">
        <f t="shared" si="39"/>
        <v>34.135703567016428</v>
      </c>
      <c r="CB37" s="22">
        <f t="shared" si="10"/>
        <v>286.92025704588701</v>
      </c>
      <c r="CC37" s="62">
        <f t="shared" si="11"/>
        <v>580.25359037922033</v>
      </c>
      <c r="CD37" s="62">
        <f ca="1">AVERAGE(OFFSET($CC$3,0,0,'Données projet'!$E$12+1,1))-AVERAGE(OFFSET($H$3,0,0,'Données projet'!$E$12+1,1))</f>
        <v>287.69656598881124</v>
      </c>
      <c r="CE37" s="62">
        <f t="shared" si="40"/>
        <v>221.9773436301067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5.5007337472519344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4.0293004130304322</v>
      </c>
      <c r="CN37" s="24">
        <f t="shared" si="12"/>
        <v>9.5300341602823657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12.625</v>
      </c>
      <c r="CT37" s="13">
        <f>IF('Données projet'!$A$140&gt;35,CT36+CS37-DB36,IF(A37&lt;'Données projet'!$A$140,$CQ$205^A37,IF(A37='Données projet'!$A$140,'Données projet'!$B$140,CT36+CS37-DB36)))</f>
        <v>287.50000000000006</v>
      </c>
      <c r="CU37" s="18">
        <f>CT37*VLOOKUP('Données projet'!$B$13,Paramètres!$A$1:$I$89,3,0)*VLOOKUP('Données projet'!$B$13,Paramètres!$A$1:$I$89,5,0)</f>
        <v>171.92500000000004</v>
      </c>
      <c r="CV37" s="14">
        <f t="shared" si="41"/>
        <v>43.520876607827979</v>
      </c>
      <c r="CW37" s="22">
        <f t="shared" si="13"/>
        <v>375.23490175863373</v>
      </c>
      <c r="CX37" s="62">
        <f t="shared" si="14"/>
        <v>668.56823509196704</v>
      </c>
      <c r="CY37" s="62">
        <f ca="1">AVERAGE(OFFSET($CX$3,0,0,'Données projet'!$E$13+1,1))-AVERAGE(OFFSET($H$3,0,0,'Données projet'!$E$13+1,1))</f>
        <v>163.03280205647224</v>
      </c>
      <c r="CZ37" s="62">
        <f t="shared" si="42"/>
        <v>277.12388047243826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9.6347149323995271</v>
      </c>
      <c r="DG37" s="23">
        <f>EXP(-LN(2)/25)*DG36+(1-EXP(-LN(2)/25))/(LN(2)/25)*Calculateur!DB37*Calculateur!DD37*VLOOKUP('Données projet'!$B$13,Paramètres!$A$1:$I$89,3,0)*0.475*44/12</f>
        <v>2.9921382302027935</v>
      </c>
      <c r="DH37" s="23">
        <f>EXP(-LN(2)/2)*DH36+(1-EXP(-LN(2)/2))/(LN(2)/2)*DB37*DE37*VLOOKUP('Données projet'!$B$13,Paramètres!$A$1:$I$89,3,0)*0.475*44/12</f>
        <v>0.75807458597250399</v>
      </c>
      <c r="DI37" s="24">
        <f t="shared" si="15"/>
        <v>13.384927748574825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138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138</v>
      </c>
      <c r="O38" s="14">
        <f>N38*VLOOKUP('Données projet'!$B$9,Paramètres!$A$1:$I$89,3,0)*VLOOKUP('Données projet'!$B$9,Paramètres!$A$1:$I$89,5,0)</f>
        <v>120.55680000000001</v>
      </c>
      <c r="P38" s="14">
        <f t="shared" si="33"/>
        <v>31.804828741198779</v>
      </c>
      <c r="Q38" s="22">
        <f t="shared" si="53"/>
        <v>265.36317005758787</v>
      </c>
      <c r="R38" s="62">
        <f t="shared" si="0"/>
        <v>558.69650339092118</v>
      </c>
      <c r="S38" s="62">
        <f ca="1">AVERAGE(OFFSET($R$3,0,0,'Données projet'!$E$9+1,1))-AVERAGE(OFFSET($H$3,0,0,'Données projet'!$E$9+1,1))</f>
        <v>188.31046827337082</v>
      </c>
      <c r="T38" s="62">
        <f t="shared" si="34"/>
        <v>207.32535726327728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310.95287409903602</v>
      </c>
      <c r="AO38" s="62">
        <f t="shared" si="36"/>
        <v>224.10083380795163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505</v>
      </c>
      <c r="BB38" s="13">
        <f>VLOOKUP(A38,'Données projet'!$A$87:$I$107,9,0)</f>
        <v>27.6</v>
      </c>
      <c r="BC38" s="13">
        <f t="array" ref="BC38">INDEX(BB:BB,MIN(IF(ISNUMBER(BB38:BB234),ROW(BB38:BB234),"")))</f>
        <v>27.6</v>
      </c>
      <c r="BD38" s="13">
        <f>IF('Données projet'!$A$88&gt;35,BD37+BC38-BL37,IF(A38&lt;'Données projet'!$A$88,$BA$205^A38,IF(A38='Données projet'!$A$88,'Données projet'!$B$88,BD37+BC38-BL37)))</f>
        <v>505.00000000000011</v>
      </c>
      <c r="BE38" s="14">
        <f>BD38*VLOOKUP('Données projet'!$B$11,Paramètres!$A$1:$I$89,3,0)*VLOOKUP('Données projet'!$B$11,Paramètres!$A$1:$I$89,5,0)</f>
        <v>282.29500000000007</v>
      </c>
      <c r="BF38" s="14">
        <f t="shared" si="37"/>
        <v>67.451777696853824</v>
      </c>
      <c r="BG38" s="22">
        <f t="shared" si="7"/>
        <v>609.14230448868716</v>
      </c>
      <c r="BH38" s="62">
        <f t="shared" si="8"/>
        <v>902.47563782202042</v>
      </c>
      <c r="BI38" s="62">
        <f ca="1">AVERAGE(OFFSET($BH$3,0,0,'Données projet'!$E$11+1,1))-AVERAGE(OFFSET($H$3,0,0,'Données projet'!$E$11+1,1))</f>
        <v>382.55387448074327</v>
      </c>
      <c r="BJ38" s="62">
        <f t="shared" si="38"/>
        <v>476.29465646955543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69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7.6969817371094953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5.4391891778445798</v>
      </c>
      <c r="BS38" s="24">
        <f t="shared" si="9"/>
        <v>13.136170914954075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233</v>
      </c>
      <c r="BW38" s="13">
        <f>VLOOKUP(A38,'Données projet'!$A$113:$I$133,9,0)</f>
        <v>14.6</v>
      </c>
      <c r="BX38" s="13">
        <f t="array" ref="BX38">INDEX(BW:BW,MIN(IF(ISNUMBER(BW38:BW234),ROW(BW38:BW234),"")))</f>
        <v>14.6</v>
      </c>
      <c r="BY38" s="13">
        <f>IF('Données projet'!$A$114&gt;35,BY37+BX38-CG37,IF(A38&lt;'Données projet'!$A$114,$BV$205^A38,IF(A38='Données projet'!$A$114,'Données projet'!$B$114,BY37+BX38-CG37)))</f>
        <v>233.00000000000003</v>
      </c>
      <c r="BZ38" s="14">
        <f>BY38*VLOOKUP('Données projet'!$B$12,Paramètres!$A$1:$I$89,3,0)*VLOOKUP('Données projet'!$B$12,Paramètres!$A$1:$I$89,5,0)</f>
        <v>139.33400000000003</v>
      </c>
      <c r="CA38" s="14">
        <f t="shared" si="39"/>
        <v>36.144391930570897</v>
      </c>
      <c r="CB38" s="22">
        <f t="shared" si="10"/>
        <v>305.62486594574438</v>
      </c>
      <c r="CC38" s="62">
        <f t="shared" si="11"/>
        <v>598.95819927907769</v>
      </c>
      <c r="CD38" s="62">
        <f ca="1">AVERAGE(OFFSET($CC$3,0,0,'Données projet'!$E$12+1,1))-AVERAGE(OFFSET($H$3,0,0,'Données projet'!$E$12+1,1))</f>
        <v>287.69656598881124</v>
      </c>
      <c r="CE38" s="62">
        <f t="shared" si="40"/>
        <v>221.9773436301067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5.3928677135846197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2.8491456454915758</v>
      </c>
      <c r="CN38" s="24">
        <f t="shared" si="12"/>
        <v>8.2420133590761964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12.625</v>
      </c>
      <c r="CT38" s="13">
        <f>IF('Données projet'!$A$140&gt;35,CT37+CS38-DB37,IF(A38&lt;'Données projet'!$A$140,$CQ$205^A38,IF(A38='Données projet'!$A$140,'Données projet'!$B$140,CT37+CS38-DB37)))</f>
        <v>300.12500000000006</v>
      </c>
      <c r="CU38" s="18">
        <f>CT38*VLOOKUP('Données projet'!$B$13,Paramètres!$A$1:$I$89,3,0)*VLOOKUP('Données projet'!$B$13,Paramètres!$A$1:$I$89,5,0)</f>
        <v>179.47475000000006</v>
      </c>
      <c r="CV38" s="14">
        <f t="shared" si="41"/>
        <v>45.205307850969106</v>
      </c>
      <c r="CW38" s="22">
        <f t="shared" si="13"/>
        <v>391.31776742377127</v>
      </c>
      <c r="CX38" s="62">
        <f t="shared" si="14"/>
        <v>684.65110075710459</v>
      </c>
      <c r="CY38" s="62">
        <f ca="1">AVERAGE(OFFSET($CX$3,0,0,'Données projet'!$E$13+1,1))-AVERAGE(OFFSET($H$3,0,0,'Données projet'!$E$13+1,1))</f>
        <v>163.03280205647224</v>
      </c>
      <c r="CZ38" s="62">
        <f t="shared" si="42"/>
        <v>277.12388047243826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9.4457840491710154</v>
      </c>
      <c r="DG38" s="23">
        <f>EXP(-LN(2)/25)*DG37+(1-EXP(-LN(2)/25))/(LN(2)/25)*Calculateur!DB38*Calculateur!DD38*VLOOKUP('Données projet'!$B$13,Paramètres!$A$1:$I$89,3,0)*0.475*44/12</f>
        <v>2.9103180529481874</v>
      </c>
      <c r="DH38" s="23">
        <f>EXP(-LN(2)/2)*DH37+(1-EXP(-LN(2)/2))/(LN(2)/2)*DB38*DE38*VLOOKUP('Données projet'!$B$13,Paramètres!$A$1:$I$89,3,0)*0.475*44/12</f>
        <v>0.53603968038634198</v>
      </c>
      <c r="DI38" s="24">
        <f t="shared" si="15"/>
        <v>12.892141782505544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7.4</v>
      </c>
      <c r="N39" s="14">
        <f>IF('Données projet'!$A$36&gt;35,N38+M39-V38,IF(A39&lt;'Données projet'!$A$36,$K$205^A39,IF(A39='Données projet'!$A$36,'Données projet'!$B$36,N38+M39-V38)))</f>
        <v>120.4</v>
      </c>
      <c r="O39" s="14">
        <f>N39*VLOOKUP('Données projet'!$B$9,Paramètres!$A$1:$I$89,3,0)*VLOOKUP('Données projet'!$B$9,Paramètres!$A$1:$I$89,5,0)</f>
        <v>105.18144000000001</v>
      </c>
      <c r="P39" s="14">
        <f t="shared" si="33"/>
        <v>28.192751573651549</v>
      </c>
      <c r="Q39" s="22">
        <f t="shared" si="53"/>
        <v>232.29338365744312</v>
      </c>
      <c r="R39" s="62">
        <f t="shared" si="0"/>
        <v>525.62671699077646</v>
      </c>
      <c r="S39" s="62">
        <f ca="1">AVERAGE(OFFSET($R$3,0,0,'Données projet'!$E$9+1,1))-AVERAGE(OFFSET($H$3,0,0,'Données projet'!$E$9+1,1))</f>
        <v>188.31046827337082</v>
      </c>
      <c r="T39" s="62">
        <f t="shared" si="34"/>
        <v>207.32535726327728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310.95287409903602</v>
      </c>
      <c r="AO39" s="62">
        <f t="shared" si="36"/>
        <v>224.10083380795163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25.6</v>
      </c>
      <c r="BD39" s="13">
        <f>IF('Données projet'!$A$88&gt;35,BD38+BC39-BL38,IF(A39&lt;'Données projet'!$A$88,$BA$205^A39,IF(A39='Données projet'!$A$88,'Données projet'!$B$88,BD38+BC39-BL38)))</f>
        <v>461.60000000000014</v>
      </c>
      <c r="BE39" s="14">
        <f>BD39*VLOOKUP('Données projet'!$B$11,Paramètres!$A$1:$I$89,3,0)*VLOOKUP('Données projet'!$B$11,Paramètres!$A$1:$I$89,5,0)</f>
        <v>258.03440000000006</v>
      </c>
      <c r="BF39" s="14">
        <f t="shared" si="37"/>
        <v>62.303206596431174</v>
      </c>
      <c r="BG39" s="22">
        <f t="shared" si="7"/>
        <v>557.9213314887844</v>
      </c>
      <c r="BH39" s="62">
        <f t="shared" si="8"/>
        <v>851.25466482211777</v>
      </c>
      <c r="BI39" s="62">
        <f ca="1">AVERAGE(OFFSET($BH$3,0,0,'Données projet'!$E$11+1,1))-AVERAGE(OFFSET($H$3,0,0,'Données projet'!$E$11+1,1))</f>
        <v>382.55387448074327</v>
      </c>
      <c r="BJ39" s="62">
        <f t="shared" si="38"/>
        <v>476.29465646955543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7.5460486199400751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3.8460875518103848</v>
      </c>
      <c r="BS39" s="24">
        <f t="shared" si="9"/>
        <v>11.39213617175046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14.4</v>
      </c>
      <c r="BY39" s="13">
        <f>IF('Données projet'!$A$114&gt;35,BY38+BX39-CG38,IF(A39&lt;'Données projet'!$A$114,$BV$205^A39,IF(A39='Données projet'!$A$114,'Données projet'!$B$114,BY38+BX39-CG38)))</f>
        <v>206.40000000000003</v>
      </c>
      <c r="BZ39" s="14">
        <f>BY39*VLOOKUP('Données projet'!$B$12,Paramètres!$A$1:$I$89,3,0)*VLOOKUP('Données projet'!$B$12,Paramètres!$A$1:$I$89,5,0)</f>
        <v>123.42720000000003</v>
      </c>
      <c r="CA39" s="14">
        <f t="shared" si="39"/>
        <v>32.473022671122074</v>
      </c>
      <c r="CB39" s="22">
        <f t="shared" si="10"/>
        <v>271.5262211522043</v>
      </c>
      <c r="CC39" s="62">
        <f t="shared" si="11"/>
        <v>564.85955448553761</v>
      </c>
      <c r="CD39" s="62">
        <f ca="1">AVERAGE(OFFSET($CC$3,0,0,'Données projet'!$E$12+1,1))-AVERAGE(OFFSET($H$3,0,0,'Données projet'!$E$12+1,1))</f>
        <v>287.69656598881124</v>
      </c>
      <c r="CE39" s="62">
        <f t="shared" si="40"/>
        <v>221.9773436301067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5.2871168670457367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2.0146502065152165</v>
      </c>
      <c r="CN39" s="24">
        <f t="shared" si="12"/>
        <v>7.3017670735609528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12.625</v>
      </c>
      <c r="CT39" s="13">
        <f>IF('Données projet'!$A$140&gt;35,CT38+CS39-DB38,IF(A39&lt;'Données projet'!$A$140,$CQ$205^A39,IF(A39='Données projet'!$A$140,'Données projet'!$B$140,CT38+CS39-DB38)))</f>
        <v>312.75000000000006</v>
      </c>
      <c r="CU39" s="18">
        <f>CT39*VLOOKUP('Données projet'!$B$13,Paramètres!$A$1:$I$89,3,0)*VLOOKUP('Données projet'!$B$13,Paramètres!$A$1:$I$89,5,0)</f>
        <v>187.02450000000005</v>
      </c>
      <c r="CV39" s="14">
        <f t="shared" si="41"/>
        <v>46.881508940362963</v>
      </c>
      <c r="CW39" s="22">
        <f t="shared" si="13"/>
        <v>407.38629890446555</v>
      </c>
      <c r="CX39" s="62">
        <f t="shared" si="14"/>
        <v>700.71963223779881</v>
      </c>
      <c r="CY39" s="62">
        <f ca="1">AVERAGE(OFFSET($CX$3,0,0,'Données projet'!$E$13+1,1))-AVERAGE(OFFSET($H$3,0,0,'Données projet'!$E$13+1,1))</f>
        <v>163.03280205647224</v>
      </c>
      <c r="CZ39" s="62">
        <f t="shared" si="42"/>
        <v>277.12388047243826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9.2605579853261553</v>
      </c>
      <c r="DG39" s="23">
        <f>EXP(-LN(2)/25)*DG38+(1-EXP(-LN(2)/25))/(LN(2)/25)*Calculateur!DB39*Calculateur!DD39*VLOOKUP('Données projet'!$B$13,Paramètres!$A$1:$I$89,3,0)*0.475*44/12</f>
        <v>2.8307352527433443</v>
      </c>
      <c r="DH39" s="23">
        <f>EXP(-LN(2)/2)*DH38+(1-EXP(-LN(2)/2))/(LN(2)/2)*DB39*DE39*VLOOKUP('Données projet'!$B$13,Paramètres!$A$1:$I$89,3,0)*0.475*44/12</f>
        <v>0.37903729298625199</v>
      </c>
      <c r="DI39" s="24">
        <f t="shared" si="15"/>
        <v>12.470330531055753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7.4</v>
      </c>
      <c r="N40" s="14">
        <f>IF('Données projet'!$A$36&gt;35,N39+M40-V39,IF(A40&lt;'Données projet'!$A$36,$K$205^A40,IF(A40='Données projet'!$A$36,'Données projet'!$B$36,N39+M40-V39)))</f>
        <v>127.80000000000001</v>
      </c>
      <c r="O40" s="14">
        <f>N40*VLOOKUP('Données projet'!$B$9,Paramètres!$A$1:$I$89,3,0)*VLOOKUP('Données projet'!$B$9,Paramètres!$A$1:$I$89,5,0)</f>
        <v>111.64608000000003</v>
      </c>
      <c r="P40" s="14">
        <f t="shared" si="33"/>
        <v>29.718477955114288</v>
      </c>
      <c r="Q40" s="22">
        <f t="shared" si="53"/>
        <v>246.20993843849078</v>
      </c>
      <c r="R40" s="62">
        <f t="shared" si="0"/>
        <v>539.54327177182404</v>
      </c>
      <c r="S40" s="62">
        <f ca="1">AVERAGE(OFFSET($R$3,0,0,'Données projet'!$E$9+1,1))-AVERAGE(OFFSET($H$3,0,0,'Données projet'!$E$9+1,1))</f>
        <v>188.31046827337082</v>
      </c>
      <c r="T40" s="62">
        <f t="shared" si="34"/>
        <v>207.32535726327728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310.95287409903602</v>
      </c>
      <c r="AO40" s="62">
        <f t="shared" si="36"/>
        <v>224.10083380795163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25.6</v>
      </c>
      <c r="BD40" s="13">
        <f>IF('Données projet'!$A$88&gt;35,BD39+BC40-BL39,IF(A40&lt;'Données projet'!$A$88,$BA$205^A40,IF(A40='Données projet'!$A$88,'Données projet'!$B$88,BD39+BC40-BL39)))</f>
        <v>487.20000000000016</v>
      </c>
      <c r="BE40" s="14">
        <f>BD40*VLOOKUP('Données projet'!$B$11,Paramètres!$A$1:$I$89,3,0)*VLOOKUP('Données projet'!$B$11,Paramètres!$A$1:$I$89,5,0)</f>
        <v>272.34480000000008</v>
      </c>
      <c r="BF40" s="14">
        <f t="shared" si="37"/>
        <v>65.346644318451709</v>
      </c>
      <c r="BG40" s="22">
        <f t="shared" si="7"/>
        <v>588.14593218797006</v>
      </c>
      <c r="BH40" s="62">
        <f t="shared" si="8"/>
        <v>881.47926552130343</v>
      </c>
      <c r="BI40" s="62">
        <f ca="1">AVERAGE(OFFSET($BH$3,0,0,'Données projet'!$E$11+1,1))-AVERAGE(OFFSET($H$3,0,0,'Données projet'!$E$11+1,1))</f>
        <v>382.55387448074327</v>
      </c>
      <c r="BJ40" s="62">
        <f t="shared" si="38"/>
        <v>476.29465646955543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7.398075209138236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2.7195945889222903</v>
      </c>
      <c r="BS40" s="24">
        <f t="shared" si="9"/>
        <v>10.117669798060525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14.4</v>
      </c>
      <c r="BY40" s="13">
        <f>IF('Données projet'!$A$114&gt;35,BY39+BX40-CG39,IF(A40&lt;'Données projet'!$A$114,$BV$205^A40,IF(A40='Données projet'!$A$114,'Données projet'!$B$114,BY39+BX40-CG39)))</f>
        <v>220.80000000000004</v>
      </c>
      <c r="BZ40" s="14">
        <f>BY40*VLOOKUP('Données projet'!$B$12,Paramètres!$A$1:$I$89,3,0)*VLOOKUP('Données projet'!$B$12,Paramètres!$A$1:$I$89,5,0)</f>
        <v>132.03840000000005</v>
      </c>
      <c r="CA40" s="14">
        <f t="shared" si="39"/>
        <v>34.466946374534373</v>
      </c>
      <c r="CB40" s="22">
        <f t="shared" si="10"/>
        <v>289.99681160231415</v>
      </c>
      <c r="CC40" s="62">
        <f t="shared" si="11"/>
        <v>583.33014493564747</v>
      </c>
      <c r="CD40" s="62">
        <f ca="1">AVERAGE(OFFSET($CC$3,0,0,'Données projet'!$E$12+1,1))-AVERAGE(OFFSET($H$3,0,0,'Données projet'!$E$12+1,1))</f>
        <v>287.69656598881124</v>
      </c>
      <c r="CE40" s="62">
        <f t="shared" si="40"/>
        <v>221.9773436301067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5.1834397301058335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1.4245728227457881</v>
      </c>
      <c r="CN40" s="24">
        <f t="shared" si="12"/>
        <v>6.6080125528516218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12.625</v>
      </c>
      <c r="CT40" s="13">
        <f>IF('Données projet'!$A$140&gt;35,CT39+CS40-DB39,IF(A40&lt;'Données projet'!$A$140,$CQ$205^A40,IF(A40='Données projet'!$A$140,'Données projet'!$B$140,CT39+CS40-DB39)))</f>
        <v>325.37500000000006</v>
      </c>
      <c r="CU40" s="18">
        <f>CT40*VLOOKUP('Données projet'!$B$13,Paramètres!$A$1:$I$89,3,0)*VLOOKUP('Données projet'!$B$13,Paramètres!$A$1:$I$89,5,0)</f>
        <v>194.57425000000006</v>
      </c>
      <c r="CV40" s="14">
        <f t="shared" si="41"/>
        <v>48.54985011520143</v>
      </c>
      <c r="CW40" s="22">
        <f t="shared" si="13"/>
        <v>423.44114103397595</v>
      </c>
      <c r="CX40" s="62">
        <f t="shared" si="14"/>
        <v>716.77447436730927</v>
      </c>
      <c r="CY40" s="62">
        <f ca="1">AVERAGE(OFFSET($CX$3,0,0,'Données projet'!$E$13+1,1))-AVERAGE(OFFSET($H$3,0,0,'Données projet'!$E$13+1,1))</f>
        <v>163.03280205647224</v>
      </c>
      <c r="CZ40" s="62">
        <f t="shared" si="42"/>
        <v>277.12388047243826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9.0789640916165482</v>
      </c>
      <c r="DG40" s="23">
        <f>EXP(-LN(2)/25)*DG39+(1-EXP(-LN(2)/25))/(LN(2)/25)*Calculateur!DB40*Calculateur!DD40*VLOOKUP('Données projet'!$B$13,Paramètres!$A$1:$I$89,3,0)*0.475*44/12</f>
        <v>2.7533286483951804</v>
      </c>
      <c r="DH40" s="23">
        <f>EXP(-LN(2)/2)*DH39+(1-EXP(-LN(2)/2))/(LN(2)/2)*DB40*DE40*VLOOKUP('Données projet'!$B$13,Paramètres!$A$1:$I$89,3,0)*0.475*44/12</f>
        <v>0.26801984019317099</v>
      </c>
      <c r="DI40" s="24">
        <f t="shared" si="15"/>
        <v>12.1003125802049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7.4</v>
      </c>
      <c r="N41" s="14">
        <f>IF('Données projet'!$A$36&gt;35,N40+M41-V40,IF(A41&lt;'Données projet'!$A$36,$K$205^A41,IF(A41='Données projet'!$A$36,'Données projet'!$B$36,N40+M41-V40)))</f>
        <v>135.20000000000002</v>
      </c>
      <c r="O41" s="14">
        <f>N41*VLOOKUP('Données projet'!$B$9,Paramètres!$A$1:$I$89,3,0)*VLOOKUP('Données projet'!$B$9,Paramètres!$A$1:$I$89,5,0)</f>
        <v>118.11072000000003</v>
      </c>
      <c r="P41" s="14">
        <f t="shared" si="33"/>
        <v>31.233949612110369</v>
      </c>
      <c r="Q41" s="22">
        <f t="shared" si="53"/>
        <v>260.10863290775893</v>
      </c>
      <c r="R41" s="62">
        <f t="shared" si="0"/>
        <v>553.44196624109225</v>
      </c>
      <c r="S41" s="62">
        <f ca="1">AVERAGE(OFFSET($R$3,0,0,'Données projet'!$E$9+1,1))-AVERAGE(OFFSET($H$3,0,0,'Données projet'!$E$9+1,1))</f>
        <v>188.31046827337082</v>
      </c>
      <c r="T41" s="62">
        <f t="shared" si="34"/>
        <v>207.32535726327728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310.95287409903602</v>
      </c>
      <c r="AO41" s="62">
        <f t="shared" si="36"/>
        <v>224.10083380795163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25.6</v>
      </c>
      <c r="BD41" s="13">
        <f>IF('Données projet'!$A$88&gt;35,BD40+BC41-BL40,IF(A41&lt;'Données projet'!$A$88,$BA$205^A41,IF(A41='Données projet'!$A$88,'Données projet'!$B$88,BD40+BC41-BL40)))</f>
        <v>512.80000000000018</v>
      </c>
      <c r="BE41" s="14">
        <f>BD41*VLOOKUP('Données projet'!$B$11,Paramètres!$A$1:$I$89,3,0)*VLOOKUP('Données projet'!$B$11,Paramètres!$A$1:$I$89,5,0)</f>
        <v>286.65520000000009</v>
      </c>
      <c r="BF41" s="14">
        <f t="shared" si="37"/>
        <v>68.37151538584105</v>
      </c>
      <c r="BG41" s="22">
        <f t="shared" si="7"/>
        <v>618.33819596367323</v>
      </c>
      <c r="BH41" s="62">
        <f t="shared" si="8"/>
        <v>911.6715292970066</v>
      </c>
      <c r="BI41" s="62">
        <f ca="1">AVERAGE(OFFSET($BH$3,0,0,'Données projet'!$E$11+1,1))-AVERAGE(OFFSET($H$3,0,0,'Données projet'!$E$11+1,1))</f>
        <v>382.55387448074327</v>
      </c>
      <c r="BJ41" s="62">
        <f t="shared" si="38"/>
        <v>476.29465646955543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7.2530034666673524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1.9230437759051928</v>
      </c>
      <c r="BS41" s="24">
        <f t="shared" si="9"/>
        <v>9.1760472425725457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14.4</v>
      </c>
      <c r="BY41" s="13">
        <f>IF('Données projet'!$A$114&gt;35,BY40+BX41-CG40,IF(A41&lt;'Données projet'!$A$114,$BV$205^A41,IF(A41='Données projet'!$A$114,'Données projet'!$B$114,BY40+BX41-CG40)))</f>
        <v>235.20000000000005</v>
      </c>
      <c r="BZ41" s="14">
        <f>BY41*VLOOKUP('Données projet'!$B$12,Paramètres!$A$1:$I$89,3,0)*VLOOKUP('Données projet'!$B$12,Paramètres!$A$1:$I$89,5,0)</f>
        <v>140.64960000000002</v>
      </c>
      <c r="CA41" s="14">
        <f t="shared" si="39"/>
        <v>36.445779615258601</v>
      </c>
      <c r="CB41" s="22">
        <f t="shared" si="10"/>
        <v>308.44111949657542</v>
      </c>
      <c r="CC41" s="62">
        <f t="shared" si="11"/>
        <v>601.7744528299088</v>
      </c>
      <c r="CD41" s="62">
        <f ca="1">AVERAGE(OFFSET($CC$3,0,0,'Données projet'!$E$12+1,1))-AVERAGE(OFFSET($H$3,0,0,'Données projet'!$E$12+1,1))</f>
        <v>287.69656598881124</v>
      </c>
      <c r="CE41" s="62">
        <f t="shared" si="40"/>
        <v>221.9773436301067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5.0817956385845129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1.0073251032576085</v>
      </c>
      <c r="CN41" s="24">
        <f t="shared" si="12"/>
        <v>6.0891207418421214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>
        <f>VLOOKUP(A41,'Données projet'!$A$139:$I$159,2,0)</f>
        <v>338</v>
      </c>
      <c r="CR41" s="13">
        <f>VLOOKUP(A41,'Données projet'!$A$139:$I$159,9,0)</f>
        <v>12.625</v>
      </c>
      <c r="CS41" s="13">
        <f t="array" ref="CS41">INDEX(CR:CR,MIN(IF(ISNUMBER(CR41:CR237),ROW(CR41:CR237),"")))</f>
        <v>12.625</v>
      </c>
      <c r="CT41" s="13">
        <f>IF('Données projet'!$A$140&gt;35,CT40+CS41-DB40,IF(A41&lt;'Données projet'!$A$140,$CQ$205^A41,IF(A41='Données projet'!$A$140,'Données projet'!$B$140,CT40+CS41-DB40)))</f>
        <v>338.00000000000006</v>
      </c>
      <c r="CU41" s="18">
        <f>CT41*VLOOKUP('Données projet'!$B$13,Paramètres!$A$1:$I$89,3,0)*VLOOKUP('Données projet'!$B$13,Paramètres!$A$1:$I$89,5,0)</f>
        <v>202.12400000000008</v>
      </c>
      <c r="CV41" s="14">
        <f t="shared" si="41"/>
        <v>50.210671256169846</v>
      </c>
      <c r="CW41" s="22">
        <f t="shared" si="13"/>
        <v>439.48288577116256</v>
      </c>
      <c r="CX41" s="62">
        <f t="shared" si="14"/>
        <v>732.81621910449587</v>
      </c>
      <c r="CY41" s="62">
        <f ca="1">AVERAGE(OFFSET($CX$3,0,0,'Données projet'!$E$13+1,1))-AVERAGE(OFFSET($H$3,0,0,'Données projet'!$E$13+1,1))</f>
        <v>163.03280205647224</v>
      </c>
      <c r="CZ41" s="62">
        <f t="shared" si="42"/>
        <v>277.12388047243826</v>
      </c>
      <c r="DA41" s="16">
        <f>IF(ISNA(VLOOKUP(A41,'Données projet'!$A$139:$I$159,3,0)),0,VLOOKUP(A41,'Données projet'!$A$139:$I$159,3,0))</f>
        <v>5</v>
      </c>
      <c r="DB41" s="16">
        <f>IF(ISNA(VLOOKUP(A41,'Données projet'!$A$139:$I$159,4,0)),0,VLOOKUP(A41,'Données projet'!$A$139:$I$159,4,0))</f>
        <v>338</v>
      </c>
      <c r="DC41" s="17">
        <f>IF(ISNA(VLOOKUP(A41,'Données projet'!$A$139:$I$159,5,0)),0%,VLOOKUP(A41,'Données projet'!$A$139:$I$159,5,0)*VLOOKUP('Données projet'!$B$13,Paramètres!$A$1:$I$89,7,0))</f>
        <v>0.315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0.3</v>
      </c>
      <c r="DF41" s="23">
        <f>EXP(-LN(2)/35)*DF40+(1-EXP(-LN(2)/35))/(LN(2)/35)*DB41*DC41*VLOOKUP('Données projet'!$B$13,Paramètres!$A$1:$I$89,3,0)*0.475*44/12</f>
        <v>93.362043050648666</v>
      </c>
      <c r="DG41" s="23">
        <f>EXP(-LN(2)/25)*DG40+(1-EXP(-LN(2)/25))/(LN(2)/25)*Calculateur!DB41*Calculateur!DD41*VLOOKUP('Données projet'!$B$13,Paramètres!$A$1:$I$89,3,0)*0.475*44/12</f>
        <v>2.6780387317135532</v>
      </c>
      <c r="DH41" s="23">
        <f>EXP(-LN(2)/2)*DH40+(1-EXP(-LN(2)/2))/(LN(2)/2)*DB41*DE41*VLOOKUP('Données projet'!$B$13,Paramètres!$A$1:$I$89,3,0)*0.475*44/12</f>
        <v>68.844914918064944</v>
      </c>
      <c r="DI41" s="24">
        <f t="shared" si="15"/>
        <v>164.88499670042717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7.4</v>
      </c>
      <c r="N42" s="14">
        <f>IF('Données projet'!$A$36&gt;35,N41+M42-V41,IF(A42&lt;'Données projet'!$A$36,$K$205^A42,IF(A42='Données projet'!$A$36,'Données projet'!$B$36,N41+M42-V41)))</f>
        <v>142.60000000000002</v>
      </c>
      <c r="O42" s="14">
        <f>N42*VLOOKUP('Données projet'!$B$9,Paramètres!$A$1:$I$89,3,0)*VLOOKUP('Données projet'!$B$9,Paramètres!$A$1:$I$89,5,0)</f>
        <v>124.57536000000005</v>
      </c>
      <c r="P42" s="14">
        <f t="shared" si="33"/>
        <v>32.73979180600098</v>
      </c>
      <c r="Q42" s="22">
        <f t="shared" si="53"/>
        <v>273.99055606211846</v>
      </c>
      <c r="R42" s="62">
        <f t="shared" si="0"/>
        <v>567.32388939545172</v>
      </c>
      <c r="S42" s="62">
        <f ca="1">AVERAGE(OFFSET($R$3,0,0,'Données projet'!$E$9+1,1))-AVERAGE(OFFSET($H$3,0,0,'Données projet'!$E$9+1,1))</f>
        <v>188.31046827337082</v>
      </c>
      <c r="T42" s="62">
        <f t="shared" si="34"/>
        <v>207.32535726327728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310.95287409903602</v>
      </c>
      <c r="AO42" s="62">
        <f t="shared" si="36"/>
        <v>224.10083380795163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25.6</v>
      </c>
      <c r="BD42" s="13">
        <f>IF('Données projet'!$A$88&gt;35,BD41+BC42-BL41,IF(A42&lt;'Données projet'!$A$88,$BA$205^A42,IF(A42='Données projet'!$A$88,'Données projet'!$B$88,BD41+BC42-BL41)))</f>
        <v>538.4000000000002</v>
      </c>
      <c r="BE42" s="14">
        <f>BD42*VLOOKUP('Données projet'!$B$11,Paramètres!$A$1:$I$89,3,0)*VLOOKUP('Données projet'!$B$11,Paramètres!$A$1:$I$89,5,0)</f>
        <v>300.96560000000011</v>
      </c>
      <c r="BF42" s="14">
        <f t="shared" si="37"/>
        <v>71.378852450242803</v>
      </c>
      <c r="BG42" s="22">
        <f t="shared" si="7"/>
        <v>648.49992135083971</v>
      </c>
      <c r="BH42" s="62">
        <f t="shared" si="8"/>
        <v>941.83325468417297</v>
      </c>
      <c r="BI42" s="62">
        <f ca="1">AVERAGE(OFFSET($BH$3,0,0,'Données projet'!$E$11+1,1))-AVERAGE(OFFSET($H$3,0,0,'Données projet'!$E$11+1,1))</f>
        <v>382.55387448074327</v>
      </c>
      <c r="BJ42" s="62">
        <f t="shared" si="38"/>
        <v>476.29465646955543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7.1107764925812971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1.3597972944611454</v>
      </c>
      <c r="BS42" s="24">
        <f t="shared" si="9"/>
        <v>8.4705737870424418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14.4</v>
      </c>
      <c r="BY42" s="13">
        <f>IF('Données projet'!$A$114&gt;35,BY41+BX42-CG41,IF(A42&lt;'Données projet'!$A$114,$BV$205^A42,IF(A42='Données projet'!$A$114,'Données projet'!$B$114,BY41+BX42-CG41)))</f>
        <v>249.60000000000005</v>
      </c>
      <c r="BZ42" s="14">
        <f>BY42*VLOOKUP('Données projet'!$B$12,Paramètres!$A$1:$I$89,3,0)*VLOOKUP('Données projet'!$B$12,Paramètres!$A$1:$I$89,5,0)</f>
        <v>149.26080000000005</v>
      </c>
      <c r="CA42" s="14">
        <f t="shared" si="39"/>
        <v>38.410551499792909</v>
      </c>
      <c r="CB42" s="22">
        <f t="shared" si="10"/>
        <v>326.86093719547273</v>
      </c>
      <c r="CC42" s="62">
        <f t="shared" si="11"/>
        <v>620.1942705288061</v>
      </c>
      <c r="CD42" s="62">
        <f ca="1">AVERAGE(OFFSET($CC$3,0,0,'Données projet'!$E$12+1,1))-AVERAGE(OFFSET($H$3,0,0,'Données projet'!$E$12+1,1))</f>
        <v>287.69656598881124</v>
      </c>
      <c r="CE42" s="62">
        <f t="shared" si="40"/>
        <v>221.9773436301067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4.9821447257011515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0.71228641137289417</v>
      </c>
      <c r="CN42" s="24">
        <f t="shared" si="12"/>
        <v>5.6944311370740461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5.6843418860808015E-14</v>
      </c>
      <c r="CU42" s="18">
        <f>CT42*VLOOKUP('Données projet'!$B$13,Paramètres!$A$1:$I$89,3,0)*VLOOKUP('Données projet'!$B$13,Paramètres!$A$1:$I$89,5,0)</f>
        <v>3.3992364478763198E-14</v>
      </c>
      <c r="CV42" s="14">
        <f t="shared" si="41"/>
        <v>5.790027782444094E-13</v>
      </c>
      <c r="CW42" s="22">
        <f t="shared" si="13"/>
        <v>1.0676332069095257E-12</v>
      </c>
      <c r="CX42" s="62">
        <f t="shared" si="14"/>
        <v>293.33333333333439</v>
      </c>
      <c r="CY42" s="62">
        <f ca="1">AVERAGE(OFFSET($CX$3,0,0,'Données projet'!$E$13+1,1))-AVERAGE(OFFSET($H$3,0,0,'Données projet'!$E$13+1,1))</f>
        <v>163.03280205647224</v>
      </c>
      <c r="CZ42" s="62">
        <f t="shared" si="42"/>
        <v>277.12388047243826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91.531270331648827</v>
      </c>
      <c r="DG42" s="23">
        <f>EXP(-LN(2)/25)*DG41+(1-EXP(-LN(2)/25))/(LN(2)/25)*Calculateur!DB42*Calculateur!DD42*VLOOKUP('Données projet'!$B$13,Paramètres!$A$1:$I$89,3,0)*0.475*44/12</f>
        <v>2.6048076217629101</v>
      </c>
      <c r="DH42" s="23">
        <f>EXP(-LN(2)/2)*DH41+(1-EXP(-LN(2)/2))/(LN(2)/2)*DB42*DE42*VLOOKUP('Données projet'!$B$13,Paramètres!$A$1:$I$89,3,0)*0.475*44/12</f>
        <v>48.680706188774636</v>
      </c>
      <c r="DI42" s="24">
        <f t="shared" si="15"/>
        <v>142.81678414218638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150</v>
      </c>
      <c r="L43" s="13">
        <f>VLOOKUP(A43,'Données projet'!$A$35:$I$55,9,0)</f>
        <v>7.4</v>
      </c>
      <c r="M43" s="13">
        <f t="array" ref="M43">INDEX(L:L,MIN(IF(ISNUMBER(L43:L239),ROW(L43:L239),"")))</f>
        <v>7.4</v>
      </c>
      <c r="N43" s="14">
        <f>IF('Données projet'!$A$36&gt;35,N42+M43-V42,IF(A43&lt;'Données projet'!$A$36,$K$205^A43,IF(A43='Données projet'!$A$36,'Données projet'!$B$36,N42+M43-V42)))</f>
        <v>150.00000000000003</v>
      </c>
      <c r="O43" s="14">
        <f>N43*VLOOKUP('Données projet'!$B$9,Paramètres!$A$1:$I$89,3,0)*VLOOKUP('Données projet'!$B$9,Paramètres!$A$1:$I$89,5,0)</f>
        <v>131.04000000000005</v>
      </c>
      <c r="P43" s="14">
        <f t="shared" si="33"/>
        <v>34.236561238949918</v>
      </c>
      <c r="Q43" s="22">
        <f t="shared" si="53"/>
        <v>287.85667749117118</v>
      </c>
      <c r="R43" s="62">
        <f t="shared" si="0"/>
        <v>581.1900108245045</v>
      </c>
      <c r="S43" s="62">
        <f ca="1">AVERAGE(OFFSET($R$3,0,0,'Données projet'!$E$9+1,1))-AVERAGE(OFFSET($H$3,0,0,'Données projet'!$E$9+1,1))</f>
        <v>188.31046827337082</v>
      </c>
      <c r="T43" s="62">
        <f t="shared" si="34"/>
        <v>207.32535726327728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310.95287409903602</v>
      </c>
      <c r="AO43" s="62">
        <f t="shared" si="36"/>
        <v>224.10083380795163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564</v>
      </c>
      <c r="BB43" s="13">
        <f>VLOOKUP(A43,'Données projet'!$A$87:$I$107,9,0)</f>
        <v>25.6</v>
      </c>
      <c r="BC43" s="13">
        <f t="array" ref="BC43">INDEX(BB:BB,MIN(IF(ISNUMBER(BB43:BB239),ROW(BB43:BB239),"")))</f>
        <v>25.6</v>
      </c>
      <c r="BD43" s="13">
        <f>IF('Données projet'!$A$88&gt;35,BD42+BC43-BL42,IF(A43&lt;'Données projet'!$A$88,$BA$205^A43,IF(A43='Données projet'!$A$88,'Données projet'!$B$88,BD42+BC43-BL42)))</f>
        <v>564.00000000000023</v>
      </c>
      <c r="BE43" s="14">
        <f>BD43*VLOOKUP('Données projet'!$B$11,Paramètres!$A$1:$I$89,3,0)*VLOOKUP('Données projet'!$B$11,Paramètres!$A$1:$I$89,5,0)</f>
        <v>315.27600000000012</v>
      </c>
      <c r="BF43" s="14">
        <f t="shared" si="37"/>
        <v>74.36958441265493</v>
      </c>
      <c r="BG43" s="22">
        <f t="shared" si="7"/>
        <v>678.63272618537417</v>
      </c>
      <c r="BH43" s="62">
        <f t="shared" si="8"/>
        <v>971.96605951870743</v>
      </c>
      <c r="BI43" s="62">
        <f ca="1">AVERAGE(OFFSET($BH$3,0,0,'Données projet'!$E$11+1,1))-AVERAGE(OFFSET($H$3,0,0,'Données projet'!$E$11+1,1))</f>
        <v>382.55387448074327</v>
      </c>
      <c r="BJ43" s="62">
        <f t="shared" si="38"/>
        <v>476.29465646955543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72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6.971338502707181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0.96152188795259652</v>
      </c>
      <c r="BS43" s="24">
        <f t="shared" si="9"/>
        <v>7.9328603906597772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264</v>
      </c>
      <c r="BW43" s="13">
        <f>VLOOKUP(A43,'Données projet'!$A$113:$I$133,9,0)</f>
        <v>14.4</v>
      </c>
      <c r="BX43" s="13">
        <f t="array" ref="BX43">INDEX(BW:BW,MIN(IF(ISNUMBER(BW43:BW239),ROW(BW43:BW239),"")))</f>
        <v>14.4</v>
      </c>
      <c r="BY43" s="13">
        <f>IF('Données projet'!$A$114&gt;35,BY42+BX43-CG42,IF(A43&lt;'Données projet'!$A$114,$BV$205^A43,IF(A43='Données projet'!$A$114,'Données projet'!$B$114,BY42+BX43-CG42)))</f>
        <v>264.00000000000006</v>
      </c>
      <c r="BZ43" s="14">
        <f>BY43*VLOOKUP('Données projet'!$B$12,Paramètres!$A$1:$I$89,3,0)*VLOOKUP('Données projet'!$B$12,Paramètres!$A$1:$I$89,5,0)</f>
        <v>157.87200000000004</v>
      </c>
      <c r="CA43" s="14">
        <f t="shared" si="39"/>
        <v>40.362165684361159</v>
      </c>
      <c r="CB43" s="22">
        <f t="shared" si="10"/>
        <v>345.25783856692902</v>
      </c>
      <c r="CC43" s="62">
        <f t="shared" si="11"/>
        <v>638.59117190026234</v>
      </c>
      <c r="CD43" s="62">
        <f ca="1">AVERAGE(OFFSET($CC$3,0,0,'Données projet'!$E$12+1,1))-AVERAGE(OFFSET($H$3,0,0,'Données projet'!$E$12+1,1))</f>
        <v>287.69656598881124</v>
      </c>
      <c r="CE43" s="62">
        <f t="shared" si="40"/>
        <v>221.9773436301067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4.8844479064383775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0.50366255162880424</v>
      </c>
      <c r="CN43" s="24">
        <f t="shared" si="12"/>
        <v>5.3881104580671817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5.6843418860808015E-14</v>
      </c>
      <c r="CU43" s="18">
        <f>CT43*VLOOKUP('Données projet'!$B$13,Paramètres!$A$1:$I$89,3,0)*VLOOKUP('Données projet'!$B$13,Paramètres!$A$1:$I$89,5,0)</f>
        <v>3.3992364478763198E-14</v>
      </c>
      <c r="CV43" s="14">
        <f t="shared" si="41"/>
        <v>5.790027782444094E-13</v>
      </c>
      <c r="CW43" s="22">
        <f t="shared" si="13"/>
        <v>1.0676332069095257E-12</v>
      </c>
      <c r="CX43" s="62">
        <f t="shared" si="14"/>
        <v>293.33333333333439</v>
      </c>
      <c r="CY43" s="62">
        <f ca="1">AVERAGE(OFFSET($CX$3,0,0,'Données projet'!$E$13+1,1))-AVERAGE(OFFSET($H$3,0,0,'Données projet'!$E$13+1,1))</f>
        <v>163.03280205647224</v>
      </c>
      <c r="CZ43" s="62">
        <f t="shared" si="42"/>
        <v>277.12388047243826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89.736397949007483</v>
      </c>
      <c r="DG43" s="23">
        <f>EXP(-LN(2)/25)*DG42+(1-EXP(-LN(2)/25))/(LN(2)/25)*Calculateur!DB43*Calculateur!DD43*VLOOKUP('Données projet'!$B$13,Paramètres!$A$1:$I$89,3,0)*0.475*44/12</f>
        <v>2.533579020364924</v>
      </c>
      <c r="DH43" s="23">
        <f>EXP(-LN(2)/2)*DH42+(1-EXP(-LN(2)/2))/(LN(2)/2)*DB43*DE43*VLOOKUP('Données projet'!$B$13,Paramètres!$A$1:$I$89,3,0)*0.475*44/12</f>
        <v>34.422457459032479</v>
      </c>
      <c r="DI43" s="24">
        <f t="shared" si="15"/>
        <v>126.69243442840488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6.4</v>
      </c>
      <c r="N44" s="14">
        <f>IF('Données projet'!$A$36&gt;35,N43+M44-V43,IF(A44&lt;'Données projet'!$A$36,$K$205^A44,IF(A44='Données projet'!$A$36,'Données projet'!$B$36,N43+M44-V43)))</f>
        <v>133.40000000000003</v>
      </c>
      <c r="O44" s="14">
        <f>N44*VLOOKUP('Données projet'!$B$9,Paramètres!$A$1:$I$89,3,0)*VLOOKUP('Données projet'!$B$9,Paramètres!$A$1:$I$89,5,0)</f>
        <v>116.53824000000004</v>
      </c>
      <c r="P44" s="14">
        <f t="shared" si="33"/>
        <v>30.866230258957859</v>
      </c>
      <c r="Q44" s="22">
        <f t="shared" si="53"/>
        <v>256.72945236768504</v>
      </c>
      <c r="R44" s="62">
        <f t="shared" si="0"/>
        <v>550.06278570101836</v>
      </c>
      <c r="S44" s="62">
        <f ca="1">AVERAGE(OFFSET($R$3,0,0,'Données projet'!$E$9+1,1))-AVERAGE(OFFSET($H$3,0,0,'Données projet'!$E$9+1,1))</f>
        <v>188.31046827337082</v>
      </c>
      <c r="T44" s="62">
        <f t="shared" si="34"/>
        <v>207.32535726327728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310.95287409903602</v>
      </c>
      <c r="AO44" s="62">
        <f t="shared" si="36"/>
        <v>224.10083380795163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22.8</v>
      </c>
      <c r="BD44" s="13">
        <f>IF('Données projet'!$A$88&gt;35,BD43+BC44-BL43,IF(A44&lt;'Données projet'!$A$88,$BA$205^A44,IF(A44='Données projet'!$A$88,'Données projet'!$B$88,BD43+BC44-BL43)))</f>
        <v>514.80000000000018</v>
      </c>
      <c r="BE44" s="14">
        <f>BD44*VLOOKUP('Données projet'!$B$11,Paramètres!$A$1:$I$89,3,0)*VLOOKUP('Données projet'!$B$11,Paramètres!$A$1:$I$89,5,0)</f>
        <v>287.77320000000009</v>
      </c>
      <c r="BF44" s="14">
        <f t="shared" si="37"/>
        <v>68.607082381743922</v>
      </c>
      <c r="BG44" s="22">
        <f t="shared" si="7"/>
        <v>620.69565848153741</v>
      </c>
      <c r="BH44" s="62">
        <f t="shared" si="8"/>
        <v>914.02899181487078</v>
      </c>
      <c r="BI44" s="62">
        <f ca="1">AVERAGE(OFFSET($BH$3,0,0,'Données projet'!$E$11+1,1))-AVERAGE(OFFSET($H$3,0,0,'Données projet'!$E$11+1,1))</f>
        <v>382.55387448074327</v>
      </c>
      <c r="BJ44" s="62">
        <f t="shared" si="38"/>
        <v>476.29465646955543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6.8346348067657203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0.67989864723057281</v>
      </c>
      <c r="BS44" s="24">
        <f t="shared" si="9"/>
        <v>7.5145334539962931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16.600000000000001</v>
      </c>
      <c r="BY44" s="13">
        <f>IF('Données projet'!$A$114&gt;35,BY43+BX44-CG43,IF(A44&lt;'Données projet'!$A$114,$BV$205^A44,IF(A44='Données projet'!$A$114,'Données projet'!$B$114,BY43+BX44-CG43)))</f>
        <v>239.60000000000008</v>
      </c>
      <c r="BZ44" s="14">
        <f>BY44*VLOOKUP('Données projet'!$B$12,Paramètres!$A$1:$I$89,3,0)*VLOOKUP('Données projet'!$B$12,Paramètres!$A$1:$I$89,5,0)</f>
        <v>143.28080000000006</v>
      </c>
      <c r="CA44" s="14">
        <f t="shared" si="39"/>
        <v>37.047574465948976</v>
      </c>
      <c r="CB44" s="22">
        <f t="shared" si="10"/>
        <v>314.07191886152788</v>
      </c>
      <c r="CC44" s="62">
        <f t="shared" si="11"/>
        <v>607.40525219486119</v>
      </c>
      <c r="CD44" s="62">
        <f ca="1">AVERAGE(OFFSET($CC$3,0,0,'Données projet'!$E$12+1,1))-AVERAGE(OFFSET($H$3,0,0,'Données projet'!$E$12+1,1))</f>
        <v>287.69656598881124</v>
      </c>
      <c r="CE44" s="62">
        <f t="shared" si="40"/>
        <v>221.9773436301067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4.7886668622121702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0.35614320568644708</v>
      </c>
      <c r="CN44" s="24">
        <f t="shared" si="12"/>
        <v>5.1448100678986171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5.6843418860808015E-14</v>
      </c>
      <c r="CU44" s="18">
        <f>CT44*VLOOKUP('Données projet'!$B$13,Paramètres!$A$1:$I$89,3,0)*VLOOKUP('Données projet'!$B$13,Paramètres!$A$1:$I$89,5,0)</f>
        <v>3.3992364478763198E-14</v>
      </c>
      <c r="CV44" s="14">
        <f t="shared" si="41"/>
        <v>5.790027782444094E-13</v>
      </c>
      <c r="CW44" s="22">
        <f t="shared" si="13"/>
        <v>1.0676332069095257E-12</v>
      </c>
      <c r="CX44" s="62">
        <f t="shared" si="14"/>
        <v>293.33333333333439</v>
      </c>
      <c r="CY44" s="62">
        <f ca="1">AVERAGE(OFFSET($CX$3,0,0,'Données projet'!$E$13+1,1))-AVERAGE(OFFSET($H$3,0,0,'Données projet'!$E$13+1,1))</f>
        <v>163.03280205647224</v>
      </c>
      <c r="CZ44" s="62">
        <f t="shared" si="42"/>
        <v>277.12388047243826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87.976721919025678</v>
      </c>
      <c r="DG44" s="23">
        <f>EXP(-LN(2)/25)*DG43+(1-EXP(-LN(2)/25))/(LN(2)/25)*Calculateur!DB44*Calculateur!DD44*VLOOKUP('Données projet'!$B$13,Paramètres!$A$1:$I$89,3,0)*0.475*44/12</f>
        <v>2.4642981688179151</v>
      </c>
      <c r="DH44" s="23">
        <f>EXP(-LN(2)/2)*DH43+(1-EXP(-LN(2)/2))/(LN(2)/2)*DB44*DE44*VLOOKUP('Données projet'!$B$13,Paramètres!$A$1:$I$89,3,0)*0.475*44/12</f>
        <v>24.340353094387321</v>
      </c>
      <c r="DI44" s="24">
        <f t="shared" si="15"/>
        <v>114.78137318223092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6.4</v>
      </c>
      <c r="N45" s="14">
        <f>IF('Données projet'!$A$36&gt;35,N44+M45-V44,IF(A45&lt;'Données projet'!$A$36,$K$205^A45,IF(A45='Données projet'!$A$36,'Données projet'!$B$36,N44+M45-V44)))</f>
        <v>139.80000000000004</v>
      </c>
      <c r="O45" s="14">
        <f>N45*VLOOKUP('Données projet'!$B$9,Paramètres!$A$1:$I$89,3,0)*VLOOKUP('Données projet'!$B$9,Paramètres!$A$1:$I$89,5,0)</f>
        <v>122.12928000000004</v>
      </c>
      <c r="P45" s="14">
        <f t="shared" si="33"/>
        <v>32.171109382958193</v>
      </c>
      <c r="Q45" s="22">
        <f t="shared" si="53"/>
        <v>268.73984484198559</v>
      </c>
      <c r="R45" s="62">
        <f t="shared" si="0"/>
        <v>562.07317817531884</v>
      </c>
      <c r="S45" s="62">
        <f ca="1">AVERAGE(OFFSET($R$3,0,0,'Données projet'!$E$9+1,1))-AVERAGE(OFFSET($H$3,0,0,'Données projet'!$E$9+1,1))</f>
        <v>188.31046827337082</v>
      </c>
      <c r="T45" s="62">
        <f t="shared" si="34"/>
        <v>207.32535726327728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310.95287409903602</v>
      </c>
      <c r="AO45" s="62">
        <f t="shared" si="36"/>
        <v>224.10083380795163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22.8</v>
      </c>
      <c r="BD45" s="13">
        <f>IF('Données projet'!$A$88&gt;35,BD44+BC45-BL44,IF(A45&lt;'Données projet'!$A$88,$BA$205^A45,IF(A45='Données projet'!$A$88,'Données projet'!$B$88,BD44+BC45-BL44)))</f>
        <v>537.60000000000014</v>
      </c>
      <c r="BE45" s="14">
        <f>BD45*VLOOKUP('Données projet'!$B$11,Paramètres!$A$1:$I$89,3,0)*VLOOKUP('Données projet'!$B$11,Paramètres!$A$1:$I$89,5,0)</f>
        <v>300.5184000000001</v>
      </c>
      <c r="BF45" s="14">
        <f t="shared" si="37"/>
        <v>71.285129105116411</v>
      </c>
      <c r="BG45" s="22">
        <f t="shared" si="7"/>
        <v>647.55781319141124</v>
      </c>
      <c r="BH45" s="62">
        <f t="shared" si="8"/>
        <v>940.8911465247445</v>
      </c>
      <c r="BI45" s="62">
        <f ca="1">AVERAGE(OFFSET($BH$3,0,0,'Données projet'!$E$11+1,1))-AVERAGE(OFFSET($H$3,0,0,'Données projet'!$E$11+1,1))</f>
        <v>382.55387448074327</v>
      </c>
      <c r="BJ45" s="62">
        <f t="shared" si="38"/>
        <v>476.29465646955543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6.7006117869206498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0.48076094397629832</v>
      </c>
      <c r="BS45" s="24">
        <f t="shared" si="9"/>
        <v>7.1813727308969479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16.600000000000001</v>
      </c>
      <c r="BY45" s="13">
        <f>IF('Données projet'!$A$114&gt;35,BY44+BX45-CG44,IF(A45&lt;'Données projet'!$A$114,$BV$205^A45,IF(A45='Données projet'!$A$114,'Données projet'!$B$114,BY44+BX45-CG44)))</f>
        <v>256.2000000000001</v>
      </c>
      <c r="BZ45" s="14">
        <f>BY45*VLOOKUP('Données projet'!$B$12,Paramètres!$A$1:$I$89,3,0)*VLOOKUP('Données projet'!$B$12,Paramètres!$A$1:$I$89,5,0)</f>
        <v>153.20760000000007</v>
      </c>
      <c r="CA45" s="14">
        <f t="shared" si="39"/>
        <v>39.306624169832133</v>
      </c>
      <c r="CB45" s="22">
        <f t="shared" si="10"/>
        <v>335.29560709579107</v>
      </c>
      <c r="CC45" s="62">
        <f t="shared" si="11"/>
        <v>628.62894042912444</v>
      </c>
      <c r="CD45" s="62">
        <f ca="1">AVERAGE(OFFSET($CC$3,0,0,'Données projet'!$E$12+1,1))-AVERAGE(OFFSET($H$3,0,0,'Données projet'!$E$12+1,1))</f>
        <v>287.69656598881124</v>
      </c>
      <c r="CE45" s="62">
        <f t="shared" si="40"/>
        <v>221.9773436301067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4.6947640258425709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0.25183127581440212</v>
      </c>
      <c r="CN45" s="24">
        <f t="shared" si="12"/>
        <v>4.9465953016569735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5.6843418860808015E-14</v>
      </c>
      <c r="CU45" s="18">
        <f>CT45*VLOOKUP('Données projet'!$B$13,Paramètres!$A$1:$I$89,3,0)*VLOOKUP('Données projet'!$B$13,Paramètres!$A$1:$I$89,5,0)</f>
        <v>3.3992364478763198E-14</v>
      </c>
      <c r="CV45" s="14">
        <f t="shared" si="41"/>
        <v>5.790027782444094E-13</v>
      </c>
      <c r="CW45" s="22">
        <f t="shared" si="13"/>
        <v>1.0676332069095257E-12</v>
      </c>
      <c r="CX45" s="62">
        <f t="shared" si="14"/>
        <v>293.33333333333439</v>
      </c>
      <c r="CY45" s="62">
        <f ca="1">AVERAGE(OFFSET($CX$3,0,0,'Données projet'!$E$13+1,1))-AVERAGE(OFFSET($H$3,0,0,'Données projet'!$E$13+1,1))</f>
        <v>163.03280205647224</v>
      </c>
      <c r="CZ45" s="62">
        <f t="shared" si="42"/>
        <v>277.12388047243826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86.251552062695424</v>
      </c>
      <c r="DG45" s="23">
        <f>EXP(-LN(2)/25)*DG44+(1-EXP(-LN(2)/25))/(LN(2)/25)*Calculateur!DB45*Calculateur!DD45*VLOOKUP('Données projet'!$B$13,Paramètres!$A$1:$I$89,3,0)*0.475*44/12</f>
        <v>2.3969118057997809</v>
      </c>
      <c r="DH45" s="23">
        <f>EXP(-LN(2)/2)*DH44+(1-EXP(-LN(2)/2))/(LN(2)/2)*DB45*DE45*VLOOKUP('Données projet'!$B$13,Paramètres!$A$1:$I$89,3,0)*0.475*44/12</f>
        <v>17.211228729516243</v>
      </c>
      <c r="DI45" s="24">
        <f t="shared" si="15"/>
        <v>105.85969259801143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6.4</v>
      </c>
      <c r="N46" s="14">
        <f>IF('Données projet'!$A$36&gt;35,N45+M46-V45,IF(A46&lt;'Données projet'!$A$36,$K$205^A46,IF(A46='Données projet'!$A$36,'Données projet'!$B$36,N45+M46-V45)))</f>
        <v>146.20000000000005</v>
      </c>
      <c r="O46" s="14">
        <f>N46*VLOOKUP('Données projet'!$B$9,Paramètres!$A$1:$I$89,3,0)*VLOOKUP('Données projet'!$B$9,Paramètres!$A$1:$I$89,5,0)</f>
        <v>127.72032000000004</v>
      </c>
      <c r="P46" s="14">
        <f t="shared" si="33"/>
        <v>33.469051060164404</v>
      </c>
      <c r="Q46" s="22">
        <f t="shared" si="53"/>
        <v>280.73815459645306</v>
      </c>
      <c r="R46" s="62">
        <f t="shared" si="0"/>
        <v>574.07148792978637</v>
      </c>
      <c r="S46" s="62">
        <f ca="1">AVERAGE(OFFSET($R$3,0,0,'Données projet'!$E$9+1,1))-AVERAGE(OFFSET($H$3,0,0,'Données projet'!$E$9+1,1))</f>
        <v>188.31046827337082</v>
      </c>
      <c r="T46" s="62">
        <f t="shared" si="34"/>
        <v>207.32535726327728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310.95287409903602</v>
      </c>
      <c r="AO46" s="62">
        <f t="shared" si="36"/>
        <v>224.10083380795163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22.8</v>
      </c>
      <c r="BD46" s="13">
        <f>IF('Données projet'!$A$88&gt;35,BD45+BC46-BL45,IF(A46&lt;'Données projet'!$A$88,$BA$205^A46,IF(A46='Données projet'!$A$88,'Données projet'!$B$88,BD45+BC46-BL45)))</f>
        <v>560.40000000000009</v>
      </c>
      <c r="BE46" s="14">
        <f>BD46*VLOOKUP('Données projet'!$B$11,Paramètres!$A$1:$I$89,3,0)*VLOOKUP('Données projet'!$B$11,Paramètres!$A$1:$I$89,5,0)</f>
        <v>313.26360000000005</v>
      </c>
      <c r="BF46" s="14">
        <f t="shared" si="37"/>
        <v>73.949983766039026</v>
      </c>
      <c r="BG46" s="22">
        <f t="shared" si="7"/>
        <v>674.39699172585131</v>
      </c>
      <c r="BH46" s="62">
        <f t="shared" si="8"/>
        <v>967.73032505918468</v>
      </c>
      <c r="BI46" s="62">
        <f ca="1">AVERAGE(OFFSET($BH$3,0,0,'Données projet'!$E$11+1,1))-AVERAGE(OFFSET($H$3,0,0,'Données projet'!$E$11+1,1))</f>
        <v>382.55387448074327</v>
      </c>
      <c r="BJ46" s="62">
        <f t="shared" si="38"/>
        <v>476.29465646955543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6.5692168767487713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0.3399493236152864</v>
      </c>
      <c r="BS46" s="24">
        <f t="shared" si="9"/>
        <v>6.9091662003640577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16.600000000000001</v>
      </c>
      <c r="BY46" s="13">
        <f>IF('Données projet'!$A$114&gt;35,BY45+BX46-CG45,IF(A46&lt;'Données projet'!$A$114,$BV$205^A46,IF(A46='Données projet'!$A$114,'Données projet'!$B$114,BY45+BX46-CG45)))</f>
        <v>272.80000000000013</v>
      </c>
      <c r="BZ46" s="14">
        <f>BY46*VLOOKUP('Données projet'!$B$12,Paramètres!$A$1:$I$89,3,0)*VLOOKUP('Données projet'!$B$12,Paramètres!$A$1:$I$89,5,0)</f>
        <v>163.13440000000008</v>
      </c>
      <c r="CA46" s="14">
        <f t="shared" si="39"/>
        <v>41.548687845426002</v>
      </c>
      <c r="CB46" s="22">
        <f t="shared" si="10"/>
        <v>356.48971133078379</v>
      </c>
      <c r="CC46" s="62">
        <f t="shared" si="11"/>
        <v>649.82304466411711</v>
      </c>
      <c r="CD46" s="62">
        <f ca="1">AVERAGE(OFFSET($CC$3,0,0,'Données projet'!$E$12+1,1))-AVERAGE(OFFSET($H$3,0,0,'Données projet'!$E$12+1,1))</f>
        <v>287.69656598881124</v>
      </c>
      <c r="CE46" s="62">
        <f t="shared" si="40"/>
        <v>221.9773436301067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4.6027025668191044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0.17807160284322354</v>
      </c>
      <c r="CN46" s="24">
        <f t="shared" si="12"/>
        <v>4.7807741696623278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5.6843418860808015E-14</v>
      </c>
      <c r="CU46" s="18">
        <f>CT46*VLOOKUP('Données projet'!$B$13,Paramètres!$A$1:$I$89,3,0)*VLOOKUP('Données projet'!$B$13,Paramètres!$A$1:$I$89,5,0)</f>
        <v>3.3992364478763198E-14</v>
      </c>
      <c r="CV46" s="14">
        <f t="shared" si="41"/>
        <v>5.790027782444094E-13</v>
      </c>
      <c r="CW46" s="22">
        <f t="shared" si="13"/>
        <v>1.0676332069095257E-12</v>
      </c>
      <c r="CX46" s="62">
        <f t="shared" si="14"/>
        <v>293.33333333333439</v>
      </c>
      <c r="CY46" s="62">
        <f ca="1">AVERAGE(OFFSET($CX$3,0,0,'Données projet'!$E$13+1,1))-AVERAGE(OFFSET($H$3,0,0,'Données projet'!$E$13+1,1))</f>
        <v>163.03280205647224</v>
      </c>
      <c r="CZ46" s="62">
        <f t="shared" si="42"/>
        <v>277.12388047243826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84.560211734998092</v>
      </c>
      <c r="DG46" s="23">
        <f>EXP(-LN(2)/25)*DG45+(1-EXP(-LN(2)/25))/(LN(2)/25)*Calculateur!DB46*Calculateur!DD46*VLOOKUP('Données projet'!$B$13,Paramètres!$A$1:$I$89,3,0)*0.475*44/12</f>
        <v>2.3313681264220723</v>
      </c>
      <c r="DH46" s="23">
        <f>EXP(-LN(2)/2)*DH45+(1-EXP(-LN(2)/2))/(LN(2)/2)*DB46*DE46*VLOOKUP('Données projet'!$B$13,Paramètres!$A$1:$I$89,3,0)*0.475*44/12</f>
        <v>12.170176547193662</v>
      </c>
      <c r="DI46" s="24">
        <f t="shared" si="15"/>
        <v>99.061756408613832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6.4</v>
      </c>
      <c r="N47" s="14">
        <f>IF('Données projet'!$A$36&gt;35,N46+M47-V46,IF(A47&lt;'Données projet'!$A$36,$K$205^A47,IF(A47='Données projet'!$A$36,'Données projet'!$B$36,N46+M47-V46)))</f>
        <v>152.60000000000005</v>
      </c>
      <c r="O47" s="14">
        <f>N47*VLOOKUP('Données projet'!$B$9,Paramètres!$A$1:$I$89,3,0)*VLOOKUP('Données projet'!$B$9,Paramètres!$A$1:$I$89,5,0)</f>
        <v>133.31136000000006</v>
      </c>
      <c r="P47" s="14">
        <f t="shared" si="33"/>
        <v>34.760393689821633</v>
      </c>
      <c r="Q47" s="22">
        <f t="shared" si="53"/>
        <v>292.72497100977279</v>
      </c>
      <c r="R47" s="62">
        <f t="shared" si="0"/>
        <v>586.0583043431061</v>
      </c>
      <c r="S47" s="62">
        <f ca="1">AVERAGE(OFFSET($R$3,0,0,'Données projet'!$E$9+1,1))-AVERAGE(OFFSET($H$3,0,0,'Données projet'!$E$9+1,1))</f>
        <v>188.31046827337082</v>
      </c>
      <c r="T47" s="62">
        <f t="shared" si="34"/>
        <v>207.32535726327728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310.95287409903602</v>
      </c>
      <c r="AO47" s="62">
        <f t="shared" si="36"/>
        <v>224.10083380795163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22.8</v>
      </c>
      <c r="BD47" s="13">
        <f>IF('Données projet'!$A$88&gt;35,BD46+BC47-BL46,IF(A47&lt;'Données projet'!$A$88,$BA$205^A47,IF(A47='Données projet'!$A$88,'Données projet'!$B$88,BD46+BC47-BL46)))</f>
        <v>583.20000000000005</v>
      </c>
      <c r="BE47" s="14">
        <f>BD47*VLOOKUP('Données projet'!$B$11,Paramètres!$A$1:$I$89,3,0)*VLOOKUP('Données projet'!$B$11,Paramètres!$A$1:$I$89,5,0)</f>
        <v>326.00880000000001</v>
      </c>
      <c r="BF47" s="14">
        <f t="shared" si="37"/>
        <v>76.602244480772981</v>
      </c>
      <c r="BG47" s="22">
        <f t="shared" si="7"/>
        <v>701.2142358040129</v>
      </c>
      <c r="BH47" s="62">
        <f t="shared" si="8"/>
        <v>994.54756913734627</v>
      </c>
      <c r="BI47" s="62">
        <f ca="1">AVERAGE(OFFSET($BH$3,0,0,'Données projet'!$E$11+1,1))-AVERAGE(OFFSET($H$3,0,0,'Données projet'!$E$11+1,1))</f>
        <v>382.55387448074327</v>
      </c>
      <c r="BJ47" s="62">
        <f t="shared" si="38"/>
        <v>476.29465646955543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6.4403985406223816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0.24038047198814916</v>
      </c>
      <c r="BS47" s="24">
        <f t="shared" si="9"/>
        <v>6.6807790126105306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16.600000000000001</v>
      </c>
      <c r="BY47" s="13">
        <f>IF('Données projet'!$A$114&gt;35,BY46+BX47-CG46,IF(A47&lt;'Données projet'!$A$114,$BV$205^A47,IF(A47='Données projet'!$A$114,'Données projet'!$B$114,BY46+BX47-CG46)))</f>
        <v>289.40000000000015</v>
      </c>
      <c r="BZ47" s="14">
        <f>BY47*VLOOKUP('Données projet'!$B$12,Paramètres!$A$1:$I$89,3,0)*VLOOKUP('Données projet'!$B$12,Paramètres!$A$1:$I$89,5,0)</f>
        <v>173.0612000000001</v>
      </c>
      <c r="CA47" s="14">
        <f t="shared" si="39"/>
        <v>43.774916798471111</v>
      </c>
      <c r="CB47" s="22">
        <f t="shared" si="10"/>
        <v>377.65623675733735</v>
      </c>
      <c r="CC47" s="62">
        <f t="shared" si="11"/>
        <v>670.98957009067067</v>
      </c>
      <c r="CD47" s="62">
        <f ca="1">AVERAGE(OFFSET($CC$3,0,0,'Données projet'!$E$12+1,1))-AVERAGE(OFFSET($H$3,0,0,'Données projet'!$E$12+1,1))</f>
        <v>287.69656598881124</v>
      </c>
      <c r="CE47" s="62">
        <f t="shared" si="40"/>
        <v>221.9773436301067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4.5124463768551424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0.12591563790720106</v>
      </c>
      <c r="CN47" s="24">
        <f t="shared" si="12"/>
        <v>4.6383620147623432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5.6843418860808015E-14</v>
      </c>
      <c r="CU47" s="18">
        <f>CT47*VLOOKUP('Données projet'!$B$13,Paramètres!$A$1:$I$89,3,0)*VLOOKUP('Données projet'!$B$13,Paramètres!$A$1:$I$89,5,0)</f>
        <v>3.3992364478763198E-14</v>
      </c>
      <c r="CV47" s="14">
        <f t="shared" si="41"/>
        <v>5.790027782444094E-13</v>
      </c>
      <c r="CW47" s="22">
        <f t="shared" si="13"/>
        <v>1.0676332069095257E-12</v>
      </c>
      <c r="CX47" s="62">
        <f t="shared" si="14"/>
        <v>293.33333333333439</v>
      </c>
      <c r="CY47" s="62">
        <f ca="1">AVERAGE(OFFSET($CX$3,0,0,'Données projet'!$E$13+1,1))-AVERAGE(OFFSET($H$3,0,0,'Données projet'!$E$13+1,1))</f>
        <v>163.03280205647224</v>
      </c>
      <c r="CZ47" s="62">
        <f t="shared" si="42"/>
        <v>277.12388047243826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82.902037559511172</v>
      </c>
      <c r="DG47" s="23">
        <f>EXP(-LN(2)/25)*DG46+(1-EXP(-LN(2)/25))/(LN(2)/25)*Calculateur!DB47*Calculateur!DD47*VLOOKUP('Données projet'!$B$13,Paramètres!$A$1:$I$89,3,0)*0.475*44/12</f>
        <v>2.2676167424037392</v>
      </c>
      <c r="DH47" s="23">
        <f>EXP(-LN(2)/2)*DH46+(1-EXP(-LN(2)/2))/(LN(2)/2)*DB47*DE47*VLOOKUP('Données projet'!$B$13,Paramètres!$A$1:$I$89,3,0)*0.475*44/12</f>
        <v>8.6056143647581216</v>
      </c>
      <c r="DI47" s="24">
        <f t="shared" si="15"/>
        <v>93.775268666673043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159</v>
      </c>
      <c r="L48" s="13">
        <f>VLOOKUP(A48,'Données projet'!$A$35:$I$55,9,0)</f>
        <v>6.4</v>
      </c>
      <c r="M48" s="13">
        <f t="array" ref="M48">INDEX(L:L,MIN(IF(ISNUMBER(L48:L244),ROW(L48:L244),"")))</f>
        <v>6.4</v>
      </c>
      <c r="N48" s="14">
        <f>IF('Données projet'!$A$36&gt;35,N47+M48-V47,IF(A48&lt;'Données projet'!$A$36,$K$205^A48,IF(A48='Données projet'!$A$36,'Données projet'!$B$36,N47+M48-V47)))</f>
        <v>159.00000000000006</v>
      </c>
      <c r="O48" s="14">
        <f>N48*VLOOKUP('Données projet'!$B$9,Paramètres!$A$1:$I$89,3,0)*VLOOKUP('Données projet'!$B$9,Paramètres!$A$1:$I$89,5,0)</f>
        <v>138.90240000000006</v>
      </c>
      <c r="P48" s="14">
        <f t="shared" si="33"/>
        <v>36.045445680666461</v>
      </c>
      <c r="Q48" s="22">
        <f t="shared" si="53"/>
        <v>304.70083122716079</v>
      </c>
      <c r="R48" s="62">
        <f t="shared" si="0"/>
        <v>598.0341645604941</v>
      </c>
      <c r="S48" s="62">
        <f ca="1">AVERAGE(OFFSET($R$3,0,0,'Données projet'!$E$9+1,1))-AVERAGE(OFFSET($H$3,0,0,'Données projet'!$E$9+1,1))</f>
        <v>188.31046827337082</v>
      </c>
      <c r="T48" s="62">
        <f t="shared" si="34"/>
        <v>207.32535726327728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310.95287409903602</v>
      </c>
      <c r="AO48" s="62">
        <f t="shared" si="36"/>
        <v>224.10083380795163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606</v>
      </c>
      <c r="BB48" s="13">
        <f>VLOOKUP(A48,'Données projet'!$A$87:$I$107,9,0)</f>
        <v>22.8</v>
      </c>
      <c r="BC48" s="13">
        <f t="array" ref="BC48">INDEX(BB:BB,MIN(IF(ISNUMBER(BB48:BB244),ROW(BB48:BB244),"")))</f>
        <v>22.8</v>
      </c>
      <c r="BD48" s="13">
        <f>IF('Données projet'!$A$88&gt;35,BD47+BC48-BL47,IF(A48&lt;'Données projet'!$A$88,$BA$205^A48,IF(A48='Données projet'!$A$88,'Données projet'!$B$88,BD47+BC48-BL47)))</f>
        <v>606</v>
      </c>
      <c r="BE48" s="14">
        <f>BD48*VLOOKUP('Données projet'!$B$11,Paramètres!$A$1:$I$89,3,0)*VLOOKUP('Données projet'!$B$11,Paramètres!$A$1:$I$89,5,0)</f>
        <v>338.75400000000002</v>
      </c>
      <c r="BF48" s="14">
        <f t="shared" si="37"/>
        <v>79.242459951408904</v>
      </c>
      <c r="BG48" s="22">
        <f t="shared" si="7"/>
        <v>728.01050108203719</v>
      </c>
      <c r="BH48" s="62">
        <f t="shared" si="8"/>
        <v>1021.3438344153706</v>
      </c>
      <c r="BI48" s="62">
        <f ca="1">AVERAGE(OFFSET($BH$3,0,0,'Données projet'!$E$11+1,1))-AVERAGE(OFFSET($H$3,0,0,'Données projet'!$E$11+1,1))</f>
        <v>382.55387448074327</v>
      </c>
      <c r="BJ48" s="62">
        <f t="shared" si="38"/>
        <v>476.29465646955543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66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6.3141062534960035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0.1699746618076432</v>
      </c>
      <c r="BS48" s="24">
        <f t="shared" si="9"/>
        <v>6.4840809153036467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306</v>
      </c>
      <c r="BW48" s="13">
        <f>VLOOKUP(A48,'Données projet'!$A$113:$I$133,9,0)</f>
        <v>16.600000000000001</v>
      </c>
      <c r="BX48" s="13">
        <f t="array" ref="BX48">INDEX(BW:BW,MIN(IF(ISNUMBER(BW48:BW244),ROW(BW48:BW244),"")))</f>
        <v>16.600000000000001</v>
      </c>
      <c r="BY48" s="13">
        <f>IF('Données projet'!$A$114&gt;35,BY47+BX48-CG47,IF(A48&lt;'Données projet'!$A$114,$BV$205^A48,IF(A48='Données projet'!$A$114,'Données projet'!$B$114,BY47+BX48-CG47)))</f>
        <v>306.00000000000017</v>
      </c>
      <c r="BZ48" s="14">
        <f>BY48*VLOOKUP('Données projet'!$B$12,Paramètres!$A$1:$I$89,3,0)*VLOOKUP('Données projet'!$B$12,Paramètres!$A$1:$I$89,5,0)</f>
        <v>182.98800000000011</v>
      </c>
      <c r="CA48" s="14">
        <f t="shared" si="39"/>
        <v>45.986322796524874</v>
      </c>
      <c r="CB48" s="22">
        <f t="shared" si="10"/>
        <v>398.79694553728103</v>
      </c>
      <c r="CC48" s="62">
        <f t="shared" si="11"/>
        <v>692.13027887061435</v>
      </c>
      <c r="CD48" s="62">
        <f ca="1">AVERAGE(OFFSET($CC$3,0,0,'Données projet'!$E$12+1,1))-AVERAGE(OFFSET($H$3,0,0,'Données projet'!$E$12+1,1))</f>
        <v>287.69656598881124</v>
      </c>
      <c r="CE48" s="62">
        <f t="shared" si="40"/>
        <v>221.9773436301067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4.4239600557255336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8.9035801421611771E-2</v>
      </c>
      <c r="CN48" s="24">
        <f t="shared" si="12"/>
        <v>4.5129958571471454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5.6843418860808015E-14</v>
      </c>
      <c r="CU48" s="18">
        <f>CT48*VLOOKUP('Données projet'!$B$13,Paramètres!$A$1:$I$89,3,0)*VLOOKUP('Données projet'!$B$13,Paramètres!$A$1:$I$89,5,0)</f>
        <v>3.3992364478763198E-14</v>
      </c>
      <c r="CV48" s="14">
        <f t="shared" si="41"/>
        <v>5.790027782444094E-13</v>
      </c>
      <c r="CW48" s="22">
        <f t="shared" si="13"/>
        <v>1.0676332069095257E-12</v>
      </c>
      <c r="CX48" s="62">
        <f t="shared" si="14"/>
        <v>293.33333333333439</v>
      </c>
      <c r="CY48" s="62">
        <f ca="1">AVERAGE(OFFSET($CX$3,0,0,'Données projet'!$E$13+1,1))-AVERAGE(OFFSET($H$3,0,0,'Données projet'!$E$13+1,1))</f>
        <v>163.03280205647224</v>
      </c>
      <c r="CZ48" s="62">
        <f t="shared" si="42"/>
        <v>277.12388047243826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81.276379168219165</v>
      </c>
      <c r="DG48" s="23">
        <f>EXP(-LN(2)/25)*DG47+(1-EXP(-LN(2)/25))/(LN(2)/25)*Calculateur!DB48*Calculateur!DD48*VLOOKUP('Données projet'!$B$13,Paramètres!$A$1:$I$89,3,0)*0.475*44/12</f>
        <v>2.2056086433339273</v>
      </c>
      <c r="DH48" s="23">
        <f>EXP(-LN(2)/2)*DH47+(1-EXP(-LN(2)/2))/(LN(2)/2)*DB48*DE48*VLOOKUP('Données projet'!$B$13,Paramètres!$A$1:$I$89,3,0)*0.475*44/12</f>
        <v>6.0850882735968312</v>
      </c>
      <c r="DI48" s="24">
        <f t="shared" si="15"/>
        <v>89.567076085149921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143.60000000000005</v>
      </c>
      <c r="O49" s="14">
        <f>N49*VLOOKUP('Données projet'!$B$9,Paramètres!$A$1:$I$89,3,0)*VLOOKUP('Données projet'!$B$9,Paramètres!$A$1:$I$89,5,0)</f>
        <v>125.44896000000007</v>
      </c>
      <c r="P49" s="14">
        <f t="shared" si="33"/>
        <v>32.942576545548221</v>
      </c>
      <c r="Q49" s="22">
        <f t="shared" si="53"/>
        <v>275.86525948349663</v>
      </c>
      <c r="R49" s="62">
        <f t="shared" si="0"/>
        <v>569.19859281682989</v>
      </c>
      <c r="S49" s="62">
        <f ca="1">AVERAGE(OFFSET($R$3,0,0,'Données projet'!$E$9+1,1))-AVERAGE(OFFSET($H$3,0,0,'Données projet'!$E$9+1,1))</f>
        <v>188.31046827337082</v>
      </c>
      <c r="T49" s="62">
        <f t="shared" si="34"/>
        <v>207.32535726327728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310.95287409903602</v>
      </c>
      <c r="AO49" s="62">
        <f t="shared" si="36"/>
        <v>224.10083380795163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17.8</v>
      </c>
      <c r="BD49" s="13">
        <f>IF('Données projet'!$A$88&gt;35,BD48+BC49-BL48,IF(A49&lt;'Données projet'!$A$88,$BA$205^A49,IF(A49='Données projet'!$A$88,'Données projet'!$B$88,BD48+BC49-BL48)))</f>
        <v>557.79999999999995</v>
      </c>
      <c r="BE49" s="14">
        <f>BD49*VLOOKUP('Données projet'!$B$11,Paramètres!$A$1:$I$89,3,0)*VLOOKUP('Données projet'!$B$11,Paramètres!$A$1:$I$89,5,0)</f>
        <v>311.81020000000001</v>
      </c>
      <c r="BF49" s="14">
        <f t="shared" si="37"/>
        <v>73.646743780370684</v>
      </c>
      <c r="BG49" s="22">
        <f t="shared" si="7"/>
        <v>671.33751041747894</v>
      </c>
      <c r="BH49" s="62">
        <f t="shared" si="8"/>
        <v>964.67084375081231</v>
      </c>
      <c r="BI49" s="62">
        <f ca="1">AVERAGE(OFFSET($BH$3,0,0,'Données projet'!$E$11+1,1))-AVERAGE(OFFSET($H$3,0,0,'Données projet'!$E$11+1,1))</f>
        <v>382.55387448074327</v>
      </c>
      <c r="BJ49" s="62">
        <f t="shared" si="38"/>
        <v>476.29465646955543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6.1902904810894848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0.12019023599407458</v>
      </c>
      <c r="BS49" s="24">
        <f t="shared" si="9"/>
        <v>6.3104807170835597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270.40000000000015</v>
      </c>
      <c r="BZ49" s="14">
        <f>BY49*VLOOKUP('Données projet'!$B$12,Paramètres!$A$1:$I$89,3,0)*VLOOKUP('Données projet'!$B$12,Paramètres!$A$1:$I$89,5,0)</f>
        <v>161.6992000000001</v>
      </c>
      <c r="CA49" s="14">
        <f t="shared" si="39"/>
        <v>41.225538754249229</v>
      </c>
      <c r="CB49" s="22">
        <f t="shared" si="10"/>
        <v>353.42725333031763</v>
      </c>
      <c r="CC49" s="62">
        <f t="shared" si="11"/>
        <v>646.76058666365088</v>
      </c>
      <c r="CD49" s="62">
        <f ca="1">AVERAGE(OFFSET($CC$3,0,0,'Données projet'!$E$12+1,1))-AVERAGE(OFFSET($H$3,0,0,'Données projet'!$E$12+1,1))</f>
        <v>287.69656598881124</v>
      </c>
      <c r="CE49" s="62">
        <f t="shared" si="40"/>
        <v>221.9773436301067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4.3372088973819505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6.2957818953600531E-2</v>
      </c>
      <c r="CN49" s="24">
        <f t="shared" si="12"/>
        <v>4.4001667163355513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5.6843418860808015E-14</v>
      </c>
      <c r="CU49" s="18">
        <f>CT49*VLOOKUP('Données projet'!$B$13,Paramètres!$A$1:$I$89,3,0)*VLOOKUP('Données projet'!$B$13,Paramètres!$A$1:$I$89,5,0)</f>
        <v>3.3992364478763198E-14</v>
      </c>
      <c r="CV49" s="14">
        <f t="shared" si="41"/>
        <v>5.790027782444094E-13</v>
      </c>
      <c r="CW49" s="22">
        <f t="shared" si="13"/>
        <v>1.0676332069095257E-12</v>
      </c>
      <c r="CX49" s="62">
        <f t="shared" si="14"/>
        <v>293.33333333333439</v>
      </c>
      <c r="CY49" s="62">
        <f ca="1">AVERAGE(OFFSET($CX$3,0,0,'Données projet'!$E$13+1,1))-AVERAGE(OFFSET($H$3,0,0,'Données projet'!$E$13+1,1))</f>
        <v>163.03280205647224</v>
      </c>
      <c r="CZ49" s="62">
        <f t="shared" si="42"/>
        <v>277.12388047243826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79.68259894642668</v>
      </c>
      <c r="DG49" s="23">
        <f>EXP(-LN(2)/25)*DG48+(1-EXP(-LN(2)/25))/(LN(2)/25)*Calculateur!DB49*Calculateur!DD49*VLOOKUP('Données projet'!$B$13,Paramètres!$A$1:$I$89,3,0)*0.475*44/12</f>
        <v>2.1452961589940434</v>
      </c>
      <c r="DH49" s="23">
        <f>EXP(-LN(2)/2)*DH48+(1-EXP(-LN(2)/2))/(LN(2)/2)*DB49*DE49*VLOOKUP('Données projet'!$B$13,Paramètres!$A$1:$I$89,3,0)*0.475*44/12</f>
        <v>4.3028071823790608</v>
      </c>
      <c r="DI49" s="24">
        <f t="shared" si="15"/>
        <v>86.130702287799778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149.20000000000005</v>
      </c>
      <c r="O50" s="14">
        <f>N50*VLOOKUP('Données projet'!$B$9,Paramètres!$A$1:$I$89,3,0)*VLOOKUP('Données projet'!$B$9,Paramètres!$A$1:$I$89,5,0)</f>
        <v>130.34112000000005</v>
      </c>
      <c r="P50" s="14">
        <f t="shared" si="33"/>
        <v>34.075170122989917</v>
      </c>
      <c r="Q50" s="22">
        <f t="shared" si="53"/>
        <v>286.35837196420749</v>
      </c>
      <c r="R50" s="62">
        <f t="shared" si="0"/>
        <v>579.69170529754081</v>
      </c>
      <c r="S50" s="62">
        <f ca="1">AVERAGE(OFFSET($R$3,0,0,'Données projet'!$E$9+1,1))-AVERAGE(OFFSET($H$3,0,0,'Données projet'!$E$9+1,1))</f>
        <v>188.31046827337082</v>
      </c>
      <c r="T50" s="62">
        <f t="shared" si="34"/>
        <v>207.32535726327728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310.95287409903602</v>
      </c>
      <c r="AO50" s="62">
        <f t="shared" si="36"/>
        <v>224.10083380795163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17.8</v>
      </c>
      <c r="BD50" s="13">
        <f>IF('Données projet'!$A$88&gt;35,BD49+BC50-BL49,IF(A50&lt;'Données projet'!$A$88,$BA$205^A50,IF(A50='Données projet'!$A$88,'Données projet'!$B$88,BD49+BC50-BL49)))</f>
        <v>575.59999999999991</v>
      </c>
      <c r="BE50" s="14">
        <f>BD50*VLOOKUP('Données projet'!$B$11,Paramètres!$A$1:$I$89,3,0)*VLOOKUP('Données projet'!$B$11,Paramètres!$A$1:$I$89,5,0)</f>
        <v>321.76039999999995</v>
      </c>
      <c r="BF50" s="14">
        <f t="shared" si="37"/>
        <v>75.719522083505169</v>
      </c>
      <c r="BG50" s="22">
        <f t="shared" si="7"/>
        <v>692.27753096210472</v>
      </c>
      <c r="BH50" s="62">
        <f t="shared" si="8"/>
        <v>985.61086429543798</v>
      </c>
      <c r="BI50" s="62">
        <f ca="1">AVERAGE(OFFSET($BH$3,0,0,'Données projet'!$E$11+1,1))-AVERAGE(OFFSET($H$3,0,0,'Données projet'!$E$11+1,1))</f>
        <v>382.55387448074327</v>
      </c>
      <c r="BJ50" s="62">
        <f t="shared" si="38"/>
        <v>476.29465646955543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6.0689026604596936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8.4987330903821601E-2</v>
      </c>
      <c r="BS50" s="24">
        <f t="shared" si="9"/>
        <v>6.1538899913635152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287.80000000000013</v>
      </c>
      <c r="BZ50" s="14">
        <f>BY50*VLOOKUP('Données projet'!$B$12,Paramètres!$A$1:$I$89,3,0)*VLOOKUP('Données projet'!$B$12,Paramètres!$A$1:$I$89,5,0)</f>
        <v>172.10440000000008</v>
      </c>
      <c r="CA50" s="14">
        <f t="shared" si="39"/>
        <v>43.561001176960559</v>
      </c>
      <c r="CB50" s="22">
        <f t="shared" si="10"/>
        <v>375.61724038320648</v>
      </c>
      <c r="CC50" s="62">
        <f t="shared" si="11"/>
        <v>668.95057371653979</v>
      </c>
      <c r="CD50" s="62">
        <f ca="1">AVERAGE(OFFSET($CC$3,0,0,'Données projet'!$E$12+1,1))-AVERAGE(OFFSET($H$3,0,0,'Données projet'!$E$12+1,1))</f>
        <v>287.69656598881124</v>
      </c>
      <c r="CE50" s="62">
        <f t="shared" si="40"/>
        <v>221.9773436301067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4.2521588763405029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4.4517900710805886E-2</v>
      </c>
      <c r="CN50" s="24">
        <f t="shared" si="12"/>
        <v>4.2966767770513092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5.6843418860808015E-14</v>
      </c>
      <c r="CU50" s="18">
        <f>CT50*VLOOKUP('Données projet'!$B$13,Paramètres!$A$1:$I$89,3,0)*VLOOKUP('Données projet'!$B$13,Paramètres!$A$1:$I$89,5,0)</f>
        <v>3.3992364478763198E-14</v>
      </c>
      <c r="CV50" s="14">
        <f t="shared" si="41"/>
        <v>5.790027782444094E-13</v>
      </c>
      <c r="CW50" s="22">
        <f t="shared" si="13"/>
        <v>1.0676332069095257E-12</v>
      </c>
      <c r="CX50" s="62">
        <f t="shared" si="14"/>
        <v>293.33333333333439</v>
      </c>
      <c r="CY50" s="62">
        <f ca="1">AVERAGE(OFFSET($CX$3,0,0,'Données projet'!$E$13+1,1))-AVERAGE(OFFSET($H$3,0,0,'Données projet'!$E$13+1,1))</f>
        <v>163.03280205647224</v>
      </c>
      <c r="CZ50" s="62">
        <f t="shared" si="42"/>
        <v>277.12388047243826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78.120071782673605</v>
      </c>
      <c r="DG50" s="23">
        <f>EXP(-LN(2)/25)*DG49+(1-EXP(-LN(2)/25))/(LN(2)/25)*Calculateur!DB50*Calculateur!DD50*VLOOKUP('Données projet'!$B$13,Paramètres!$A$1:$I$89,3,0)*0.475*44/12</f>
        <v>2.0866329227101295</v>
      </c>
      <c r="DH50" s="23">
        <f>EXP(-LN(2)/2)*DH49+(1-EXP(-LN(2)/2))/(LN(2)/2)*DB50*DE50*VLOOKUP('Données projet'!$B$13,Paramètres!$A$1:$I$89,3,0)*0.475*44/12</f>
        <v>3.0425441367984156</v>
      </c>
      <c r="DI50" s="24">
        <f t="shared" si="15"/>
        <v>83.249248842182141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154.80000000000004</v>
      </c>
      <c r="O51" s="14">
        <f>N51*VLOOKUP('Données projet'!$B$9,Paramètres!$A$1:$I$89,3,0)*VLOOKUP('Données projet'!$B$9,Paramètres!$A$1:$I$89,5,0)</f>
        <v>135.23328000000006</v>
      </c>
      <c r="P51" s="14">
        <f t="shared" si="33"/>
        <v>35.202825080004466</v>
      </c>
      <c r="Q51" s="22">
        <f t="shared" si="53"/>
        <v>296.84288301434117</v>
      </c>
      <c r="R51" s="62">
        <f t="shared" si="0"/>
        <v>590.17621634767443</v>
      </c>
      <c r="S51" s="62">
        <f ca="1">AVERAGE(OFFSET($R$3,0,0,'Données projet'!$E$9+1,1))-AVERAGE(OFFSET($H$3,0,0,'Données projet'!$E$9+1,1))</f>
        <v>188.31046827337082</v>
      </c>
      <c r="T51" s="62">
        <f t="shared" si="34"/>
        <v>207.32535726327728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310.95287409903602</v>
      </c>
      <c r="AO51" s="62">
        <f t="shared" si="36"/>
        <v>224.10083380795163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17.8</v>
      </c>
      <c r="BD51" s="13">
        <f>IF('Données projet'!$A$88&gt;35,BD50+BC51-BL50,IF(A51&lt;'Données projet'!$A$88,$BA$205^A51,IF(A51='Données projet'!$A$88,'Données projet'!$B$88,BD50+BC51-BL50)))</f>
        <v>593.39999999999986</v>
      </c>
      <c r="BE51" s="14">
        <f>BD51*VLOOKUP('Données projet'!$B$11,Paramètres!$A$1:$I$89,3,0)*VLOOKUP('Données projet'!$B$11,Paramètres!$A$1:$I$89,5,0)</f>
        <v>331.71059999999994</v>
      </c>
      <c r="BF51" s="14">
        <f t="shared" si="37"/>
        <v>77.784851407016433</v>
      </c>
      <c r="BG51" s="22">
        <f t="shared" si="7"/>
        <v>713.20457786722011</v>
      </c>
      <c r="BH51" s="62">
        <f t="shared" si="8"/>
        <v>1006.5379112005535</v>
      </c>
      <c r="BI51" s="62">
        <f ca="1">AVERAGE(OFFSET($BH$3,0,0,'Données projet'!$E$11+1,1))-AVERAGE(OFFSET($H$3,0,0,'Données projet'!$E$11+1,1))</f>
        <v>382.55387448074327</v>
      </c>
      <c r="BJ51" s="62">
        <f t="shared" si="38"/>
        <v>476.29465646955543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5.9498951809531926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6.009511799703729E-2</v>
      </c>
      <c r="BS51" s="24">
        <f t="shared" si="9"/>
        <v>6.0099902989502301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305.2000000000001</v>
      </c>
      <c r="BZ51" s="14">
        <f>BY51*VLOOKUP('Données projet'!$B$12,Paramètres!$A$1:$I$89,3,0)*VLOOKUP('Données projet'!$B$12,Paramètres!$A$1:$I$89,5,0)</f>
        <v>182.50960000000006</v>
      </c>
      <c r="CA51" s="14">
        <f t="shared" si="39"/>
        <v>45.880075205637056</v>
      </c>
      <c r="CB51" s="22">
        <f t="shared" si="10"/>
        <v>397.77868431648454</v>
      </c>
      <c r="CC51" s="62">
        <f t="shared" si="11"/>
        <v>691.11201764981786</v>
      </c>
      <c r="CD51" s="62">
        <f ca="1">AVERAGE(OFFSET($CC$3,0,0,'Données projet'!$E$12+1,1))-AVERAGE(OFFSET($H$3,0,0,'Données projet'!$E$12+1,1))</f>
        <v>287.69656598881124</v>
      </c>
      <c r="CE51" s="62">
        <f t="shared" si="40"/>
        <v>221.9773436301067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4.1687766343362878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3.1478909476800265E-2</v>
      </c>
      <c r="CN51" s="24">
        <f t="shared" si="12"/>
        <v>4.2002555438130882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5.6843418860808015E-14</v>
      </c>
      <c r="CU51" s="18">
        <f>CT51*VLOOKUP('Données projet'!$B$13,Paramètres!$A$1:$I$89,3,0)*VLOOKUP('Données projet'!$B$13,Paramètres!$A$1:$I$89,5,0)</f>
        <v>3.3992364478763198E-14</v>
      </c>
      <c r="CV51" s="14">
        <f t="shared" si="41"/>
        <v>5.790027782444094E-13</v>
      </c>
      <c r="CW51" s="22">
        <f t="shared" si="13"/>
        <v>1.0676332069095257E-12</v>
      </c>
      <c r="CX51" s="62">
        <f t="shared" si="14"/>
        <v>293.33333333333439</v>
      </c>
      <c r="CY51" s="62">
        <f ca="1">AVERAGE(OFFSET($CX$3,0,0,'Données projet'!$E$13+1,1))-AVERAGE(OFFSET($H$3,0,0,'Données projet'!$E$13+1,1))</f>
        <v>163.03280205647224</v>
      </c>
      <c r="CZ51" s="62">
        <f t="shared" si="42"/>
        <v>277.12388047243826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76.588184823554258</v>
      </c>
      <c r="DG51" s="23">
        <f>EXP(-LN(2)/25)*DG50+(1-EXP(-LN(2)/25))/(LN(2)/25)*Calculateur!DB51*Calculateur!DD51*VLOOKUP('Données projet'!$B$13,Paramètres!$A$1:$I$89,3,0)*0.475*44/12</f>
        <v>2.0295738357073647</v>
      </c>
      <c r="DH51" s="23">
        <f>EXP(-LN(2)/2)*DH50+(1-EXP(-LN(2)/2))/(LN(2)/2)*DB51*DE51*VLOOKUP('Données projet'!$B$13,Paramètres!$A$1:$I$89,3,0)*0.475*44/12</f>
        <v>2.1514035911895304</v>
      </c>
      <c r="DI51" s="24">
        <f t="shared" si="15"/>
        <v>80.76916225045116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160.40000000000003</v>
      </c>
      <c r="O52" s="14">
        <f>N52*VLOOKUP('Données projet'!$B$9,Paramètres!$A$1:$I$89,3,0)*VLOOKUP('Données projet'!$B$9,Paramètres!$A$1:$I$89,5,0)</f>
        <v>140.12544000000005</v>
      </c>
      <c r="P52" s="14">
        <f t="shared" si="33"/>
        <v>36.325740539490845</v>
      </c>
      <c r="Q52" s="22">
        <f t="shared" si="53"/>
        <v>307.31913943961331</v>
      </c>
      <c r="R52" s="62">
        <f t="shared" si="0"/>
        <v>600.65247277294657</v>
      </c>
      <c r="S52" s="62">
        <f ca="1">AVERAGE(OFFSET($R$3,0,0,'Données projet'!$E$9+1,1))-AVERAGE(OFFSET($H$3,0,0,'Données projet'!$E$9+1,1))</f>
        <v>188.31046827337082</v>
      </c>
      <c r="T52" s="62">
        <f t="shared" si="34"/>
        <v>207.32535726327728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310.95287409903602</v>
      </c>
      <c r="AO52" s="62">
        <f t="shared" si="36"/>
        <v>224.10083380795163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17.8</v>
      </c>
      <c r="BD52" s="13">
        <f>IF('Données projet'!$A$88&gt;35,BD51+BC52-BL51,IF(A52&lt;'Données projet'!$A$88,$BA$205^A52,IF(A52='Données projet'!$A$88,'Données projet'!$B$88,BD51+BC52-BL51)))</f>
        <v>611.19999999999982</v>
      </c>
      <c r="BE52" s="14">
        <f>BD52*VLOOKUP('Données projet'!$B$11,Paramètres!$A$1:$I$89,3,0)*VLOOKUP('Données projet'!$B$11,Paramètres!$A$1:$I$89,5,0)</f>
        <v>341.66079999999988</v>
      </c>
      <c r="BF52" s="14">
        <f t="shared" si="37"/>
        <v>79.842980844864144</v>
      </c>
      <c r="BG52" s="22">
        <f t="shared" si="7"/>
        <v>734.11908497147158</v>
      </c>
      <c r="BH52" s="62">
        <f t="shared" si="8"/>
        <v>1027.452418304805</v>
      </c>
      <c r="BI52" s="62">
        <f ca="1">AVERAGE(OFFSET($BH$3,0,0,'Données projet'!$E$11+1,1))-AVERAGE(OFFSET($H$3,0,0,'Données projet'!$E$11+1,1))</f>
        <v>382.55387448074327</v>
      </c>
      <c r="BJ52" s="62">
        <f t="shared" si="38"/>
        <v>476.29465646955543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5.8332213655324194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4.24936654519108E-2</v>
      </c>
      <c r="BS52" s="24">
        <f t="shared" si="9"/>
        <v>5.8757150309843302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322.60000000000008</v>
      </c>
      <c r="BZ52" s="14">
        <f>BY52*VLOOKUP('Données projet'!$B$12,Paramètres!$A$1:$I$89,3,0)*VLOOKUP('Données projet'!$B$12,Paramètres!$A$1:$I$89,5,0)</f>
        <v>192.91480000000007</v>
      </c>
      <c r="CA52" s="14">
        <f t="shared" si="39"/>
        <v>48.18380163388656</v>
      </c>
      <c r="CB52" s="22">
        <f t="shared" si="10"/>
        <v>419.91339784568589</v>
      </c>
      <c r="CC52" s="62">
        <f t="shared" si="11"/>
        <v>713.24673117901921</v>
      </c>
      <c r="CD52" s="62">
        <f ca="1">AVERAGE(OFFSET($CC$3,0,0,'Données projet'!$E$12+1,1))-AVERAGE(OFFSET($H$3,0,0,'Données projet'!$E$12+1,1))</f>
        <v>287.69656598881124</v>
      </c>
      <c r="CE52" s="62">
        <f t="shared" si="40"/>
        <v>221.9773436301067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4.0870294672396295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2.2258950355402943E-2</v>
      </c>
      <c r="CN52" s="24">
        <f t="shared" si="12"/>
        <v>4.1092884175950326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5.6843418860808015E-14</v>
      </c>
      <c r="CU52" s="18">
        <f>CT52*VLOOKUP('Données projet'!$B$13,Paramètres!$A$1:$I$89,3,0)*VLOOKUP('Données projet'!$B$13,Paramètres!$A$1:$I$89,5,0)</f>
        <v>3.3992364478763198E-14</v>
      </c>
      <c r="CV52" s="14">
        <f t="shared" si="41"/>
        <v>5.790027782444094E-13</v>
      </c>
      <c r="CW52" s="22">
        <f t="shared" si="13"/>
        <v>1.0676332069095257E-12</v>
      </c>
      <c r="CX52" s="62">
        <f t="shared" si="14"/>
        <v>293.33333333333439</v>
      </c>
      <c r="CY52" s="62">
        <f ca="1">AVERAGE(OFFSET($CX$3,0,0,'Données projet'!$E$13+1,1))-AVERAGE(OFFSET($H$3,0,0,'Données projet'!$E$13+1,1))</f>
        <v>163.03280205647224</v>
      </c>
      <c r="CZ52" s="62">
        <f t="shared" si="42"/>
        <v>277.12388047243826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75.086337233344466</v>
      </c>
      <c r="DG52" s="23">
        <f>EXP(-LN(2)/25)*DG51+(1-EXP(-LN(2)/25))/(LN(2)/25)*Calculateur!DB52*Calculateur!DD52*VLOOKUP('Données projet'!$B$13,Paramètres!$A$1:$I$89,3,0)*0.475*44/12</f>
        <v>1.9740750324392975</v>
      </c>
      <c r="DH52" s="23">
        <f>EXP(-LN(2)/2)*DH51+(1-EXP(-LN(2)/2))/(LN(2)/2)*DB52*DE52*VLOOKUP('Données projet'!$B$13,Paramètres!$A$1:$I$89,3,0)*0.475*44/12</f>
        <v>1.5212720683992078</v>
      </c>
      <c r="DI52" s="24">
        <f t="shared" si="15"/>
        <v>78.581684334182981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166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166.00000000000003</v>
      </c>
      <c r="O53" s="14">
        <f>N53*VLOOKUP('Données projet'!$B$9,Paramètres!$A$1:$I$89,3,0)*VLOOKUP('Données projet'!$B$9,Paramètres!$A$1:$I$89,5,0)</f>
        <v>145.01760000000004</v>
      </c>
      <c r="P53" s="14">
        <f t="shared" si="33"/>
        <v>37.444100932065233</v>
      </c>
      <c r="Q53" s="22">
        <f t="shared" si="53"/>
        <v>317.78746245668032</v>
      </c>
      <c r="R53" s="62">
        <f t="shared" si="0"/>
        <v>611.12079579001363</v>
      </c>
      <c r="S53" s="62">
        <f ca="1">AVERAGE(OFFSET($R$3,0,0,'Données projet'!$E$9+1,1))-AVERAGE(OFFSET($H$3,0,0,'Données projet'!$E$9+1,1))</f>
        <v>188.31046827337082</v>
      </c>
      <c r="T53" s="62">
        <f t="shared" si="34"/>
        <v>207.32535726327728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19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310.95287409903602</v>
      </c>
      <c r="AO53" s="62">
        <f t="shared" si="36"/>
        <v>224.10083380795163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629</v>
      </c>
      <c r="BB53" s="13">
        <f>VLOOKUP(A53,'Données projet'!$A$87:$I$107,9,0)</f>
        <v>17.8</v>
      </c>
      <c r="BC53" s="13">
        <f t="array" ref="BC53">INDEX(BB:BB,MIN(IF(ISNUMBER(BB53:BB249),ROW(BB53:BB249),"")))</f>
        <v>17.8</v>
      </c>
      <c r="BD53" s="13">
        <f>IF('Données projet'!$A$88&gt;35,BD52+BC53-BL52,IF(A53&lt;'Données projet'!$A$88,$BA$205^A53,IF(A53='Données projet'!$A$88,'Données projet'!$B$88,BD52+BC53-BL52)))</f>
        <v>628.99999999999977</v>
      </c>
      <c r="BE53" s="14">
        <f>BD53*VLOOKUP('Données projet'!$B$11,Paramètres!$A$1:$I$89,3,0)*VLOOKUP('Données projet'!$B$11,Paramètres!$A$1:$I$89,5,0)</f>
        <v>351.61099999999988</v>
      </c>
      <c r="BF53" s="14">
        <f t="shared" si="37"/>
        <v>81.89414415728541</v>
      </c>
      <c r="BG53" s="22">
        <f t="shared" si="7"/>
        <v>755.02145940727178</v>
      </c>
      <c r="BH53" s="62">
        <f t="shared" si="8"/>
        <v>1048.354792740605</v>
      </c>
      <c r="BI53" s="62">
        <f ca="1">AVERAGE(OFFSET($BH$3,0,0,'Données projet'!$E$11+1,1))-AVERAGE(OFFSET($H$3,0,0,'Données projet'!$E$11+1,1))</f>
        <v>382.55387448074327</v>
      </c>
      <c r="BJ53" s="62">
        <f t="shared" si="38"/>
        <v>476.29465646955543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5.7188354524680465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3.0047558998518645E-2</v>
      </c>
      <c r="BS53" s="24">
        <f t="shared" si="9"/>
        <v>5.7488830114665648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340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340.00000000000006</v>
      </c>
      <c r="BZ53" s="14">
        <f>BY53*VLOOKUP('Données projet'!$B$12,Paramètres!$A$1:$I$89,3,0)*VLOOKUP('Données projet'!$B$12,Paramètres!$A$1:$I$89,5,0)</f>
        <v>203.32000000000005</v>
      </c>
      <c r="CA53" s="14">
        <f t="shared" si="39"/>
        <v>50.473102640215579</v>
      </c>
      <c r="CB53" s="22">
        <f t="shared" si="10"/>
        <v>442.02298709837555</v>
      </c>
      <c r="CC53" s="62">
        <f t="shared" si="11"/>
        <v>735.35632043170881</v>
      </c>
      <c r="CD53" s="62">
        <f ca="1">AVERAGE(OFFSET($CC$3,0,0,'Données projet'!$E$12+1,1))-AVERAGE(OFFSET($H$3,0,0,'Données projet'!$E$12+1,1))</f>
        <v>287.69656598881124</v>
      </c>
      <c r="CE53" s="62">
        <f t="shared" si="40"/>
        <v>221.9773436301067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53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4.0068853122288877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1.5739454738400133E-2</v>
      </c>
      <c r="CN53" s="24">
        <f t="shared" si="12"/>
        <v>4.0226247669672874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5.6843418860808015E-14</v>
      </c>
      <c r="CU53" s="18">
        <f>CT53*VLOOKUP('Données projet'!$B$13,Paramètres!$A$1:$I$89,3,0)*VLOOKUP('Données projet'!$B$13,Paramètres!$A$1:$I$89,5,0)</f>
        <v>3.3992364478763198E-14</v>
      </c>
      <c r="CV53" s="14">
        <f t="shared" si="41"/>
        <v>5.790027782444094E-13</v>
      </c>
      <c r="CW53" s="22">
        <f t="shared" si="13"/>
        <v>1.0676332069095257E-12</v>
      </c>
      <c r="CX53" s="62">
        <f t="shared" si="14"/>
        <v>293.33333333333439</v>
      </c>
      <c r="CY53" s="62">
        <f ca="1">AVERAGE(OFFSET($CX$3,0,0,'Données projet'!$E$13+1,1))-AVERAGE(OFFSET($H$3,0,0,'Données projet'!$E$13+1,1))</f>
        <v>163.03280205647224</v>
      </c>
      <c r="CZ53" s="62">
        <f t="shared" si="42"/>
        <v>277.12388047243826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73.613939958342101</v>
      </c>
      <c r="DG53" s="23">
        <f>EXP(-LN(2)/25)*DG52+(1-EXP(-LN(2)/25))/(LN(2)/25)*Calculateur!DB53*Calculateur!DD53*VLOOKUP('Données projet'!$B$13,Paramètres!$A$1:$I$89,3,0)*0.475*44/12</f>
        <v>1.9200938468651507</v>
      </c>
      <c r="DH53" s="23">
        <f>EXP(-LN(2)/2)*DH52+(1-EXP(-LN(2)/2))/(LN(2)/2)*DB53*DE53*VLOOKUP('Données projet'!$B$13,Paramètres!$A$1:$I$89,3,0)*0.475*44/12</f>
        <v>1.0757017955947652</v>
      </c>
      <c r="DI53" s="24">
        <f t="shared" si="15"/>
        <v>76.609735600802026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</v>
      </c>
      <c r="N54" s="14">
        <f>IF('Données projet'!$A$36&gt;35,N53+M54-V53,IF(A54&lt;'Données projet'!$A$36,$K$205^A54,IF(A54='Données projet'!$A$36,'Données projet'!$B$36,N53+M54-V53)))</f>
        <v>152.00000000000003</v>
      </c>
      <c r="O54" s="14">
        <f>N54*VLOOKUP('Données projet'!$B$9,Paramètres!$A$1:$I$89,3,0)*VLOOKUP('Données projet'!$B$9,Paramètres!$A$1:$I$89,5,0)</f>
        <v>132.78720000000004</v>
      </c>
      <c r="P54" s="14">
        <f t="shared" si="33"/>
        <v>34.639602119854608</v>
      </c>
      <c r="Q54" s="22">
        <f t="shared" si="53"/>
        <v>291.60168035874682</v>
      </c>
      <c r="R54" s="62">
        <f t="shared" si="0"/>
        <v>584.93501369208013</v>
      </c>
      <c r="S54" s="62">
        <f ca="1">AVERAGE(OFFSET($R$3,0,0,'Données projet'!$E$9+1,1))-AVERAGE(OFFSET($H$3,0,0,'Données projet'!$E$9+1,1))</f>
        <v>188.31046827337082</v>
      </c>
      <c r="T54" s="62">
        <f t="shared" si="34"/>
        <v>207.32535726327728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310.95287409903602</v>
      </c>
      <c r="AO54" s="62">
        <f t="shared" si="36"/>
        <v>224.10083380795163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13.8</v>
      </c>
      <c r="BD54" s="13">
        <f>IF('Données projet'!$A$88&gt;35,BD53+BC54-BL53,IF(A54&lt;'Données projet'!$A$88,$BA$205^A54,IF(A54='Données projet'!$A$88,'Données projet'!$B$88,BD53+BC54-BL53)))</f>
        <v>594.79999999999973</v>
      </c>
      <c r="BE54" s="14">
        <f>BD54*VLOOKUP('Données projet'!$B$11,Paramètres!$A$1:$I$89,3,0)*VLOOKUP('Données projet'!$B$11,Paramètres!$A$1:$I$89,5,0)</f>
        <v>332.49319999999983</v>
      </c>
      <c r="BF54" s="14">
        <f t="shared" si="37"/>
        <v>77.946984490524827</v>
      </c>
      <c r="BG54" s="22">
        <f t="shared" si="7"/>
        <v>714.84998798766367</v>
      </c>
      <c r="BH54" s="62">
        <f t="shared" si="8"/>
        <v>1008.183321320997</v>
      </c>
      <c r="BI54" s="62">
        <f ca="1">AVERAGE(OFFSET($BH$3,0,0,'Données projet'!$E$11+1,1))-AVERAGE(OFFSET($H$3,0,0,'Données projet'!$E$11+1,1))</f>
        <v>382.55387448074327</v>
      </c>
      <c r="BJ54" s="62">
        <f t="shared" si="38"/>
        <v>476.29465646955543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5.6066925773903487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2.12468327259554E-2</v>
      </c>
      <c r="BS54" s="24">
        <f t="shared" si="9"/>
        <v>5.6279394101163041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17.625</v>
      </c>
      <c r="BY54" s="13">
        <f>IF('Données projet'!$A$114&gt;35,BY53+BX54-CG53,IF(A54&lt;'Données projet'!$A$114,$BV$205^A54,IF(A54='Données projet'!$A$114,'Données projet'!$B$114,BY53+BX54-CG53)))</f>
        <v>304.62500000000006</v>
      </c>
      <c r="BZ54" s="14">
        <f>BY54*VLOOKUP('Données projet'!$B$12,Paramètres!$A$1:$I$89,3,0)*VLOOKUP('Données projet'!$B$12,Paramètres!$A$1:$I$89,5,0)</f>
        <v>182.16575000000003</v>
      </c>
      <c r="CA54" s="14">
        <f t="shared" si="39"/>
        <v>45.803689728693968</v>
      </c>
      <c r="CB54" s="22">
        <f t="shared" si="10"/>
        <v>397.04677419414202</v>
      </c>
      <c r="CC54" s="62">
        <f t="shared" si="11"/>
        <v>690.38010752747527</v>
      </c>
      <c r="CD54" s="62">
        <f ca="1">AVERAGE(OFFSET($CC$3,0,0,'Données projet'!$E$12+1,1))-AVERAGE(OFFSET($H$3,0,0,'Données projet'!$E$12+1,1))</f>
        <v>287.69656598881124</v>
      </c>
      <c r="CE54" s="62">
        <f t="shared" si="40"/>
        <v>221.9773436301067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3.9283127352147988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1.1129475177701471E-2</v>
      </c>
      <c r="CN54" s="24">
        <f t="shared" si="12"/>
        <v>3.9394422103925004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5.6843418860808015E-14</v>
      </c>
      <c r="CU54" s="18">
        <f>CT54*VLOOKUP('Données projet'!$B$13,Paramètres!$A$1:$I$89,3,0)*VLOOKUP('Données projet'!$B$13,Paramètres!$A$1:$I$89,5,0)</f>
        <v>3.3992364478763198E-14</v>
      </c>
      <c r="CV54" s="14">
        <f t="shared" si="41"/>
        <v>5.790027782444094E-13</v>
      </c>
      <c r="CW54" s="22">
        <f t="shared" si="13"/>
        <v>1.0676332069095257E-12</v>
      </c>
      <c r="CX54" s="62">
        <f t="shared" si="14"/>
        <v>293.33333333333439</v>
      </c>
      <c r="CY54" s="62">
        <f ca="1">AVERAGE(OFFSET($CX$3,0,0,'Données projet'!$E$13+1,1))-AVERAGE(OFFSET($H$3,0,0,'Données projet'!$E$13+1,1))</f>
        <v>163.03280205647224</v>
      </c>
      <c r="CZ54" s="62">
        <f t="shared" si="42"/>
        <v>277.12388047243826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72.170415495828877</v>
      </c>
      <c r="DG54" s="23">
        <f>EXP(-LN(2)/25)*DG53+(1-EXP(-LN(2)/25))/(LN(2)/25)*Calculateur!DB54*Calculateur!DD54*VLOOKUP('Données projet'!$B$13,Paramètres!$A$1:$I$89,3,0)*0.475*44/12</f>
        <v>1.8675887796492763</v>
      </c>
      <c r="DH54" s="23">
        <f>EXP(-LN(2)/2)*DH53+(1-EXP(-LN(2)/2))/(LN(2)/2)*DB54*DE54*VLOOKUP('Données projet'!$B$13,Paramètres!$A$1:$I$89,3,0)*0.475*44/12</f>
        <v>0.76063603419960391</v>
      </c>
      <c r="DI54" s="24">
        <f t="shared" si="15"/>
        <v>74.798640309677765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</v>
      </c>
      <c r="N55" s="14">
        <f>IF('Données projet'!$A$36&gt;35,N54+M55-V54,IF(A55&lt;'Données projet'!$A$36,$K$205^A55,IF(A55='Données projet'!$A$36,'Données projet'!$B$36,N54+M55-V54)))</f>
        <v>157.00000000000003</v>
      </c>
      <c r="O55" s="14">
        <f>N55*VLOOKUP('Données projet'!$B$9,Paramètres!$A$1:$I$89,3,0)*VLOOKUP('Données projet'!$B$9,Paramètres!$A$1:$I$89,5,0)</f>
        <v>137.15520000000006</v>
      </c>
      <c r="P55" s="14">
        <f t="shared" si="33"/>
        <v>35.644525151069693</v>
      </c>
      <c r="Q55" s="22">
        <f t="shared" si="53"/>
        <v>300.95952130477986</v>
      </c>
      <c r="R55" s="62">
        <f t="shared" si="0"/>
        <v>594.29285463811311</v>
      </c>
      <c r="S55" s="62">
        <f ca="1">AVERAGE(OFFSET($R$3,0,0,'Données projet'!$E$9+1,1))-AVERAGE(OFFSET($H$3,0,0,'Données projet'!$E$9+1,1))</f>
        <v>188.31046827337082</v>
      </c>
      <c r="T55" s="62">
        <f t="shared" si="34"/>
        <v>207.32535726327728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310.95287409903602</v>
      </c>
      <c r="AO55" s="62">
        <f t="shared" si="36"/>
        <v>224.10083380795163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13.8</v>
      </c>
      <c r="BD55" s="13">
        <f>IF('Données projet'!$A$88&gt;35,BD54+BC55-BL54,IF(A55&lt;'Données projet'!$A$88,$BA$205^A55,IF(A55='Données projet'!$A$88,'Données projet'!$B$88,BD54+BC55-BL54)))</f>
        <v>608.59999999999968</v>
      </c>
      <c r="BE55" s="14">
        <f>BD55*VLOOKUP('Données projet'!$B$11,Paramètres!$A$1:$I$89,3,0)*VLOOKUP('Données projet'!$B$11,Paramètres!$A$1:$I$89,5,0)</f>
        <v>340.20739999999984</v>
      </c>
      <c r="BF55" s="14">
        <f t="shared" si="37"/>
        <v>79.542795053996059</v>
      </c>
      <c r="BG55" s="22">
        <f t="shared" si="7"/>
        <v>731.06492305237623</v>
      </c>
      <c r="BH55" s="62">
        <f t="shared" si="8"/>
        <v>1024.3982563857096</v>
      </c>
      <c r="BI55" s="62">
        <f ca="1">AVERAGE(OFFSET($BH$3,0,0,'Données projet'!$E$11+1,1))-AVERAGE(OFFSET($H$3,0,0,'Données projet'!$E$11+1,1))</f>
        <v>382.55387448074327</v>
      </c>
      <c r="BJ55" s="62">
        <f t="shared" si="38"/>
        <v>476.29465646955543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5.4967487556925247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1.5023779499259322E-2</v>
      </c>
      <c r="BS55" s="24">
        <f t="shared" si="9"/>
        <v>5.5117725351917839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17.625</v>
      </c>
      <c r="BY55" s="13">
        <f>IF('Données projet'!$A$114&gt;35,BY54+BX55-CG54,IF(A55&lt;'Données projet'!$A$114,$BV$205^A55,IF(A55='Données projet'!$A$114,'Données projet'!$B$114,BY54+BX55-CG54)))</f>
        <v>322.25000000000006</v>
      </c>
      <c r="BZ55" s="14">
        <f>BY55*VLOOKUP('Données projet'!$B$12,Paramètres!$A$1:$I$89,3,0)*VLOOKUP('Données projet'!$B$12,Paramètres!$A$1:$I$89,5,0)</f>
        <v>192.70550000000006</v>
      </c>
      <c r="CA55" s="14">
        <f t="shared" si="39"/>
        <v>48.137607387789963</v>
      </c>
      <c r="CB55" s="22">
        <f t="shared" si="10"/>
        <v>419.46841203373424</v>
      </c>
      <c r="CC55" s="62">
        <f t="shared" si="11"/>
        <v>712.8017453670675</v>
      </c>
      <c r="CD55" s="62">
        <f ca="1">AVERAGE(OFFSET($CC$3,0,0,'Données projet'!$E$12+1,1))-AVERAGE(OFFSET($H$3,0,0,'Données projet'!$E$12+1,1))</f>
        <v>287.69656598881124</v>
      </c>
      <c r="CE55" s="62">
        <f t="shared" si="40"/>
        <v>221.9773436301067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3.8512809185114163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7.8697273692000663E-3</v>
      </c>
      <c r="CN55" s="24">
        <f t="shared" si="12"/>
        <v>3.8591506458806162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5.6843418860808015E-14</v>
      </c>
      <c r="CU55" s="18">
        <f>CT55*VLOOKUP('Données projet'!$B$13,Paramètres!$A$1:$I$89,3,0)*VLOOKUP('Données projet'!$B$13,Paramètres!$A$1:$I$89,5,0)</f>
        <v>3.3992364478763198E-14</v>
      </c>
      <c r="CV55" s="14">
        <f t="shared" si="41"/>
        <v>5.790027782444094E-13</v>
      </c>
      <c r="CW55" s="22">
        <f t="shared" si="13"/>
        <v>1.0676332069095257E-12</v>
      </c>
      <c r="CX55" s="62">
        <f t="shared" si="14"/>
        <v>293.33333333333439</v>
      </c>
      <c r="CY55" s="62">
        <f ca="1">AVERAGE(OFFSET($CX$3,0,0,'Données projet'!$E$13+1,1))-AVERAGE(OFFSET($H$3,0,0,'Données projet'!$E$13+1,1))</f>
        <v>163.03280205647224</v>
      </c>
      <c r="CZ55" s="62">
        <f t="shared" si="42"/>
        <v>277.12388047243826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70.755197667562555</v>
      </c>
      <c r="DG55" s="23">
        <f>EXP(-LN(2)/25)*DG54+(1-EXP(-LN(2)/25))/(LN(2)/25)*Calculateur!DB55*Calculateur!DD55*VLOOKUP('Données projet'!$B$13,Paramètres!$A$1:$I$89,3,0)*0.475*44/12</f>
        <v>1.8165194662575412</v>
      </c>
      <c r="DH55" s="23">
        <f>EXP(-LN(2)/2)*DH54+(1-EXP(-LN(2)/2))/(LN(2)/2)*DB55*DE55*VLOOKUP('Données projet'!$B$13,Paramètres!$A$1:$I$89,3,0)*0.475*44/12</f>
        <v>0.5378508977973826</v>
      </c>
      <c r="DI55" s="24">
        <f t="shared" si="15"/>
        <v>73.109568031617485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</v>
      </c>
      <c r="N56" s="14">
        <f>IF('Données projet'!$A$36&gt;35,N55+M56-V55,IF(A56&lt;'Données projet'!$A$36,$K$205^A56,IF(A56='Données projet'!$A$36,'Données projet'!$B$36,N55+M56-V55)))</f>
        <v>162.00000000000003</v>
      </c>
      <c r="O56" s="14">
        <f>N56*VLOOKUP('Données projet'!$B$9,Paramètres!$A$1:$I$89,3,0)*VLOOKUP('Données projet'!$B$9,Paramètres!$A$1:$I$89,5,0)</f>
        <v>141.52320000000006</v>
      </c>
      <c r="P56" s="14">
        <f t="shared" si="33"/>
        <v>36.645729158274158</v>
      </c>
      <c r="Q56" s="22">
        <f t="shared" si="53"/>
        <v>310.31088495066086</v>
      </c>
      <c r="R56" s="62">
        <f t="shared" si="0"/>
        <v>603.64421828399418</v>
      </c>
      <c r="S56" s="62">
        <f ca="1">AVERAGE(OFFSET($R$3,0,0,'Données projet'!$E$9+1,1))-AVERAGE(OFFSET($H$3,0,0,'Données projet'!$E$9+1,1))</f>
        <v>188.31046827337082</v>
      </c>
      <c r="T56" s="62">
        <f t="shared" si="34"/>
        <v>207.32535726327728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310.95287409903602</v>
      </c>
      <c r="AO56" s="62">
        <f t="shared" si="36"/>
        <v>224.10083380795163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13.8</v>
      </c>
      <c r="BD56" s="13">
        <f>IF('Données projet'!$A$88&gt;35,BD55+BC56-BL55,IF(A56&lt;'Données projet'!$A$88,$BA$205^A56,IF(A56='Données projet'!$A$88,'Données projet'!$B$88,BD55+BC56-BL55)))</f>
        <v>622.39999999999964</v>
      </c>
      <c r="BE56" s="14">
        <f>BD56*VLOOKUP('Données projet'!$B$11,Paramètres!$A$1:$I$89,3,0)*VLOOKUP('Données projet'!$B$11,Paramètres!$A$1:$I$89,5,0)</f>
        <v>347.92159999999978</v>
      </c>
      <c r="BF56" s="14">
        <f t="shared" si="37"/>
        <v>81.134398856989449</v>
      </c>
      <c r="BG56" s="22">
        <f t="shared" si="7"/>
        <v>747.27253134258956</v>
      </c>
      <c r="BH56" s="62">
        <f t="shared" si="8"/>
        <v>1040.6058646759229</v>
      </c>
      <c r="BI56" s="62">
        <f ca="1">AVERAGE(OFFSET($BH$3,0,0,'Données projet'!$E$11+1,1))-AVERAGE(OFFSET($H$3,0,0,'Données projet'!$E$11+1,1))</f>
        <v>382.55387448074327</v>
      </c>
      <c r="BJ56" s="62">
        <f t="shared" si="38"/>
        <v>476.29465646955543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5.3889608652790848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1.06234163629777E-2</v>
      </c>
      <c r="BS56" s="24">
        <f t="shared" si="9"/>
        <v>5.3995842816420625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17.625</v>
      </c>
      <c r="BY56" s="13">
        <f>IF('Données projet'!$A$114&gt;35,BY55+BX56-CG55,IF(A56&lt;'Données projet'!$A$114,$BV$205^A56,IF(A56='Données projet'!$A$114,'Données projet'!$B$114,BY55+BX56-CG55)))</f>
        <v>339.87500000000006</v>
      </c>
      <c r="BZ56" s="14">
        <f>BY56*VLOOKUP('Données projet'!$B$12,Paramètres!$A$1:$I$89,3,0)*VLOOKUP('Données projet'!$B$12,Paramètres!$A$1:$I$89,5,0)</f>
        <v>203.24525000000006</v>
      </c>
      <c r="CA56" s="14">
        <f t="shared" si="39"/>
        <v>50.45670595349123</v>
      </c>
      <c r="CB56" s="22">
        <f t="shared" si="10"/>
        <v>441.86423995233059</v>
      </c>
      <c r="CC56" s="62">
        <f t="shared" si="11"/>
        <v>735.19757328566391</v>
      </c>
      <c r="CD56" s="62">
        <f ca="1">AVERAGE(OFFSET($CC$3,0,0,'Données projet'!$E$12+1,1))-AVERAGE(OFFSET($H$3,0,0,'Données projet'!$E$12+1,1))</f>
        <v>287.69656598881124</v>
      </c>
      <c r="CE56" s="62">
        <f t="shared" si="40"/>
        <v>221.9773436301067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3.7757596487488185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5.5647375888507357E-3</v>
      </c>
      <c r="CN56" s="24">
        <f t="shared" si="12"/>
        <v>3.7813243863376691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5.6843418860808015E-14</v>
      </c>
      <c r="CU56" s="18">
        <f>CT56*VLOOKUP('Données projet'!$B$13,Paramètres!$A$1:$I$89,3,0)*VLOOKUP('Données projet'!$B$13,Paramètres!$A$1:$I$89,5,0)</f>
        <v>3.3992364478763198E-14</v>
      </c>
      <c r="CV56" s="14">
        <f t="shared" si="41"/>
        <v>5.790027782444094E-13</v>
      </c>
      <c r="CW56" s="22">
        <f t="shared" si="13"/>
        <v>1.0676332069095257E-12</v>
      </c>
      <c r="CX56" s="62">
        <f t="shared" si="14"/>
        <v>293.33333333333439</v>
      </c>
      <c r="CY56" s="62">
        <f ca="1">AVERAGE(OFFSET($CX$3,0,0,'Données projet'!$E$13+1,1))-AVERAGE(OFFSET($H$3,0,0,'Données projet'!$E$13+1,1))</f>
        <v>163.03280205647224</v>
      </c>
      <c r="CZ56" s="62">
        <f t="shared" si="42"/>
        <v>277.12388047243826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69.367731397710884</v>
      </c>
      <c r="DG56" s="23">
        <f>EXP(-LN(2)/25)*DG55+(1-EXP(-LN(2)/25))/(LN(2)/25)*Calculateur!DB56*Calculateur!DD56*VLOOKUP('Données projet'!$B$13,Paramètres!$A$1:$I$89,3,0)*0.475*44/12</f>
        <v>1.7668466459261218</v>
      </c>
      <c r="DH56" s="23">
        <f>EXP(-LN(2)/2)*DH55+(1-EXP(-LN(2)/2))/(LN(2)/2)*DB56*DE56*VLOOKUP('Données projet'!$B$13,Paramètres!$A$1:$I$89,3,0)*0.475*44/12</f>
        <v>0.38031801709980195</v>
      </c>
      <c r="DI56" s="24">
        <f t="shared" si="15"/>
        <v>71.514896060736802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</v>
      </c>
      <c r="N57" s="14">
        <f>IF('Données projet'!$A$36&gt;35,N56+M57-V56,IF(A57&lt;'Données projet'!$A$36,$K$205^A57,IF(A57='Données projet'!$A$36,'Données projet'!$B$36,N56+M57-V56)))</f>
        <v>167.00000000000003</v>
      </c>
      <c r="O57" s="14">
        <f>N57*VLOOKUP('Données projet'!$B$9,Paramètres!$A$1:$I$89,3,0)*VLOOKUP('Données projet'!$B$9,Paramètres!$A$1:$I$89,5,0)</f>
        <v>145.89120000000005</v>
      </c>
      <c r="P57" s="14">
        <f t="shared" si="33"/>
        <v>37.643342098399685</v>
      </c>
      <c r="Q57" s="22">
        <f t="shared" si="53"/>
        <v>319.65599415471291</v>
      </c>
      <c r="R57" s="62">
        <f t="shared" si="0"/>
        <v>612.98932748804623</v>
      </c>
      <c r="S57" s="62">
        <f ca="1">AVERAGE(OFFSET($R$3,0,0,'Données projet'!$E$9+1,1))-AVERAGE(OFFSET($H$3,0,0,'Données projet'!$E$9+1,1))</f>
        <v>188.31046827337082</v>
      </c>
      <c r="T57" s="62">
        <f t="shared" si="34"/>
        <v>207.32535726327728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310.95287409903602</v>
      </c>
      <c r="AO57" s="62">
        <f t="shared" si="36"/>
        <v>224.10083380795163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13.8</v>
      </c>
      <c r="BD57" s="13">
        <f>IF('Données projet'!$A$88&gt;35,BD56+BC57-BL56,IF(A57&lt;'Données projet'!$A$88,$BA$205^A57,IF(A57='Données projet'!$A$88,'Données projet'!$B$88,BD56+BC57-BL56)))</f>
        <v>636.19999999999959</v>
      </c>
      <c r="BE57" s="14">
        <f>BD57*VLOOKUP('Données projet'!$B$11,Paramètres!$A$1:$I$89,3,0)*VLOOKUP('Données projet'!$B$11,Paramètres!$A$1:$I$89,5,0)</f>
        <v>355.63579999999973</v>
      </c>
      <c r="BF57" s="14">
        <f t="shared" si="37"/>
        <v>82.721899912765039</v>
      </c>
      <c r="BG57" s="22">
        <f t="shared" si="7"/>
        <v>763.47299401473185</v>
      </c>
      <c r="BH57" s="62">
        <f t="shared" si="8"/>
        <v>1056.8063273480652</v>
      </c>
      <c r="BI57" s="62">
        <f ca="1">AVERAGE(OFFSET($BH$3,0,0,'Données projet'!$E$11+1,1))-AVERAGE(OFFSET($H$3,0,0,'Données projet'!$E$11+1,1))</f>
        <v>382.55387448074327</v>
      </c>
      <c r="BJ57" s="62">
        <f t="shared" si="38"/>
        <v>476.29465646955543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5.2832866296525314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7.5118897496296612E-3</v>
      </c>
      <c r="BS57" s="24">
        <f t="shared" si="9"/>
        <v>5.2907985194021609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17.625</v>
      </c>
      <c r="BY57" s="13">
        <f>IF('Données projet'!$A$114&gt;35,BY56+BX57-CG56,IF(A57&lt;'Données projet'!$A$114,$BV$205^A57,IF(A57='Données projet'!$A$114,'Données projet'!$B$114,BY56+BX57-CG56)))</f>
        <v>357.50000000000006</v>
      </c>
      <c r="BZ57" s="14">
        <f>BY57*VLOOKUP('Données projet'!$B$12,Paramètres!$A$1:$I$89,3,0)*VLOOKUP('Données projet'!$B$12,Paramètres!$A$1:$I$89,5,0)</f>
        <v>213.78500000000005</v>
      </c>
      <c r="CA57" s="14">
        <f t="shared" si="39"/>
        <v>52.761841557402377</v>
      </c>
      <c r="CB57" s="22">
        <f t="shared" si="10"/>
        <v>464.2357490458092</v>
      </c>
      <c r="CC57" s="62">
        <f t="shared" si="11"/>
        <v>757.56908237914251</v>
      </c>
      <c r="CD57" s="62">
        <f ca="1">AVERAGE(OFFSET($CC$3,0,0,'Données projet'!$E$12+1,1))-AVERAGE(OFFSET($H$3,0,0,'Données projet'!$E$12+1,1))</f>
        <v>287.69656598881124</v>
      </c>
      <c r="CE57" s="62">
        <f t="shared" si="40"/>
        <v>221.9773436301067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3.7017193050228387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3.9348636846000332E-3</v>
      </c>
      <c r="CN57" s="24">
        <f t="shared" si="12"/>
        <v>3.7056541687074387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5.6843418860808015E-14</v>
      </c>
      <c r="CU57" s="18">
        <f>CT57*VLOOKUP('Données projet'!$B$13,Paramètres!$A$1:$I$89,3,0)*VLOOKUP('Données projet'!$B$13,Paramètres!$A$1:$I$89,5,0)</f>
        <v>3.3992364478763198E-14</v>
      </c>
      <c r="CV57" s="14">
        <f t="shared" si="41"/>
        <v>5.790027782444094E-13</v>
      </c>
      <c r="CW57" s="22">
        <f t="shared" si="13"/>
        <v>1.0676332069095257E-12</v>
      </c>
      <c r="CX57" s="62">
        <f t="shared" si="14"/>
        <v>293.33333333333439</v>
      </c>
      <c r="CY57" s="62">
        <f ca="1">AVERAGE(OFFSET($CX$3,0,0,'Données projet'!$E$13+1,1))-AVERAGE(OFFSET($H$3,0,0,'Données projet'!$E$13+1,1))</f>
        <v>163.03280205647224</v>
      </c>
      <c r="CZ57" s="62">
        <f t="shared" si="42"/>
        <v>277.12388047243826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68.007472495140149</v>
      </c>
      <c r="DG57" s="23">
        <f>EXP(-LN(2)/25)*DG56+(1-EXP(-LN(2)/25))/(LN(2)/25)*Calculateur!DB57*Calculateur!DD57*VLOOKUP('Données projet'!$B$13,Paramètres!$A$1:$I$89,3,0)*0.475*44/12</f>
        <v>1.7185321314788451</v>
      </c>
      <c r="DH57" s="23">
        <f>EXP(-LN(2)/2)*DH56+(1-EXP(-LN(2)/2))/(LN(2)/2)*DB57*DE57*VLOOKUP('Données projet'!$B$13,Paramètres!$A$1:$I$89,3,0)*0.475*44/12</f>
        <v>0.2689254488986913</v>
      </c>
      <c r="DI57" s="24">
        <f t="shared" si="15"/>
        <v>69.994930075517672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172</v>
      </c>
      <c r="L58" s="13">
        <f>VLOOKUP(A58,'Données projet'!$A$35:$I$55,9,0)</f>
        <v>5</v>
      </c>
      <c r="M58" s="13">
        <f t="array" ref="M58">INDEX(L:L,MIN(IF(ISNUMBER(L58:L254),ROW(L58:L254),"")))</f>
        <v>5</v>
      </c>
      <c r="N58" s="14">
        <f>IF('Données projet'!$A$36&gt;35,N57+M58-V57,IF(A58&lt;'Données projet'!$A$36,$K$205^A58,IF(A58='Données projet'!$A$36,'Données projet'!$B$36,N57+M58-V57)))</f>
        <v>172.00000000000003</v>
      </c>
      <c r="O58" s="14">
        <f>N58*VLOOKUP('Données projet'!$B$9,Paramètres!$A$1:$I$89,3,0)*VLOOKUP('Données projet'!$B$9,Paramètres!$A$1:$I$89,5,0)</f>
        <v>150.25920000000005</v>
      </c>
      <c r="P58" s="14">
        <f t="shared" si="33"/>
        <v>38.637483830798729</v>
      </c>
      <c r="Q58" s="22">
        <f t="shared" si="53"/>
        <v>328.99505767197456</v>
      </c>
      <c r="R58" s="62">
        <f t="shared" si="0"/>
        <v>622.32839100530782</v>
      </c>
      <c r="S58" s="62">
        <f ca="1">AVERAGE(OFFSET($R$3,0,0,'Données projet'!$E$9+1,1))-AVERAGE(OFFSET($H$3,0,0,'Données projet'!$E$9+1,1))</f>
        <v>188.31046827337082</v>
      </c>
      <c r="T58" s="62">
        <f t="shared" si="34"/>
        <v>207.32535726327728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18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310.95287409903602</v>
      </c>
      <c r="AO58" s="62">
        <f t="shared" si="36"/>
        <v>224.10083380795163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650</v>
      </c>
      <c r="BB58" s="13">
        <f>VLOOKUP(A58,'Données projet'!$A$87:$I$107,9,0)</f>
        <v>13.8</v>
      </c>
      <c r="BC58" s="13">
        <f t="array" ref="BC58">INDEX(BB:BB,MIN(IF(ISNUMBER(BB58:BB254),ROW(BB58:BB254),"")))</f>
        <v>13.8</v>
      </c>
      <c r="BD58" s="13">
        <f>IF('Données projet'!$A$88&gt;35,BD57+BC58-BL57,IF(A58&lt;'Données projet'!$A$88,$BA$205^A58,IF(A58='Données projet'!$A$88,'Données projet'!$B$88,BD57+BC58-BL57)))</f>
        <v>649.99999999999955</v>
      </c>
      <c r="BE58" s="14">
        <f>BD58*VLOOKUP('Données projet'!$B$11,Paramètres!$A$1:$I$89,3,0)*VLOOKUP('Données projet'!$B$11,Paramètres!$A$1:$I$89,5,0)</f>
        <v>363.34999999999974</v>
      </c>
      <c r="BF58" s="14">
        <f t="shared" si="37"/>
        <v>84.305397464498199</v>
      </c>
      <c r="BG58" s="22">
        <f t="shared" si="7"/>
        <v>779.66648391733395</v>
      </c>
      <c r="BH58" s="62">
        <f t="shared" si="8"/>
        <v>1072.9998172506673</v>
      </c>
      <c r="BI58" s="62">
        <f ca="1">AVERAGE(OFFSET($BH$3,0,0,'Données projet'!$E$11+1,1))-AVERAGE(OFFSET($H$3,0,0,'Données projet'!$E$11+1,1))</f>
        <v>382.55387448074327</v>
      </c>
      <c r="BJ58" s="62">
        <f t="shared" si="38"/>
        <v>476.29465646955543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5.1796846013316955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5.31170818148885E-3</v>
      </c>
      <c r="BS58" s="24">
        <f t="shared" si="9"/>
        <v>5.1849963095131848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17.625</v>
      </c>
      <c r="BY58" s="13">
        <f>IF('Données projet'!$A$114&gt;35,BY57+BX58-CG57,IF(A58&lt;'Données projet'!$A$114,$BV$205^A58,IF(A58='Données projet'!$A$114,'Données projet'!$B$114,BY57+BX58-CG57)))</f>
        <v>375.12500000000006</v>
      </c>
      <c r="BZ58" s="14">
        <f>BY58*VLOOKUP('Données projet'!$B$12,Paramètres!$A$1:$I$89,3,0)*VLOOKUP('Données projet'!$B$12,Paramètres!$A$1:$I$89,5,0)</f>
        <v>224.32475000000005</v>
      </c>
      <c r="CA58" s="14">
        <f t="shared" si="39"/>
        <v>55.053781146410472</v>
      </c>
      <c r="CB58" s="22">
        <f t="shared" si="10"/>
        <v>486.58427507999835</v>
      </c>
      <c r="CC58" s="62">
        <f t="shared" si="11"/>
        <v>779.91760841333166</v>
      </c>
      <c r="CD58" s="62">
        <f ca="1">AVERAGE(OFFSET($CC$3,0,0,'Données projet'!$E$12+1,1))-AVERAGE(OFFSET($H$3,0,0,'Données projet'!$E$12+1,1))</f>
        <v>287.69656598881124</v>
      </c>
      <c r="CE58" s="62">
        <f t="shared" si="40"/>
        <v>221.9773436301067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3.6291308472771751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2.7823687944253678E-3</v>
      </c>
      <c r="CN58" s="24">
        <f t="shared" si="12"/>
        <v>3.6319132160716006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5.6843418860808015E-14</v>
      </c>
      <c r="CU58" s="18">
        <f>CT58*VLOOKUP('Données projet'!$B$13,Paramètres!$A$1:$I$89,3,0)*VLOOKUP('Données projet'!$B$13,Paramètres!$A$1:$I$89,5,0)</f>
        <v>3.3992364478763198E-14</v>
      </c>
      <c r="CV58" s="14">
        <f t="shared" si="41"/>
        <v>5.790027782444094E-13</v>
      </c>
      <c r="CW58" s="22">
        <f t="shared" si="13"/>
        <v>1.0676332069095257E-12</v>
      </c>
      <c r="CX58" s="62">
        <f t="shared" si="14"/>
        <v>293.33333333333439</v>
      </c>
      <c r="CY58" s="62">
        <f ca="1">AVERAGE(OFFSET($CX$3,0,0,'Données projet'!$E$13+1,1))-AVERAGE(OFFSET($H$3,0,0,'Données projet'!$E$13+1,1))</f>
        <v>163.03280205647224</v>
      </c>
      <c r="CZ58" s="62">
        <f t="shared" si="42"/>
        <v>277.12388047243826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66.673887439972816</v>
      </c>
      <c r="DG58" s="23">
        <f>EXP(-LN(2)/25)*DG57+(1-EXP(-LN(2)/25))/(LN(2)/25)*Calculateur!DB58*Calculateur!DD58*VLOOKUP('Données projet'!$B$13,Paramètres!$A$1:$I$89,3,0)*0.475*44/12</f>
        <v>1.6715387799698791</v>
      </c>
      <c r="DH58" s="23">
        <f>EXP(-LN(2)/2)*DH57+(1-EXP(-LN(2)/2))/(LN(2)/2)*DB58*DE58*VLOOKUP('Données projet'!$B$13,Paramètres!$A$1:$I$89,3,0)*0.475*44/12</f>
        <v>0.19015900854990098</v>
      </c>
      <c r="DI58" s="24">
        <f t="shared" si="15"/>
        <v>68.535585228492593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4.5999999999999996</v>
      </c>
      <c r="N59" s="14">
        <f>IF('Données projet'!$A$36&gt;35,N58+M59-V58,IF(A59&lt;'Données projet'!$A$36,$K$205^A59,IF(A59='Données projet'!$A$36,'Données projet'!$B$36,N58+M59-V58)))</f>
        <v>158.60000000000002</v>
      </c>
      <c r="O59" s="14">
        <f>N59*VLOOKUP('Données projet'!$B$9,Paramètres!$A$1:$I$89,3,0)*VLOOKUP('Données projet'!$B$9,Paramètres!$A$1:$I$89,5,0)</f>
        <v>138.55296000000004</v>
      </c>
      <c r="P59" s="14">
        <f t="shared" si="33"/>
        <v>35.965308766301796</v>
      </c>
      <c r="Q59" s="22">
        <f t="shared" si="53"/>
        <v>303.95265143464235</v>
      </c>
      <c r="R59" s="62">
        <f t="shared" si="0"/>
        <v>597.28598476797561</v>
      </c>
      <c r="S59" s="62">
        <f ca="1">AVERAGE(OFFSET($R$3,0,0,'Données projet'!$E$9+1,1))-AVERAGE(OFFSET($H$3,0,0,'Données projet'!$E$9+1,1))</f>
        <v>188.31046827337082</v>
      </c>
      <c r="T59" s="62">
        <f t="shared" si="34"/>
        <v>207.32535726327728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310.95287409903602</v>
      </c>
      <c r="AO59" s="62">
        <f t="shared" si="36"/>
        <v>224.10083380795163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10.199999999999999</v>
      </c>
      <c r="BD59" s="13">
        <f>IF('Données projet'!$A$88&gt;35,BD58+BC59-BL58,IF(A59&lt;'Données projet'!$A$88,$BA$205^A59,IF(A59='Données projet'!$A$88,'Données projet'!$B$88,BD58+BC59-BL58)))</f>
        <v>625.19999999999959</v>
      </c>
      <c r="BE59" s="14">
        <f>BD59*VLOOKUP('Données projet'!$B$11,Paramètres!$A$1:$I$89,3,0)*VLOOKUP('Données projet'!$B$11,Paramètres!$A$1:$I$89,5,0)</f>
        <v>349.48679999999979</v>
      </c>
      <c r="BF59" s="14">
        <f t="shared" si="37"/>
        <v>81.45682900536228</v>
      </c>
      <c r="BG59" s="22">
        <f t="shared" si="7"/>
        <v>750.56015385100557</v>
      </c>
      <c r="BH59" s="62">
        <f t="shared" si="8"/>
        <v>1043.8934871843389</v>
      </c>
      <c r="BI59" s="62">
        <f ca="1">AVERAGE(OFFSET($BH$3,0,0,'Données projet'!$E$11+1,1))-AVERAGE(OFFSET($H$3,0,0,'Données projet'!$E$11+1,1))</f>
        <v>382.55387448074327</v>
      </c>
      <c r="BJ59" s="62">
        <f t="shared" si="38"/>
        <v>476.29465646955543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5.078114145595233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3.7559448748148306E-3</v>
      </c>
      <c r="BS59" s="24">
        <f t="shared" si="9"/>
        <v>5.0818700904700478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17.625</v>
      </c>
      <c r="BY59" s="13">
        <f>IF('Données projet'!$A$114&gt;35,BY58+BX59-CG58,IF(A59&lt;'Données projet'!$A$114,$BV$205^A59,IF(A59='Données projet'!$A$114,'Données projet'!$B$114,BY58+BX59-CG58)))</f>
        <v>392.75000000000006</v>
      </c>
      <c r="BZ59" s="14">
        <f>BY59*VLOOKUP('Données projet'!$B$12,Paramètres!$A$1:$I$89,3,0)*VLOOKUP('Données projet'!$B$12,Paramètres!$A$1:$I$89,5,0)</f>
        <v>234.86450000000002</v>
      </c>
      <c r="CA59" s="14">
        <f t="shared" si="39"/>
        <v>57.33321552572081</v>
      </c>
      <c r="CB59" s="22">
        <f t="shared" si="10"/>
        <v>508.9110212072971</v>
      </c>
      <c r="CC59" s="62">
        <f t="shared" si="11"/>
        <v>802.24435454063041</v>
      </c>
      <c r="CD59" s="62">
        <f ca="1">AVERAGE(OFFSET($CC$3,0,0,'Données projet'!$E$12+1,1))-AVERAGE(OFFSET($H$3,0,0,'Données projet'!$E$12+1,1))</f>
        <v>287.69656598881124</v>
      </c>
      <c r="CE59" s="62">
        <f t="shared" si="40"/>
        <v>221.9773436301067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3.5579658049133163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1.9674318423000166E-3</v>
      </c>
      <c r="CN59" s="24">
        <f t="shared" si="12"/>
        <v>3.5599332367556165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5.6843418860808015E-14</v>
      </c>
      <c r="CU59" s="18">
        <f>CT59*VLOOKUP('Données projet'!$B$13,Paramètres!$A$1:$I$89,3,0)*VLOOKUP('Données projet'!$B$13,Paramètres!$A$1:$I$89,5,0)</f>
        <v>3.3992364478763198E-14</v>
      </c>
      <c r="CV59" s="14">
        <f t="shared" si="41"/>
        <v>5.790027782444094E-13</v>
      </c>
      <c r="CW59" s="22">
        <f t="shared" si="13"/>
        <v>1.0676332069095257E-12</v>
      </c>
      <c r="CX59" s="62">
        <f t="shared" si="14"/>
        <v>293.33333333333439</v>
      </c>
      <c r="CY59" s="62">
        <f ca="1">AVERAGE(OFFSET($CX$3,0,0,'Données projet'!$E$13+1,1))-AVERAGE(OFFSET($H$3,0,0,'Données projet'!$E$13+1,1))</f>
        <v>163.03280205647224</v>
      </c>
      <c r="CZ59" s="62">
        <f t="shared" si="42"/>
        <v>277.12388047243826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65.366453174330744</v>
      </c>
      <c r="DG59" s="23">
        <f>EXP(-LN(2)/25)*DG58+(1-EXP(-LN(2)/25))/(LN(2)/25)*Calculateur!DB59*Calculateur!DD59*VLOOKUP('Données projet'!$B$13,Paramètres!$A$1:$I$89,3,0)*0.475*44/12</f>
        <v>1.6258304641291987</v>
      </c>
      <c r="DH59" s="23">
        <f>EXP(-LN(2)/2)*DH58+(1-EXP(-LN(2)/2))/(LN(2)/2)*DB59*DE59*VLOOKUP('Données projet'!$B$13,Paramètres!$A$1:$I$89,3,0)*0.475*44/12</f>
        <v>0.13446272444934565</v>
      </c>
      <c r="DI59" s="24">
        <f t="shared" si="15"/>
        <v>67.126746362909287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4.5999999999999996</v>
      </c>
      <c r="N60" s="14">
        <f>IF('Données projet'!$A$36&gt;35,N59+M60-V59,IF(A60&lt;'Données projet'!$A$36,$K$205^A60,IF(A60='Données projet'!$A$36,'Données projet'!$B$36,N59+M60-V59)))</f>
        <v>163.20000000000002</v>
      </c>
      <c r="O60" s="14">
        <f>N60*VLOOKUP('Données projet'!$B$9,Paramètres!$A$1:$I$89,3,0)*VLOOKUP('Données projet'!$B$9,Paramètres!$A$1:$I$89,5,0)</f>
        <v>142.57152000000005</v>
      </c>
      <c r="P60" s="14">
        <f t="shared" si="33"/>
        <v>36.885479122455578</v>
      </c>
      <c r="Q60" s="22">
        <f t="shared" si="53"/>
        <v>312.5542734716102</v>
      </c>
      <c r="R60" s="62">
        <f t="shared" si="0"/>
        <v>605.88760680494352</v>
      </c>
      <c r="S60" s="62">
        <f ca="1">AVERAGE(OFFSET($R$3,0,0,'Données projet'!$E$9+1,1))-AVERAGE(OFFSET($H$3,0,0,'Données projet'!$E$9+1,1))</f>
        <v>188.31046827337082</v>
      </c>
      <c r="T60" s="62">
        <f t="shared" si="34"/>
        <v>207.32535726327728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310.95287409903602</v>
      </c>
      <c r="AO60" s="62">
        <f t="shared" si="36"/>
        <v>224.10083380795163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10.199999999999999</v>
      </c>
      <c r="BD60" s="13">
        <f>IF('Données projet'!$A$88&gt;35,BD59+BC60-BL59,IF(A60&lt;'Données projet'!$A$88,$BA$205^A60,IF(A60='Données projet'!$A$88,'Données projet'!$B$88,BD59+BC60-BL59)))</f>
        <v>635.39999999999964</v>
      </c>
      <c r="BE60" s="14">
        <f>BD60*VLOOKUP('Données projet'!$B$11,Paramètres!$A$1:$I$89,3,0)*VLOOKUP('Données projet'!$B$11,Paramètres!$A$1:$I$89,5,0)</f>
        <v>355.18859999999984</v>
      </c>
      <c r="BF60" s="14">
        <f t="shared" si="37"/>
        <v>82.629981116726043</v>
      </c>
      <c r="BG60" s="22">
        <f t="shared" si="7"/>
        <v>762.53402877829774</v>
      </c>
      <c r="BH60" s="62">
        <f t="shared" si="8"/>
        <v>1055.8673621116311</v>
      </c>
      <c r="BI60" s="62">
        <f ca="1">AVERAGE(OFFSET($BH$3,0,0,'Données projet'!$E$11+1,1))-AVERAGE(OFFSET($H$3,0,0,'Données projet'!$E$11+1,1))</f>
        <v>382.55387448074327</v>
      </c>
      <c r="BJ60" s="62">
        <f t="shared" si="38"/>
        <v>476.29465646955543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4.9785354245439022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2.655854090744425E-3</v>
      </c>
      <c r="BS60" s="24">
        <f t="shared" si="9"/>
        <v>4.9811912786346468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17.625</v>
      </c>
      <c r="BY60" s="13">
        <f>IF('Données projet'!$A$114&gt;35,BY59+BX60-CG59,IF(A60&lt;'Données projet'!$A$114,$BV$205^A60,IF(A60='Données projet'!$A$114,'Données projet'!$B$114,BY59+BX60-CG59)))</f>
        <v>410.37500000000006</v>
      </c>
      <c r="BZ60" s="14">
        <f>BY60*VLOOKUP('Données projet'!$B$12,Paramètres!$A$1:$I$89,3,0)*VLOOKUP('Données projet'!$B$12,Paramètres!$A$1:$I$89,5,0)</f>
        <v>245.40425000000005</v>
      </c>
      <c r="CA60" s="14">
        <f t="shared" si="39"/>
        <v>59.60076999447687</v>
      </c>
      <c r="CB60" s="22">
        <f t="shared" si="10"/>
        <v>531.21707649038069</v>
      </c>
      <c r="CC60" s="62">
        <f t="shared" si="11"/>
        <v>824.55040982371406</v>
      </c>
      <c r="CD60" s="62">
        <f ca="1">AVERAGE(OFFSET($CC$3,0,0,'Données projet'!$E$12+1,1))-AVERAGE(OFFSET($H$3,0,0,'Données projet'!$E$12+1,1))</f>
        <v>287.69656598881124</v>
      </c>
      <c r="CE60" s="62">
        <f t="shared" si="40"/>
        <v>221.9773436301067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3.4881962656238232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1.3911843972126839E-3</v>
      </c>
      <c r="CN60" s="24">
        <f t="shared" si="12"/>
        <v>3.4895874500210358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5.6843418860808015E-14</v>
      </c>
      <c r="CU60" s="18">
        <f>CT60*VLOOKUP('Données projet'!$B$13,Paramètres!$A$1:$I$89,3,0)*VLOOKUP('Données projet'!$B$13,Paramètres!$A$1:$I$89,5,0)</f>
        <v>3.3992364478763198E-14</v>
      </c>
      <c r="CV60" s="14">
        <f t="shared" si="41"/>
        <v>5.790027782444094E-13</v>
      </c>
      <c r="CW60" s="22">
        <f t="shared" si="13"/>
        <v>1.0676332069095257E-12</v>
      </c>
      <c r="CX60" s="62">
        <f t="shared" si="14"/>
        <v>293.33333333333439</v>
      </c>
      <c r="CY60" s="62">
        <f ca="1">AVERAGE(OFFSET($CX$3,0,0,'Données projet'!$E$13+1,1))-AVERAGE(OFFSET($H$3,0,0,'Données projet'!$E$13+1,1))</f>
        <v>163.03280205647224</v>
      </c>
      <c r="CZ60" s="62">
        <f t="shared" si="42"/>
        <v>277.12388047243826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64.084656897181759</v>
      </c>
      <c r="DG60" s="23">
        <f>EXP(-LN(2)/25)*DG59+(1-EXP(-LN(2)/25))/(LN(2)/25)*Calculateur!DB60*Calculateur!DD60*VLOOKUP('Données projet'!$B$13,Paramètres!$A$1:$I$89,3,0)*0.475*44/12</f>
        <v>1.5813720445888775</v>
      </c>
      <c r="DH60" s="23">
        <f>EXP(-LN(2)/2)*DH59+(1-EXP(-LN(2)/2))/(LN(2)/2)*DB60*DE60*VLOOKUP('Données projet'!$B$13,Paramètres!$A$1:$I$89,3,0)*0.475*44/12</f>
        <v>9.5079504274950488E-2</v>
      </c>
      <c r="DI60" s="24">
        <f t="shared" si="15"/>
        <v>65.761108446045583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4.5999999999999996</v>
      </c>
      <c r="N61" s="14">
        <f>IF('Données projet'!$A$36&gt;35,N60+M61-V60,IF(A61&lt;'Données projet'!$A$36,$K$205^A61,IF(A61='Données projet'!$A$36,'Données projet'!$B$36,N60+M61-V60)))</f>
        <v>167.8</v>
      </c>
      <c r="O61" s="14">
        <f>N61*VLOOKUP('Données projet'!$B$9,Paramètres!$A$1:$I$89,3,0)*VLOOKUP('Données projet'!$B$9,Paramètres!$A$1:$I$89,5,0)</f>
        <v>146.59008000000003</v>
      </c>
      <c r="P61" s="14">
        <f t="shared" si="33"/>
        <v>37.802635033193511</v>
      </c>
      <c r="Q61" s="22">
        <f t="shared" si="53"/>
        <v>321.15064534947874</v>
      </c>
      <c r="R61" s="62">
        <f t="shared" si="0"/>
        <v>614.48397868281199</v>
      </c>
      <c r="S61" s="62">
        <f ca="1">AVERAGE(OFFSET($R$3,0,0,'Données projet'!$E$9+1,1))-AVERAGE(OFFSET($H$3,0,0,'Données projet'!$E$9+1,1))</f>
        <v>188.31046827337082</v>
      </c>
      <c r="T61" s="62">
        <f t="shared" si="34"/>
        <v>207.32535726327728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310.95287409903602</v>
      </c>
      <c r="AO61" s="62">
        <f t="shared" si="36"/>
        <v>224.10083380795163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10.199999999999999</v>
      </c>
      <c r="BD61" s="13">
        <f>IF('Données projet'!$A$88&gt;35,BD60+BC61-BL60,IF(A61&lt;'Données projet'!$A$88,$BA$205^A61,IF(A61='Données projet'!$A$88,'Données projet'!$B$88,BD60+BC61-BL60)))</f>
        <v>645.59999999999968</v>
      </c>
      <c r="BE61" s="14">
        <f>BD61*VLOOKUP('Données projet'!$B$11,Paramètres!$A$1:$I$89,3,0)*VLOOKUP('Données projet'!$B$11,Paramètres!$A$1:$I$89,5,0)</f>
        <v>360.89039999999977</v>
      </c>
      <c r="BF61" s="14">
        <f t="shared" si="37"/>
        <v>83.800943075865291</v>
      </c>
      <c r="BG61" s="22">
        <f t="shared" si="7"/>
        <v>774.50408919046504</v>
      </c>
      <c r="BH61" s="62">
        <f t="shared" si="8"/>
        <v>1067.8374225237983</v>
      </c>
      <c r="BI61" s="62">
        <f ca="1">AVERAGE(OFFSET($BH$3,0,0,'Données projet'!$E$11+1,1))-AVERAGE(OFFSET($H$3,0,0,'Données projet'!$E$11+1,1))</f>
        <v>382.55387448074327</v>
      </c>
      <c r="BJ61" s="62">
        <f t="shared" si="38"/>
        <v>476.29465646955543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4.880909381475365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1.8779724374074153E-3</v>
      </c>
      <c r="BS61" s="24">
        <f t="shared" si="9"/>
        <v>4.8827873539127724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>
        <f>VLOOKUP(A61,'Données projet'!$A$113:$I$133,2,0)</f>
        <v>428</v>
      </c>
      <c r="BW61" s="13">
        <f>VLOOKUP(A61,'Données projet'!$A$113:$I$133,9,0)</f>
        <v>17.625</v>
      </c>
      <c r="BX61" s="13">
        <f t="array" ref="BX61">INDEX(BW:BW,MIN(IF(ISNUMBER(BW61:BW257),ROW(BW61:BW257),"")))</f>
        <v>17.625</v>
      </c>
      <c r="BY61" s="13">
        <f>IF('Données projet'!$A$114&gt;35,BY60+BX61-CG60,IF(A61&lt;'Données projet'!$A$114,$BV$205^A61,IF(A61='Données projet'!$A$114,'Données projet'!$B$114,BY60+BX61-CG60)))</f>
        <v>428.00000000000006</v>
      </c>
      <c r="BZ61" s="14">
        <f>BY61*VLOOKUP('Données projet'!$B$12,Paramètres!$A$1:$I$89,3,0)*VLOOKUP('Données projet'!$B$12,Paramètres!$A$1:$I$89,5,0)</f>
        <v>255.94400000000005</v>
      </c>
      <c r="CA61" s="14">
        <f t="shared" si="39"/>
        <v>61.857013102708898</v>
      </c>
      <c r="CB61" s="22">
        <f t="shared" si="10"/>
        <v>553.50343115388478</v>
      </c>
      <c r="CC61" s="62">
        <f t="shared" si="11"/>
        <v>846.83676448721803</v>
      </c>
      <c r="CD61" s="62">
        <f ca="1">AVERAGE(OFFSET($CC$3,0,0,'Données projet'!$E$12+1,1))-AVERAGE(OFFSET($H$3,0,0,'Données projet'!$E$12+1,1))</f>
        <v>287.69656598881124</v>
      </c>
      <c r="CE61" s="62">
        <f t="shared" si="40"/>
        <v>221.9773436301067</v>
      </c>
      <c r="CF61" s="16">
        <f>IF(ISNA(VLOOKUP(A61,'Données projet'!$A$113:$I$133,3,0)),0,VLOOKUP(A61,'Données projet'!$A$113:$I$133,3,0))</f>
        <v>8</v>
      </c>
      <c r="CG61" s="16">
        <f>IF(ISNA(VLOOKUP(A61,'Données projet'!$A$113:$I$133,4,0)),0,VLOOKUP(A61,'Données projet'!$A$113:$I$133,4,0))</f>
        <v>78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3.4197948644445799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9.8371592115000829E-4</v>
      </c>
      <c r="CN61" s="24">
        <f t="shared" si="12"/>
        <v>3.42077858036573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5.6843418860808015E-14</v>
      </c>
      <c r="CU61" s="18">
        <f>CT61*VLOOKUP('Données projet'!$B$13,Paramètres!$A$1:$I$89,3,0)*VLOOKUP('Données projet'!$B$13,Paramètres!$A$1:$I$89,5,0)</f>
        <v>3.3992364478763198E-14</v>
      </c>
      <c r="CV61" s="14">
        <f t="shared" si="41"/>
        <v>5.790027782444094E-13</v>
      </c>
      <c r="CW61" s="22">
        <f t="shared" si="13"/>
        <v>1.0676332069095257E-12</v>
      </c>
      <c r="CX61" s="62">
        <f t="shared" si="14"/>
        <v>293.33333333333439</v>
      </c>
      <c r="CY61" s="62">
        <f ca="1">AVERAGE(OFFSET($CX$3,0,0,'Données projet'!$E$13+1,1))-AVERAGE(OFFSET($H$3,0,0,'Données projet'!$E$13+1,1))</f>
        <v>163.03280205647224</v>
      </c>
      <c r="CZ61" s="62">
        <f t="shared" si="42"/>
        <v>277.12388047243826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62.827995863209132</v>
      </c>
      <c r="DG61" s="23">
        <f>EXP(-LN(2)/25)*DG60+(1-EXP(-LN(2)/25))/(LN(2)/25)*Calculateur!DB61*Calculateur!DD61*VLOOKUP('Données projet'!$B$13,Paramètres!$A$1:$I$89,3,0)*0.475*44/12</f>
        <v>1.5381293428688532</v>
      </c>
      <c r="DH61" s="23">
        <f>EXP(-LN(2)/2)*DH60+(1-EXP(-LN(2)/2))/(LN(2)/2)*DB61*DE61*VLOOKUP('Données projet'!$B$13,Paramètres!$A$1:$I$89,3,0)*0.475*44/12</f>
        <v>6.7231362224672825E-2</v>
      </c>
      <c r="DI61" s="24">
        <f t="shared" si="15"/>
        <v>64.433356568302656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4.5999999999999996</v>
      </c>
      <c r="N62" s="14">
        <f>IF('Données projet'!$A$36&gt;35,N61+M62-V61,IF(A62&lt;'Données projet'!$A$36,$K$205^A62,IF(A62='Données projet'!$A$36,'Données projet'!$B$36,N61+M62-V61)))</f>
        <v>172.4</v>
      </c>
      <c r="O62" s="14">
        <f>N62*VLOOKUP('Données projet'!$B$9,Paramètres!$A$1:$I$89,3,0)*VLOOKUP('Données projet'!$B$9,Paramètres!$A$1:$I$89,5,0)</f>
        <v>150.60864000000004</v>
      </c>
      <c r="P62" s="14">
        <f t="shared" si="33"/>
        <v>38.716868630535288</v>
      </c>
      <c r="Q62" s="22">
        <f t="shared" si="53"/>
        <v>329.74192753151567</v>
      </c>
      <c r="R62" s="62">
        <f t="shared" si="0"/>
        <v>623.07526086484904</v>
      </c>
      <c r="S62" s="62">
        <f ca="1">AVERAGE(OFFSET($R$3,0,0,'Données projet'!$E$9+1,1))-AVERAGE(OFFSET($H$3,0,0,'Données projet'!$E$9+1,1))</f>
        <v>188.31046827337082</v>
      </c>
      <c r="T62" s="62">
        <f t="shared" si="34"/>
        <v>207.32535726327728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310.95287409903602</v>
      </c>
      <c r="AO62" s="62">
        <f t="shared" si="36"/>
        <v>224.10083380795163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10.199999999999999</v>
      </c>
      <c r="BD62" s="13">
        <f>IF('Données projet'!$A$88&gt;35,BD61+BC62-BL61,IF(A62&lt;'Données projet'!$A$88,$BA$205^A62,IF(A62='Données projet'!$A$88,'Données projet'!$B$88,BD61+BC62-BL61)))</f>
        <v>655.79999999999973</v>
      </c>
      <c r="BE62" s="14">
        <f>BD62*VLOOKUP('Données projet'!$B$11,Paramètres!$A$1:$I$89,3,0)*VLOOKUP('Données projet'!$B$11,Paramètres!$A$1:$I$89,5,0)</f>
        <v>366.59219999999982</v>
      </c>
      <c r="BF62" s="14">
        <f t="shared" si="37"/>
        <v>84.969753481055022</v>
      </c>
      <c r="BG62" s="22">
        <f t="shared" si="7"/>
        <v>786.47040231283711</v>
      </c>
      <c r="BH62" s="62">
        <f t="shared" si="8"/>
        <v>1079.8037356461705</v>
      </c>
      <c r="BI62" s="62">
        <f ca="1">AVERAGE(OFFSET($BH$3,0,0,'Données projet'!$E$11+1,1))-AVERAGE(OFFSET($H$3,0,0,'Données projet'!$E$11+1,1))</f>
        <v>382.55387448074327</v>
      </c>
      <c r="BJ62" s="62">
        <f t="shared" si="38"/>
        <v>476.29465646955543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4.7851977255653955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1.3279270453722125E-3</v>
      </c>
      <c r="BS62" s="24">
        <f t="shared" si="9"/>
        <v>4.7865256526107673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16.625</v>
      </c>
      <c r="BY62" s="13">
        <f>IF('Données projet'!$A$114&gt;35,BY61+BX62-CG61,IF(A62&lt;'Données projet'!$A$114,$BV$205^A62,IF(A62='Données projet'!$A$114,'Données projet'!$B$114,BY61+BX62-CG61)))</f>
        <v>366.62500000000006</v>
      </c>
      <c r="BZ62" s="14">
        <f>BY62*VLOOKUP('Données projet'!$B$12,Paramètres!$A$1:$I$89,3,0)*VLOOKUP('Données projet'!$B$12,Paramètres!$A$1:$I$89,5,0)</f>
        <v>219.24175000000005</v>
      </c>
      <c r="CA62" s="14">
        <f t="shared" si="39"/>
        <v>53.950050729111297</v>
      </c>
      <c r="CB62" s="22">
        <f t="shared" si="10"/>
        <v>475.80905293653558</v>
      </c>
      <c r="CC62" s="62">
        <f t="shared" si="11"/>
        <v>769.14238626986889</v>
      </c>
      <c r="CD62" s="62">
        <f ca="1">AVERAGE(OFFSET($CC$3,0,0,'Données projet'!$E$12+1,1))-AVERAGE(OFFSET($H$3,0,0,'Données projet'!$E$12+1,1))</f>
        <v>287.69656598881124</v>
      </c>
      <c r="CE62" s="62">
        <f t="shared" si="40"/>
        <v>221.9773436301067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3.3527347730217265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6.9559219860634196E-4</v>
      </c>
      <c r="CN62" s="24">
        <f t="shared" si="12"/>
        <v>3.353430365220333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5.6843418860808015E-14</v>
      </c>
      <c r="CU62" s="18">
        <f>CT62*VLOOKUP('Données projet'!$B$13,Paramètres!$A$1:$I$89,3,0)*VLOOKUP('Données projet'!$B$13,Paramètres!$A$1:$I$89,5,0)</f>
        <v>3.3992364478763198E-14</v>
      </c>
      <c r="CV62" s="14">
        <f t="shared" si="41"/>
        <v>5.790027782444094E-13</v>
      </c>
      <c r="CW62" s="22">
        <f t="shared" si="13"/>
        <v>1.0676332069095257E-12</v>
      </c>
      <c r="CX62" s="62">
        <f t="shared" si="14"/>
        <v>293.33333333333439</v>
      </c>
      <c r="CY62" s="62">
        <f ca="1">AVERAGE(OFFSET($CX$3,0,0,'Données projet'!$E$13+1,1))-AVERAGE(OFFSET($H$3,0,0,'Données projet'!$E$13+1,1))</f>
        <v>163.03280205647224</v>
      </c>
      <c r="CZ62" s="62">
        <f t="shared" si="42"/>
        <v>277.12388047243826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61.595977185625166</v>
      </c>
      <c r="DG62" s="23">
        <f>EXP(-LN(2)/25)*DG61+(1-EXP(-LN(2)/25))/(LN(2)/25)*Calculateur!DB62*Calculateur!DD62*VLOOKUP('Données projet'!$B$13,Paramètres!$A$1:$I$89,3,0)*0.475*44/12</f>
        <v>1.4960691151013976</v>
      </c>
      <c r="DH62" s="23">
        <f>EXP(-LN(2)/2)*DH61+(1-EXP(-LN(2)/2))/(LN(2)/2)*DB62*DE62*VLOOKUP('Données projet'!$B$13,Paramètres!$A$1:$I$89,3,0)*0.475*44/12</f>
        <v>4.7539752137475244E-2</v>
      </c>
      <c r="DI62" s="24">
        <f t="shared" si="15"/>
        <v>63.13958605286404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177</v>
      </c>
      <c r="L63" s="13">
        <f>VLOOKUP(A63,'Données projet'!$A$35:$I$55,9,0)</f>
        <v>4.5999999999999996</v>
      </c>
      <c r="M63" s="13">
        <f t="array" ref="M63">INDEX(L:L,MIN(IF(ISNUMBER(L63:L259),ROW(L63:L259),"")))</f>
        <v>4.5999999999999996</v>
      </c>
      <c r="N63" s="14">
        <f>IF('Données projet'!$A$36&gt;35,N62+M63-V62,IF(A63&lt;'Données projet'!$A$36,$K$205^A63,IF(A63='Données projet'!$A$36,'Données projet'!$B$36,N62+M63-V62)))</f>
        <v>177</v>
      </c>
      <c r="O63" s="14">
        <f>N63*VLOOKUP('Données projet'!$B$9,Paramètres!$A$1:$I$89,3,0)*VLOOKUP('Données projet'!$B$9,Paramètres!$A$1:$I$89,5,0)</f>
        <v>154.62720000000002</v>
      </c>
      <c r="P63" s="14">
        <f t="shared" si="33"/>
        <v>39.62826685000794</v>
      </c>
      <c r="Q63" s="22">
        <f t="shared" si="53"/>
        <v>338.3282714304305</v>
      </c>
      <c r="R63" s="62">
        <f t="shared" si="0"/>
        <v>631.66160476376376</v>
      </c>
      <c r="S63" s="62">
        <f ca="1">AVERAGE(OFFSET($R$3,0,0,'Données projet'!$E$9+1,1))-AVERAGE(OFFSET($H$3,0,0,'Données projet'!$E$9+1,1))</f>
        <v>188.31046827337082</v>
      </c>
      <c r="T63" s="62">
        <f t="shared" si="34"/>
        <v>207.32535726327728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310.95287409903602</v>
      </c>
      <c r="AO63" s="62">
        <f t="shared" si="36"/>
        <v>224.10083380795163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666</v>
      </c>
      <c r="BB63" s="13">
        <f>VLOOKUP(A63,'Données projet'!$A$87:$I$107,9,0)</f>
        <v>10.199999999999999</v>
      </c>
      <c r="BC63" s="13">
        <f t="array" ref="BC63">INDEX(BB:BB,MIN(IF(ISNUMBER(BB63:BB259),ROW(BB63:BB259),"")))</f>
        <v>10.199999999999999</v>
      </c>
      <c r="BD63" s="13">
        <f>IF('Données projet'!$A$88&gt;35,BD62+BC63-BL62,IF(A63&lt;'Données projet'!$A$88,$BA$205^A63,IF(A63='Données projet'!$A$88,'Données projet'!$B$88,BD62+BC63-BL62)))</f>
        <v>665.99999999999977</v>
      </c>
      <c r="BE63" s="14">
        <f>BD63*VLOOKUP('Données projet'!$B$11,Paramètres!$A$1:$I$89,3,0)*VLOOKUP('Données projet'!$B$11,Paramètres!$A$1:$I$89,5,0)</f>
        <v>372.29399999999987</v>
      </c>
      <c r="BF63" s="14">
        <f t="shared" si="37"/>
        <v>86.136449661008839</v>
      </c>
      <c r="BG63" s="22">
        <f t="shared" si="7"/>
        <v>798.43303315959008</v>
      </c>
      <c r="BH63" s="62">
        <f t="shared" si="8"/>
        <v>1091.7663664929235</v>
      </c>
      <c r="BI63" s="62">
        <f ca="1">AVERAGE(OFFSET($BH$3,0,0,'Données projet'!$E$11+1,1))-AVERAGE(OFFSET($H$3,0,0,'Données projet'!$E$11+1,1))</f>
        <v>382.55387448074327</v>
      </c>
      <c r="BJ63" s="62">
        <f t="shared" si="38"/>
        <v>476.29465646955543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666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4.6913629168494744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9.3898621870370765E-4</v>
      </c>
      <c r="BS63" s="24">
        <f t="shared" si="9"/>
        <v>4.6923019030681781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16.625</v>
      </c>
      <c r="BY63" s="13">
        <f>IF('Données projet'!$A$114&gt;35,BY62+BX63-CG62,IF(A63&lt;'Données projet'!$A$114,$BV$205^A63,IF(A63='Données projet'!$A$114,'Données projet'!$B$114,BY62+BX63-CG62)))</f>
        <v>383.25000000000006</v>
      </c>
      <c r="BZ63" s="14">
        <f>BY63*VLOOKUP('Données projet'!$B$12,Paramètres!$A$1:$I$89,3,0)*VLOOKUP('Données projet'!$B$12,Paramètres!$A$1:$I$89,5,0)</f>
        <v>229.18350000000007</v>
      </c>
      <c r="CA63" s="14">
        <f t="shared" si="39"/>
        <v>56.106098616839645</v>
      </c>
      <c r="CB63" s="22">
        <f t="shared" si="10"/>
        <v>496.87938425766248</v>
      </c>
      <c r="CC63" s="62">
        <f t="shared" si="11"/>
        <v>790.21271759099579</v>
      </c>
      <c r="CD63" s="62">
        <f ca="1">AVERAGE(OFFSET($CC$3,0,0,'Données projet'!$E$12+1,1))-AVERAGE(OFFSET($H$3,0,0,'Données projet'!$E$12+1,1))</f>
        <v>287.69656598881124</v>
      </c>
      <c r="CE63" s="62">
        <f t="shared" si="40"/>
        <v>221.9773436301067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3.2869896890890584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4.9185796057500415E-4</v>
      </c>
      <c r="CN63" s="24">
        <f t="shared" si="12"/>
        <v>3.2874815470496332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5.6843418860808015E-14</v>
      </c>
      <c r="CU63" s="18">
        <f>CT63*VLOOKUP('Données projet'!$B$13,Paramètres!$A$1:$I$89,3,0)*VLOOKUP('Données projet'!$B$13,Paramètres!$A$1:$I$89,5,0)</f>
        <v>3.3992364478763198E-14</v>
      </c>
      <c r="CV63" s="14">
        <f t="shared" si="41"/>
        <v>5.790027782444094E-13</v>
      </c>
      <c r="CW63" s="22">
        <f t="shared" si="13"/>
        <v>1.0676332069095257E-12</v>
      </c>
      <c r="CX63" s="62">
        <f t="shared" si="14"/>
        <v>293.33333333333439</v>
      </c>
      <c r="CY63" s="62">
        <f ca="1">AVERAGE(OFFSET($CX$3,0,0,'Données projet'!$E$13+1,1))-AVERAGE(OFFSET($H$3,0,0,'Données projet'!$E$13+1,1))</f>
        <v>163.03280205647224</v>
      </c>
      <c r="CZ63" s="62">
        <f t="shared" si="42"/>
        <v>277.12388047243826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60.388117642851427</v>
      </c>
      <c r="DG63" s="23">
        <f>EXP(-LN(2)/25)*DG62+(1-EXP(-LN(2)/25))/(LN(2)/25)*Calculateur!DB63*Calculateur!DD63*VLOOKUP('Données projet'!$B$13,Paramètres!$A$1:$I$89,3,0)*0.475*44/12</f>
        <v>1.4551590264740943</v>
      </c>
      <c r="DH63" s="23">
        <f>EXP(-LN(2)/2)*DH62+(1-EXP(-LN(2)/2))/(LN(2)/2)*DB63*DE63*VLOOKUP('Données projet'!$B$13,Paramètres!$A$1:$I$89,3,0)*0.475*44/12</f>
        <v>3.3615681112336412E-2</v>
      </c>
      <c r="DI63" s="24">
        <f t="shared" si="15"/>
        <v>61.876892350437856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</v>
      </c>
      <c r="N64" s="14">
        <f>IF('Données projet'!$A$36&gt;35,N63+M64-V63,IF(A64&lt;'Données projet'!$A$36,$K$205^A64,IF(A64='Données projet'!$A$36,'Données projet'!$B$36,N63+M64-V63)))</f>
        <v>165</v>
      </c>
      <c r="O64" s="14">
        <f>N64*VLOOKUP('Données projet'!$B$9,Paramètres!$A$1:$I$89,3,0)*VLOOKUP('Données projet'!$B$9,Paramètres!$A$1:$I$89,5,0)</f>
        <v>144.14400000000001</v>
      </c>
      <c r="P64" s="14">
        <f t="shared" si="33"/>
        <v>37.244720006976252</v>
      </c>
      <c r="Q64" s="22">
        <f t="shared" si="53"/>
        <v>315.91868734548365</v>
      </c>
      <c r="R64" s="62">
        <f t="shared" si="0"/>
        <v>609.25202067881696</v>
      </c>
      <c r="S64" s="62">
        <f ca="1">AVERAGE(OFFSET($R$3,0,0,'Données projet'!$E$9+1,1))-AVERAGE(OFFSET($H$3,0,0,'Données projet'!$E$9+1,1))</f>
        <v>188.31046827337082</v>
      </c>
      <c r="T64" s="62">
        <f t="shared" si="34"/>
        <v>207.32535726327728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310.95287409903602</v>
      </c>
      <c r="AO64" s="62">
        <f t="shared" si="36"/>
        <v>224.10083380795163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-2.2737367544323206E-13</v>
      </c>
      <c r="BE64" s="14">
        <f>BD64*VLOOKUP('Données projet'!$B$11,Paramètres!$A$1:$I$89,3,0)*VLOOKUP('Données projet'!$B$11,Paramètres!$A$1:$I$89,5,0)</f>
        <v>-1.2710188457276673E-13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382.55387448074327</v>
      </c>
      <c r="BJ64" s="62">
        <f t="shared" si="38"/>
        <v>476.29465646955543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4.5993681514988909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6.6396352268610626E-4</v>
      </c>
      <c r="BS64" s="24">
        <f t="shared" si="9"/>
        <v>4.6000321150215768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16.625</v>
      </c>
      <c r="BY64" s="13">
        <f>IF('Données projet'!$A$114&gt;35,BY63+BX64-CG63,IF(A64&lt;'Données projet'!$A$114,$BV$205^A64,IF(A64='Données projet'!$A$114,'Données projet'!$B$114,BY63+BX64-CG63)))</f>
        <v>399.87500000000006</v>
      </c>
      <c r="BZ64" s="14">
        <f>BY64*VLOOKUP('Données projet'!$B$12,Paramètres!$A$1:$I$89,3,0)*VLOOKUP('Données projet'!$B$12,Paramètres!$A$1:$I$89,5,0)</f>
        <v>239.12525000000005</v>
      </c>
      <c r="CA64" s="14">
        <f t="shared" si="39"/>
        <v>58.251283780505084</v>
      </c>
      <c r="CB64" s="22">
        <f t="shared" si="10"/>
        <v>517.93079633437981</v>
      </c>
      <c r="CC64" s="62">
        <f t="shared" si="11"/>
        <v>811.26412966771318</v>
      </c>
      <c r="CD64" s="62">
        <f ca="1">AVERAGE(OFFSET($CC$3,0,0,'Données projet'!$E$12+1,1))-AVERAGE(OFFSET($H$3,0,0,'Données projet'!$E$12+1,1))</f>
        <v>287.69656598881124</v>
      </c>
      <c r="CE64" s="62">
        <f t="shared" si="40"/>
        <v>221.9773436301067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3.2225338261517682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3.4779609930317098E-4</v>
      </c>
      <c r="CN64" s="24">
        <f t="shared" si="12"/>
        <v>3.2228816222510712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5.6843418860808015E-14</v>
      </c>
      <c r="CU64" s="18">
        <f>CT64*VLOOKUP('Données projet'!$B$13,Paramètres!$A$1:$I$89,3,0)*VLOOKUP('Données projet'!$B$13,Paramètres!$A$1:$I$89,5,0)</f>
        <v>3.3992364478763198E-14</v>
      </c>
      <c r="CV64" s="14">
        <f t="shared" si="41"/>
        <v>5.790027782444094E-13</v>
      </c>
      <c r="CW64" s="22">
        <f t="shared" si="13"/>
        <v>1.0676332069095257E-12</v>
      </c>
      <c r="CX64" s="62">
        <f t="shared" si="14"/>
        <v>293.33333333333439</v>
      </c>
      <c r="CY64" s="62">
        <f ca="1">AVERAGE(OFFSET($CX$3,0,0,'Données projet'!$E$13+1,1))-AVERAGE(OFFSET($H$3,0,0,'Données projet'!$E$13+1,1))</f>
        <v>163.03280205647224</v>
      </c>
      <c r="CZ64" s="62">
        <f t="shared" si="42"/>
        <v>277.12388047243826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59.203943488989907</v>
      </c>
      <c r="DG64" s="23">
        <f>EXP(-LN(2)/25)*DG63+(1-EXP(-LN(2)/25))/(LN(2)/25)*Calculateur!DB64*Calculateur!DD64*VLOOKUP('Données projet'!$B$13,Paramètres!$A$1:$I$89,3,0)*0.475*44/12</f>
        <v>1.4153676263716728</v>
      </c>
      <c r="DH64" s="23">
        <f>EXP(-LN(2)/2)*DH63+(1-EXP(-LN(2)/2))/(LN(2)/2)*DB64*DE64*VLOOKUP('Données projet'!$B$13,Paramètres!$A$1:$I$89,3,0)*0.475*44/12</f>
        <v>2.3769876068737622E-2</v>
      </c>
      <c r="DI64" s="24">
        <f t="shared" si="15"/>
        <v>60.643080991430324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4</v>
      </c>
      <c r="N65" s="14">
        <f>IF('Données projet'!$A$36&gt;35,N64+M65-V64,IF(A65&lt;'Données projet'!$A$36,$K$205^A65,IF(A65='Données projet'!$A$36,'Données projet'!$B$36,N64+M65-V64)))</f>
        <v>169</v>
      </c>
      <c r="O65" s="14">
        <f>N65*VLOOKUP('Données projet'!$B$9,Paramètres!$A$1:$I$89,3,0)*VLOOKUP('Données projet'!$B$9,Paramètres!$A$1:$I$89,5,0)</f>
        <v>147.63840000000002</v>
      </c>
      <c r="P65" s="14">
        <f t="shared" si="33"/>
        <v>38.04140887895133</v>
      </c>
      <c r="Q65" s="22">
        <f t="shared" si="53"/>
        <v>323.39233379750692</v>
      </c>
      <c r="R65" s="62">
        <f t="shared" si="0"/>
        <v>616.72566713084029</v>
      </c>
      <c r="S65" s="62">
        <f ca="1">AVERAGE(OFFSET($R$3,0,0,'Données projet'!$E$9+1,1))-AVERAGE(OFFSET($H$3,0,0,'Données projet'!$E$9+1,1))</f>
        <v>188.31046827337082</v>
      </c>
      <c r="T65" s="62">
        <f t="shared" si="34"/>
        <v>207.32535726327728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310.95287409903602</v>
      </c>
      <c r="AO65" s="62">
        <f t="shared" si="36"/>
        <v>224.10083380795163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-2.2737367544323206E-13</v>
      </c>
      <c r="BE65" s="14">
        <f>BD65*VLOOKUP('Données projet'!$B$11,Paramètres!$A$1:$I$89,3,0)*VLOOKUP('Données projet'!$B$11,Paramètres!$A$1:$I$89,5,0)</f>
        <v>-1.2710188457276673E-13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382.55387448074327</v>
      </c>
      <c r="BJ65" s="62">
        <f t="shared" si="38"/>
        <v>476.29465646955543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4.5091773473855659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4.6949310935185382E-4</v>
      </c>
      <c r="BS65" s="24">
        <f t="shared" si="9"/>
        <v>4.5096468404949182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16.625</v>
      </c>
      <c r="BY65" s="13">
        <f>IF('Données projet'!$A$114&gt;35,BY64+BX65-CG64,IF(A65&lt;'Données projet'!$A$114,$BV$205^A65,IF(A65='Données projet'!$A$114,'Données projet'!$B$114,BY64+BX65-CG64)))</f>
        <v>416.50000000000006</v>
      </c>
      <c r="BZ65" s="14">
        <f>BY65*VLOOKUP('Données projet'!$B$12,Paramètres!$A$1:$I$89,3,0)*VLOOKUP('Données projet'!$B$12,Paramètres!$A$1:$I$89,5,0)</f>
        <v>249.06700000000004</v>
      </c>
      <c r="CA65" s="14">
        <f t="shared" si="39"/>
        <v>60.386109489804014</v>
      </c>
      <c r="CB65" s="22">
        <f t="shared" si="10"/>
        <v>538.96416569474195</v>
      </c>
      <c r="CC65" s="62">
        <f t="shared" si="11"/>
        <v>832.29749902807521</v>
      </c>
      <c r="CD65" s="62">
        <f ca="1">AVERAGE(OFFSET($CC$3,0,0,'Données projet'!$E$12+1,1))-AVERAGE(OFFSET($H$3,0,0,'Données projet'!$E$12+1,1))</f>
        <v>287.69656598881124</v>
      </c>
      <c r="CE65" s="62">
        <f t="shared" si="40"/>
        <v>221.9773436301067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3.1593419033724839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2.4592898028750207E-4</v>
      </c>
      <c r="CN65" s="24">
        <f t="shared" si="12"/>
        <v>3.1595878323527713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5.6843418860808015E-14</v>
      </c>
      <c r="CU65" s="18">
        <f>CT65*VLOOKUP('Données projet'!$B$13,Paramètres!$A$1:$I$89,3,0)*VLOOKUP('Données projet'!$B$13,Paramètres!$A$1:$I$89,5,0)</f>
        <v>3.3992364478763198E-14</v>
      </c>
      <c r="CV65" s="14">
        <f t="shared" si="41"/>
        <v>5.790027782444094E-13</v>
      </c>
      <c r="CW65" s="22">
        <f t="shared" si="13"/>
        <v>1.0676332069095257E-12</v>
      </c>
      <c r="CX65" s="62">
        <f t="shared" si="14"/>
        <v>293.33333333333439</v>
      </c>
      <c r="CY65" s="62">
        <f ca="1">AVERAGE(OFFSET($CX$3,0,0,'Données projet'!$E$13+1,1))-AVERAGE(OFFSET($H$3,0,0,'Données projet'!$E$13+1,1))</f>
        <v>163.03280205647224</v>
      </c>
      <c r="CZ65" s="62">
        <f t="shared" si="42"/>
        <v>277.12388047243826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58.042990268010691</v>
      </c>
      <c r="DG65" s="23">
        <f>EXP(-LN(2)/25)*DG64+(1-EXP(-LN(2)/25))/(LN(2)/25)*Calculateur!DB65*Calculateur!DD65*VLOOKUP('Données projet'!$B$13,Paramètres!$A$1:$I$89,3,0)*0.475*44/12</f>
        <v>1.3766643241975909</v>
      </c>
      <c r="DH65" s="23">
        <f>EXP(-LN(2)/2)*DH64+(1-EXP(-LN(2)/2))/(LN(2)/2)*DB65*DE65*VLOOKUP('Données projet'!$B$13,Paramètres!$A$1:$I$89,3,0)*0.475*44/12</f>
        <v>1.6807840556168206E-2</v>
      </c>
      <c r="DI65" s="24">
        <f t="shared" si="15"/>
        <v>59.436462432764451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4</v>
      </c>
      <c r="N66" s="14">
        <f>IF('Données projet'!$A$36&gt;35,N65+M66-V65,IF(A66&lt;'Données projet'!$A$36,$K$205^A66,IF(A66='Données projet'!$A$36,'Données projet'!$B$36,N65+M66-V65)))</f>
        <v>173</v>
      </c>
      <c r="O66" s="14">
        <f>N66*VLOOKUP('Données projet'!$B$9,Paramètres!$A$1:$I$89,3,0)*VLOOKUP('Données projet'!$B$9,Paramètres!$A$1:$I$89,5,0)</f>
        <v>151.13280000000003</v>
      </c>
      <c r="P66" s="14">
        <f t="shared" si="33"/>
        <v>38.835905653934425</v>
      </c>
      <c r="Q66" s="22">
        <f t="shared" si="53"/>
        <v>330.86216234726913</v>
      </c>
      <c r="R66" s="62">
        <f t="shared" si="0"/>
        <v>624.19549568060245</v>
      </c>
      <c r="S66" s="62">
        <f ca="1">AVERAGE(OFFSET($R$3,0,0,'Données projet'!$E$9+1,1))-AVERAGE(OFFSET($H$3,0,0,'Données projet'!$E$9+1,1))</f>
        <v>188.31046827337082</v>
      </c>
      <c r="T66" s="62">
        <f t="shared" si="34"/>
        <v>207.32535726327728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310.95287409903602</v>
      </c>
      <c r="AO66" s="62">
        <f t="shared" si="36"/>
        <v>224.10083380795163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-2.2737367544323206E-13</v>
      </c>
      <c r="BE66" s="14">
        <f>BD66*VLOOKUP('Données projet'!$B$11,Paramètres!$A$1:$I$89,3,0)*VLOOKUP('Données projet'!$B$11,Paramètres!$A$1:$I$89,5,0)</f>
        <v>-1.2710188457276673E-13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382.55387448074327</v>
      </c>
      <c r="BJ66" s="62">
        <f t="shared" si="38"/>
        <v>476.29465646955543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4.4207551299299448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3.3198176134305313E-4</v>
      </c>
      <c r="BS66" s="24">
        <f t="shared" si="9"/>
        <v>4.4210871116912882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16.625</v>
      </c>
      <c r="BY66" s="13">
        <f>IF('Données projet'!$A$114&gt;35,BY65+BX66-CG65,IF(A66&lt;'Données projet'!$A$114,$BV$205^A66,IF(A66='Données projet'!$A$114,'Données projet'!$B$114,BY65+BX66-CG65)))</f>
        <v>433.12500000000006</v>
      </c>
      <c r="BZ66" s="14">
        <f>BY66*VLOOKUP('Données projet'!$B$12,Paramètres!$A$1:$I$89,3,0)*VLOOKUP('Données projet'!$B$12,Paramètres!$A$1:$I$89,5,0)</f>
        <v>259.00875000000008</v>
      </c>
      <c r="CA66" s="14">
        <f t="shared" si="39"/>
        <v>62.511036563235727</v>
      </c>
      <c r="CB66" s="22">
        <f t="shared" si="10"/>
        <v>559.98029493096897</v>
      </c>
      <c r="CC66" s="62">
        <f t="shared" si="11"/>
        <v>853.31362826430222</v>
      </c>
      <c r="CD66" s="62">
        <f ca="1">AVERAGE(OFFSET($CC$3,0,0,'Données projet'!$E$12+1,1))-AVERAGE(OFFSET($H$3,0,0,'Données projet'!$E$12+1,1))</f>
        <v>287.69656598881124</v>
      </c>
      <c r="CE66" s="62">
        <f t="shared" si="40"/>
        <v>221.9773436301067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3.0973891356556345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1.7389804965158549E-4</v>
      </c>
      <c r="CN66" s="24">
        <f t="shared" si="12"/>
        <v>3.0975630337052862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5.6843418860808015E-14</v>
      </c>
      <c r="CU66" s="18">
        <f>CT66*VLOOKUP('Données projet'!$B$13,Paramètres!$A$1:$I$89,3,0)*VLOOKUP('Données projet'!$B$13,Paramètres!$A$1:$I$89,5,0)</f>
        <v>3.3992364478763198E-14</v>
      </c>
      <c r="CV66" s="14">
        <f t="shared" si="41"/>
        <v>5.790027782444094E-13</v>
      </c>
      <c r="CW66" s="22">
        <f t="shared" si="13"/>
        <v>1.0676332069095257E-12</v>
      </c>
      <c r="CX66" s="62">
        <f t="shared" si="14"/>
        <v>293.33333333333439</v>
      </c>
      <c r="CY66" s="62">
        <f ca="1">AVERAGE(OFFSET($CX$3,0,0,'Données projet'!$E$13+1,1))-AVERAGE(OFFSET($H$3,0,0,'Données projet'!$E$13+1,1))</f>
        <v>163.03280205647224</v>
      </c>
      <c r="CZ66" s="62">
        <f t="shared" si="42"/>
        <v>277.12388047243826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56.904802631583337</v>
      </c>
      <c r="DG66" s="23">
        <f>EXP(-LN(2)/25)*DG65+(1-EXP(-LN(2)/25))/(LN(2)/25)*Calculateur!DB66*Calculateur!DD66*VLOOKUP('Données projet'!$B$13,Paramètres!$A$1:$I$89,3,0)*0.475*44/12</f>
        <v>1.3390193658567773</v>
      </c>
      <c r="DH66" s="23">
        <f>EXP(-LN(2)/2)*DH65+(1-EXP(-LN(2)/2))/(LN(2)/2)*DB66*DE66*VLOOKUP('Données projet'!$B$13,Paramètres!$A$1:$I$89,3,0)*0.475*44/12</f>
        <v>1.1884938034368811E-2</v>
      </c>
      <c r="DI66" s="24">
        <f t="shared" si="15"/>
        <v>58.255706935474485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4</v>
      </c>
      <c r="N67" s="14">
        <f>IF('Données projet'!$A$36&gt;35,N66+M67-V66,IF(A67&lt;'Données projet'!$A$36,$K$205^A67,IF(A67='Données projet'!$A$36,'Données projet'!$B$36,N66+M67-V66)))</f>
        <v>177</v>
      </c>
      <c r="O67" s="14">
        <f>N67*VLOOKUP('Données projet'!$B$9,Paramètres!$A$1:$I$89,3,0)*VLOOKUP('Données projet'!$B$9,Paramètres!$A$1:$I$89,5,0)</f>
        <v>154.62720000000002</v>
      </c>
      <c r="P67" s="14">
        <f t="shared" si="33"/>
        <v>39.62826685000794</v>
      </c>
      <c r="Q67" s="22">
        <f t="shared" ref="Q67:Q98" si="54">(O67+P67)*0.475*44/12</f>
        <v>338.3282714304305</v>
      </c>
      <c r="R67" s="62">
        <f t="shared" ref="R67:R130" si="55">Q67+(I67+J67)*44/12</f>
        <v>631.66160476376376</v>
      </c>
      <c r="S67" s="62">
        <f ca="1">AVERAGE(OFFSET($R$3,0,0,'Données projet'!$E$9+1,1))-AVERAGE(OFFSET($H$3,0,0,'Données projet'!$E$9+1,1))</f>
        <v>188.31046827337082</v>
      </c>
      <c r="T67" s="62">
        <f t="shared" si="34"/>
        <v>207.32535726327728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310.95287409903602</v>
      </c>
      <c r="AO67" s="62">
        <f t="shared" si="36"/>
        <v>224.10083380795163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-2.2737367544323206E-13</v>
      </c>
      <c r="BE67" s="14">
        <f>BD67*VLOOKUP('Données projet'!$B$11,Paramètres!$A$1:$I$89,3,0)*VLOOKUP('Données projet'!$B$11,Paramètres!$A$1:$I$89,5,0)</f>
        <v>-1.2710188457276673E-13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382.55387448074327</v>
      </c>
      <c r="BJ67" s="62">
        <f t="shared" si="38"/>
        <v>476.29465646955543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4.3340668182264013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2.3474655467592691E-4</v>
      </c>
      <c r="BS67" s="24">
        <f t="shared" si="9"/>
        <v>4.334301564781077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16.625</v>
      </c>
      <c r="BY67" s="13">
        <f>IF('Données projet'!$A$114&gt;35,BY66+BX67-CG66,IF(A67&lt;'Données projet'!$A$114,$BV$205^A67,IF(A67='Données projet'!$A$114,'Données projet'!$B$114,BY66+BX67-CG66)))</f>
        <v>449.75000000000006</v>
      </c>
      <c r="BZ67" s="14">
        <f>BY67*VLOOKUP('Données projet'!$B$12,Paramètres!$A$1:$I$89,3,0)*VLOOKUP('Données projet'!$B$12,Paramètres!$A$1:$I$89,5,0)</f>
        <v>268.95050000000009</v>
      </c>
      <c r="CA67" s="14">
        <f t="shared" si="39"/>
        <v>64.626488439895155</v>
      </c>
      <c r="CB67" s="22">
        <f t="shared" si="10"/>
        <v>580.97992153281746</v>
      </c>
      <c r="CC67" s="62">
        <f t="shared" si="11"/>
        <v>874.31325486615083</v>
      </c>
      <c r="CD67" s="62">
        <f ca="1">AVERAGE(OFFSET($CC$3,0,0,'Données projet'!$E$12+1,1))-AVERAGE(OFFSET($H$3,0,0,'Données projet'!$E$12+1,1))</f>
        <v>287.69656598881124</v>
      </c>
      <c r="CE67" s="62">
        <f t="shared" si="40"/>
        <v>221.9773436301067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3.0366512239262553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1.2296449014375104E-4</v>
      </c>
      <c r="CN67" s="24">
        <f t="shared" si="12"/>
        <v>3.0367741884163992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5.6843418860808015E-14</v>
      </c>
      <c r="CU67" s="18">
        <f>CT67*VLOOKUP('Données projet'!$B$13,Paramètres!$A$1:$I$89,3,0)*VLOOKUP('Données projet'!$B$13,Paramètres!$A$1:$I$89,5,0)</f>
        <v>3.3992364478763198E-14</v>
      </c>
      <c r="CV67" s="14">
        <f t="shared" si="41"/>
        <v>5.790027782444094E-13</v>
      </c>
      <c r="CW67" s="22">
        <f t="shared" si="13"/>
        <v>1.0676332069095257E-12</v>
      </c>
      <c r="CX67" s="62">
        <f t="shared" si="14"/>
        <v>293.33333333333439</v>
      </c>
      <c r="CY67" s="62">
        <f ca="1">AVERAGE(OFFSET($CX$3,0,0,'Données projet'!$E$13+1,1))-AVERAGE(OFFSET($H$3,0,0,'Données projet'!$E$13+1,1))</f>
        <v>163.03280205647224</v>
      </c>
      <c r="CZ67" s="62">
        <f t="shared" si="42"/>
        <v>277.12388047243826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55.788934160480416</v>
      </c>
      <c r="DG67" s="23">
        <f>EXP(-LN(2)/25)*DG66+(1-EXP(-LN(2)/25))/(LN(2)/25)*Calculateur!DB67*Calculateur!DD67*VLOOKUP('Données projet'!$B$13,Paramètres!$A$1:$I$89,3,0)*0.475*44/12</f>
        <v>1.3024038108814555</v>
      </c>
      <c r="DH67" s="23">
        <f>EXP(-LN(2)/2)*DH66+(1-EXP(-LN(2)/2))/(LN(2)/2)*DB67*DE67*VLOOKUP('Données projet'!$B$13,Paramètres!$A$1:$I$89,3,0)*0.475*44/12</f>
        <v>8.4039202780841031E-3</v>
      </c>
      <c r="DI67" s="24">
        <f t="shared" si="15"/>
        <v>57.099741891639958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181</v>
      </c>
      <c r="L68" s="13">
        <f>VLOOKUP(A68,'Données projet'!$A$35:$I$55,9,0)</f>
        <v>4</v>
      </c>
      <c r="M68" s="13">
        <f t="array" ref="M68">INDEX(L:L,MIN(IF(ISNUMBER(L68:L264),ROW(L68:L264),"")))</f>
        <v>4</v>
      </c>
      <c r="N68" s="14">
        <f>IF('Données projet'!$A$36&gt;35,N67+M68-V67,IF(A68&lt;'Données projet'!$A$36,$K$205^A68,IF(A68='Données projet'!$A$36,'Données projet'!$B$36,N67+M68-V67)))</f>
        <v>181</v>
      </c>
      <c r="O68" s="14">
        <f>N68*VLOOKUP('Données projet'!$B$9,Paramètres!$A$1:$I$89,3,0)*VLOOKUP('Données projet'!$B$9,Paramètres!$A$1:$I$89,5,0)</f>
        <v>158.12160000000003</v>
      </c>
      <c r="P68" s="14">
        <f t="shared" si="33"/>
        <v>40.418546284954211</v>
      </c>
      <c r="Q68" s="22">
        <f t="shared" si="54"/>
        <v>345.79075477962857</v>
      </c>
      <c r="R68" s="62">
        <f t="shared" si="55"/>
        <v>639.12408811296189</v>
      </c>
      <c r="S68" s="62">
        <f ca="1">AVERAGE(OFFSET($R$3,0,0,'Données projet'!$E$9+1,1))-AVERAGE(OFFSET($H$3,0,0,'Données projet'!$E$9+1,1))</f>
        <v>188.31046827337082</v>
      </c>
      <c r="T68" s="62">
        <f t="shared" si="34"/>
        <v>207.32535726327728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310.95287409903602</v>
      </c>
      <c r="AO68" s="62">
        <f t="shared" si="36"/>
        <v>224.10083380795163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-2.2737367544323206E-13</v>
      </c>
      <c r="BE68" s="14">
        <f>BD68*VLOOKUP('Données projet'!$B$11,Paramètres!$A$1:$I$89,3,0)*VLOOKUP('Données projet'!$B$11,Paramètres!$A$1:$I$89,5,0)</f>
        <v>-1.2710188457276673E-13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382.55387448074327</v>
      </c>
      <c r="BJ68" s="62">
        <f t="shared" si="38"/>
        <v>476.29465646955543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4.2490784114407152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1.6599088067152656E-4</v>
      </c>
      <c r="BS68" s="24">
        <f t="shared" ref="BS68:BS131" si="63">SUM(BP68:BR68)</f>
        <v>4.2492444023213869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16.625</v>
      </c>
      <c r="BY68" s="13">
        <f>IF('Données projet'!$A$114&gt;35,BY67+BX68-CG67,IF(A68&lt;'Données projet'!$A$114,$BV$205^A68,IF(A68='Données projet'!$A$114,'Données projet'!$B$114,BY67+BX68-CG67)))</f>
        <v>466.37500000000006</v>
      </c>
      <c r="BZ68" s="14">
        <f>BY68*VLOOKUP('Données projet'!$B$12,Paramètres!$A$1:$I$89,3,0)*VLOOKUP('Données projet'!$B$12,Paramètres!$A$1:$I$89,5,0)</f>
        <v>278.89225000000005</v>
      </c>
      <c r="CA68" s="14">
        <f t="shared" si="39"/>
        <v>66.732855480271084</v>
      </c>
      <c r="CB68" s="22">
        <f t="shared" ref="CB68:CB131" si="64">(BZ68+CA68)*0.475*44/12</f>
        <v>601.96372537813886</v>
      </c>
      <c r="CC68" s="62">
        <f t="shared" ref="CC68:CC131" si="65">CB68+(BT68+BU68)*44/12</f>
        <v>895.29705871147212</v>
      </c>
      <c r="CD68" s="62">
        <f ca="1">AVERAGE(OFFSET($CC$3,0,0,'Données projet'!$E$12+1,1))-AVERAGE(OFFSET($H$3,0,0,'Données projet'!$E$12+1,1))</f>
        <v>287.69656598881124</v>
      </c>
      <c r="CE68" s="62">
        <f t="shared" si="40"/>
        <v>221.9773436301067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2.9771043455994208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8.6949024825792745E-5</v>
      </c>
      <c r="CN68" s="24">
        <f t="shared" ref="CN68:CN131" si="66">SUM(CK68:CM68)</f>
        <v>2.9771912946242467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5.6843418860808015E-14</v>
      </c>
      <c r="CU68" s="18">
        <f>CT68*VLOOKUP('Données projet'!$B$13,Paramètres!$A$1:$I$89,3,0)*VLOOKUP('Données projet'!$B$13,Paramètres!$A$1:$I$89,5,0)</f>
        <v>3.3992364478763198E-14</v>
      </c>
      <c r="CV68" s="14">
        <f t="shared" si="41"/>
        <v>5.790027782444094E-13</v>
      </c>
      <c r="CW68" s="22">
        <f t="shared" ref="CW68:CW131" si="67">(CU68+CV68)*0.475*44/12</f>
        <v>1.0676332069095257E-12</v>
      </c>
      <c r="CX68" s="62">
        <f t="shared" ref="CX68:CX131" si="68">CW68+(CO68+CP68)*44/12</f>
        <v>293.33333333333439</v>
      </c>
      <c r="CY68" s="62">
        <f ca="1">AVERAGE(OFFSET($CX$3,0,0,'Données projet'!$E$13+1,1))-AVERAGE(OFFSET($H$3,0,0,'Données projet'!$E$13+1,1))</f>
        <v>163.03280205647224</v>
      </c>
      <c r="CZ68" s="62">
        <f t="shared" si="42"/>
        <v>277.12388047243826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54.694947189483258</v>
      </c>
      <c r="DG68" s="23">
        <f>EXP(-LN(2)/25)*DG67+(1-EXP(-LN(2)/25))/(LN(2)/25)*Calculateur!DB68*Calculateur!DD68*VLOOKUP('Données projet'!$B$13,Paramètres!$A$1:$I$89,3,0)*0.475*44/12</f>
        <v>1.2667895101824624</v>
      </c>
      <c r="DH68" s="23">
        <f>EXP(-LN(2)/2)*DH67+(1-EXP(-LN(2)/2))/(LN(2)/2)*DB68*DE68*VLOOKUP('Données projet'!$B$13,Paramètres!$A$1:$I$89,3,0)*0.475*44/12</f>
        <v>5.9424690171844055E-3</v>
      </c>
      <c r="DI68" s="24">
        <f t="shared" ref="DI68:DI131" si="69">SUM(DF68:DH68)</f>
        <v>55.967679168682906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3.4</v>
      </c>
      <c r="N69" s="14">
        <f>IF('Données projet'!$A$36&gt;35,N68+M69-V68,IF(A69&lt;'Données projet'!$A$36,$K$205^A69,IF(A69='Données projet'!$A$36,'Données projet'!$B$36,N68+M69-V68)))</f>
        <v>170.4</v>
      </c>
      <c r="O69" s="14">
        <f>N69*VLOOKUP('Données projet'!$B$9,Paramètres!$A$1:$I$89,3,0)*VLOOKUP('Données projet'!$B$9,Paramètres!$A$1:$I$89,5,0)</f>
        <v>148.86144000000002</v>
      </c>
      <c r="P69" s="14">
        <f t="shared" ref="P69:P132" si="87">EXP(-1.0587+0.8836*LN(O69)+0.284)</f>
        <v>38.319729148991918</v>
      </c>
      <c r="Q69" s="22">
        <f t="shared" si="54"/>
        <v>326.00720293449427</v>
      </c>
      <c r="R69" s="62">
        <f t="shared" si="55"/>
        <v>619.34053626782759</v>
      </c>
      <c r="S69" s="62">
        <f ca="1">AVERAGE(OFFSET($R$3,0,0,'Données projet'!$E$9+1,1))-AVERAGE(OFFSET($H$3,0,0,'Données projet'!$E$9+1,1))</f>
        <v>188.31046827337082</v>
      </c>
      <c r="T69" s="62">
        <f t="shared" ref="T69:T132" si="88">$T$3</f>
        <v>207.32535726327728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310.95287409903602</v>
      </c>
      <c r="AO69" s="62">
        <f t="shared" ref="AO69:AO132" si="90">$AO$3</f>
        <v>224.10083380795163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-2.2737367544323206E-13</v>
      </c>
      <c r="BE69" s="14">
        <f>BD69*VLOOKUP('Données projet'!$B$11,Paramètres!$A$1:$I$89,3,0)*VLOOKUP('Données projet'!$B$11,Paramètres!$A$1:$I$89,5,0)</f>
        <v>-1.2710188457276673E-13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382.55387448074327</v>
      </c>
      <c r="BJ69" s="62">
        <f t="shared" ref="BJ69:BJ132" si="92">$BJ$3</f>
        <v>476.29465646955543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4.165756575474286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1.1737327733796346E-4</v>
      </c>
      <c r="BS69" s="24">
        <f t="shared" si="63"/>
        <v>4.1658739487516243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483</v>
      </c>
      <c r="BW69" s="13">
        <f>VLOOKUP(A69,'Données projet'!$A$113:$I$133,9,0)</f>
        <v>16.625</v>
      </c>
      <c r="BX69" s="13">
        <f t="array" ref="BX69">INDEX(BW:BW,MIN(IF(ISNUMBER(BW69:BW265),ROW(BW69:BW265),"")))</f>
        <v>16.625</v>
      </c>
      <c r="BY69" s="13">
        <f>IF('Données projet'!$A$114&gt;35,BY68+BX69-CG68,IF(A69&lt;'Données projet'!$A$114,$BV$205^A69,IF(A69='Données projet'!$A$114,'Données projet'!$B$114,BY68+BX69-CG68)))</f>
        <v>483.00000000000006</v>
      </c>
      <c r="BZ69" s="14">
        <f>BY69*VLOOKUP('Données projet'!$B$12,Paramètres!$A$1:$I$89,3,0)*VLOOKUP('Données projet'!$B$12,Paramètres!$A$1:$I$89,5,0)</f>
        <v>288.83400000000006</v>
      </c>
      <c r="CA69" s="14">
        <f t="shared" ref="CA69:CA132" si="93">EXP(-1.0587+0.8836*LN(BZ69)+0.284)</f>
        <v>68.830498636563377</v>
      </c>
      <c r="CB69" s="22">
        <f t="shared" si="64"/>
        <v>622.932335125348</v>
      </c>
      <c r="CC69" s="62">
        <f t="shared" si="65"/>
        <v>916.26566845868138</v>
      </c>
      <c r="CD69" s="62">
        <f ca="1">AVERAGE(OFFSET($CC$3,0,0,'Données projet'!$E$12+1,1))-AVERAGE(OFFSET($H$3,0,0,'Données projet'!$E$12+1,1))</f>
        <v>287.69656598881124</v>
      </c>
      <c r="CE69" s="62">
        <f t="shared" ref="CE69:CE132" si="94">$CE$3</f>
        <v>221.9773436301067</v>
      </c>
      <c r="CF69" s="16">
        <f>IF(ISNA(VLOOKUP(A69,'Données projet'!$A$113:$I$133,3,0)),0,VLOOKUP(A69,'Données projet'!$A$113:$I$133,3,0))</f>
        <v>9</v>
      </c>
      <c r="CG69" s="16">
        <f>IF(ISNA(VLOOKUP(A69,'Données projet'!$A$113:$I$133,4,0)),0,VLOOKUP(A69,'Données projet'!$A$113:$I$133,4,0))</f>
        <v>65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2.9187251452365661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6.1482245071875518E-5</v>
      </c>
      <c r="CN69" s="24">
        <f t="shared" si="66"/>
        <v>2.9187866274816381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5.6843418860808015E-14</v>
      </c>
      <c r="CU69" s="18">
        <f>CT69*VLOOKUP('Données projet'!$B$13,Paramètres!$A$1:$I$89,3,0)*VLOOKUP('Données projet'!$B$13,Paramètres!$A$1:$I$89,5,0)</f>
        <v>3.3992364478763198E-14</v>
      </c>
      <c r="CV69" s="14">
        <f t="shared" ref="CV69:CV132" si="95">EXP(-1.0587+0.8836*LN(CU69)+0.284)</f>
        <v>5.790027782444094E-13</v>
      </c>
      <c r="CW69" s="22">
        <f t="shared" si="67"/>
        <v>1.0676332069095257E-12</v>
      </c>
      <c r="CX69" s="62">
        <f t="shared" si="68"/>
        <v>293.33333333333439</v>
      </c>
      <c r="CY69" s="62">
        <f ca="1">AVERAGE(OFFSET($CX$3,0,0,'Données projet'!$E$13+1,1))-AVERAGE(OFFSET($H$3,0,0,'Données projet'!$E$13+1,1))</f>
        <v>163.03280205647224</v>
      </c>
      <c r="CZ69" s="62">
        <f t="shared" ref="CZ69:CZ132" si="96">$CZ$3</f>
        <v>277.12388047243826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53.62241263572119</v>
      </c>
      <c r="DG69" s="23">
        <f>EXP(-LN(2)/25)*DG68+(1-EXP(-LN(2)/25))/(LN(2)/25)*Calculateur!DB69*Calculateur!DD69*VLOOKUP('Données projet'!$B$13,Paramètres!$A$1:$I$89,3,0)*0.475*44/12</f>
        <v>1.232149084408958</v>
      </c>
      <c r="DH69" s="23">
        <f>EXP(-LN(2)/2)*DH68+(1-EXP(-LN(2)/2))/(LN(2)/2)*DB69*DE69*VLOOKUP('Données projet'!$B$13,Paramètres!$A$1:$I$89,3,0)*0.475*44/12</f>
        <v>4.2019601390420516E-3</v>
      </c>
      <c r="DI69" s="24">
        <f t="shared" si="69"/>
        <v>54.858763680269192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3.4</v>
      </c>
      <c r="N70" s="14">
        <f>IF('Données projet'!$A$36&gt;35,N69+M70-V69,IF(A70&lt;'Données projet'!$A$36,$K$205^A70,IF(A70='Données projet'!$A$36,'Données projet'!$B$36,N69+M70-V69)))</f>
        <v>173.8</v>
      </c>
      <c r="O70" s="14">
        <f>N70*VLOOKUP('Données projet'!$B$9,Paramètres!$A$1:$I$89,3,0)*VLOOKUP('Données projet'!$B$9,Paramètres!$A$1:$I$89,5,0)</f>
        <v>151.83168000000003</v>
      </c>
      <c r="P70" s="14">
        <f t="shared" si="87"/>
        <v>38.99454697963769</v>
      </c>
      <c r="Q70" s="22">
        <f t="shared" si="54"/>
        <v>332.35567865620237</v>
      </c>
      <c r="R70" s="62">
        <f t="shared" si="55"/>
        <v>625.68901198953563</v>
      </c>
      <c r="S70" s="62">
        <f ca="1">AVERAGE(OFFSET($R$3,0,0,'Données projet'!$E$9+1,1))-AVERAGE(OFFSET($H$3,0,0,'Données projet'!$E$9+1,1))</f>
        <v>188.31046827337082</v>
      </c>
      <c r="T70" s="62">
        <f t="shared" si="88"/>
        <v>207.32535726327728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310.95287409903602</v>
      </c>
      <c r="AO70" s="62">
        <f t="shared" si="90"/>
        <v>224.10083380795163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-2.2737367544323206E-13</v>
      </c>
      <c r="BE70" s="14">
        <f>BD70*VLOOKUP('Données projet'!$B$11,Paramètres!$A$1:$I$89,3,0)*VLOOKUP('Données projet'!$B$11,Paramètres!$A$1:$I$89,5,0)</f>
        <v>-1.2710188457276673E-13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382.55387448074327</v>
      </c>
      <c r="BJ70" s="62">
        <f t="shared" si="92"/>
        <v>476.29465646955543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4.084068629889857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8.2995440335763282E-5</v>
      </c>
      <c r="BS70" s="24">
        <f t="shared" si="63"/>
        <v>4.0841516253301924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12.875</v>
      </c>
      <c r="BY70" s="13">
        <f>IF('Données projet'!$A$114&gt;35,BY69+BX70-CG69,IF(A70&lt;'Données projet'!$A$114,$BV$205^A70,IF(A70='Données projet'!$A$114,'Données projet'!$B$114,BY69+BX70-CG69)))</f>
        <v>430.87500000000006</v>
      </c>
      <c r="BZ70" s="14">
        <f>BY70*VLOOKUP('Données projet'!$B$12,Paramètres!$A$1:$I$89,3,0)*VLOOKUP('Données projet'!$B$12,Paramètres!$A$1:$I$89,5,0)</f>
        <v>257.66325000000006</v>
      </c>
      <c r="CA70" s="14">
        <f t="shared" si="93"/>
        <v>62.224015868041043</v>
      </c>
      <c r="CB70" s="22">
        <f t="shared" si="64"/>
        <v>557.13698805350487</v>
      </c>
      <c r="CC70" s="62">
        <f t="shared" si="65"/>
        <v>850.47032138683812</v>
      </c>
      <c r="CD70" s="62">
        <f ca="1">AVERAGE(OFFSET($CC$3,0,0,'Données projet'!$E$12+1,1))-AVERAGE(OFFSET($H$3,0,0,'Données projet'!$E$12+1,1))</f>
        <v>287.69656598881124</v>
      </c>
      <c r="CE70" s="62">
        <f t="shared" si="94"/>
        <v>221.9773436301067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2.861490725385031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4.3474512412896373E-5</v>
      </c>
      <c r="CN70" s="24">
        <f t="shared" si="66"/>
        <v>2.8615341998974437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5.6843418860808015E-14</v>
      </c>
      <c r="CU70" s="18">
        <f>CT70*VLOOKUP('Données projet'!$B$13,Paramètres!$A$1:$I$89,3,0)*VLOOKUP('Données projet'!$B$13,Paramètres!$A$1:$I$89,5,0)</f>
        <v>3.3992364478763198E-14</v>
      </c>
      <c r="CV70" s="14">
        <f t="shared" si="95"/>
        <v>5.790027782444094E-13</v>
      </c>
      <c r="CW70" s="22">
        <f t="shared" si="67"/>
        <v>1.0676332069095257E-12</v>
      </c>
      <c r="CX70" s="62">
        <f t="shared" si="68"/>
        <v>293.33333333333439</v>
      </c>
      <c r="CY70" s="62">
        <f ca="1">AVERAGE(OFFSET($CX$3,0,0,'Données projet'!$E$13+1,1))-AVERAGE(OFFSET($H$3,0,0,'Données projet'!$E$13+1,1))</f>
        <v>163.03280205647224</v>
      </c>
      <c r="CZ70" s="62">
        <f t="shared" si="96"/>
        <v>277.12388047243826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52.570909830376912</v>
      </c>
      <c r="DG70" s="23">
        <f>EXP(-LN(2)/25)*DG69+(1-EXP(-LN(2)/25))/(LN(2)/25)*Calculateur!DB70*Calculateur!DD70*VLOOKUP('Données projet'!$B$13,Paramètres!$A$1:$I$89,3,0)*0.475*44/12</f>
        <v>1.1984559028998909</v>
      </c>
      <c r="DH70" s="23">
        <f>EXP(-LN(2)/2)*DH69+(1-EXP(-LN(2)/2))/(LN(2)/2)*DB70*DE70*VLOOKUP('Données projet'!$B$13,Paramètres!$A$1:$I$89,3,0)*0.475*44/12</f>
        <v>2.9712345085922028E-3</v>
      </c>
      <c r="DI70" s="24">
        <f t="shared" si="69"/>
        <v>53.772336967785392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3.4</v>
      </c>
      <c r="N71" s="14">
        <f>IF('Données projet'!$A$36&gt;35,N70+M71-V70,IF(A71&lt;'Données projet'!$A$36,$K$205^A71,IF(A71='Données projet'!$A$36,'Données projet'!$B$36,N70+M71-V70)))</f>
        <v>177.20000000000002</v>
      </c>
      <c r="O71" s="14">
        <f>N71*VLOOKUP('Données projet'!$B$9,Paramètres!$A$1:$I$89,3,0)*VLOOKUP('Données projet'!$B$9,Paramètres!$A$1:$I$89,5,0)</f>
        <v>154.80192000000002</v>
      </c>
      <c r="P71" s="14">
        <f t="shared" si="87"/>
        <v>39.667829827227955</v>
      </c>
      <c r="Q71" s="22">
        <f t="shared" si="54"/>
        <v>338.70148094908876</v>
      </c>
      <c r="R71" s="62">
        <f t="shared" si="55"/>
        <v>632.03481428242208</v>
      </c>
      <c r="S71" s="62">
        <f ca="1">AVERAGE(OFFSET($R$3,0,0,'Données projet'!$E$9+1,1))-AVERAGE(OFFSET($H$3,0,0,'Données projet'!$E$9+1,1))</f>
        <v>188.31046827337082</v>
      </c>
      <c r="T71" s="62">
        <f t="shared" si="88"/>
        <v>207.32535726327728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310.95287409903602</v>
      </c>
      <c r="AO71" s="62">
        <f t="shared" si="90"/>
        <v>224.10083380795163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-2.2737367544323206E-13</v>
      </c>
      <c r="BE71" s="14">
        <f>BD71*VLOOKUP('Données projet'!$B$11,Paramètres!$A$1:$I$89,3,0)*VLOOKUP('Données projet'!$B$11,Paramètres!$A$1:$I$89,5,0)</f>
        <v>-1.2710188457276673E-13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382.55387448074327</v>
      </c>
      <c r="BJ71" s="62">
        <f t="shared" si="92"/>
        <v>476.29465646955543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4.0039825350936118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5.8686638668981728E-5</v>
      </c>
      <c r="BS71" s="24">
        <f t="shared" si="63"/>
        <v>4.0040412217322805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12.875</v>
      </c>
      <c r="BY71" s="13">
        <f>IF('Données projet'!$A$114&gt;35,BY70+BX71-CG70,IF(A71&lt;'Données projet'!$A$114,$BV$205^A71,IF(A71='Données projet'!$A$114,'Données projet'!$B$114,BY70+BX71-CG70)))</f>
        <v>443.75000000000006</v>
      </c>
      <c r="BZ71" s="14">
        <f>BY71*VLOOKUP('Données projet'!$B$12,Paramètres!$A$1:$I$89,3,0)*VLOOKUP('Données projet'!$B$12,Paramètres!$A$1:$I$89,5,0)</f>
        <v>265.36250000000007</v>
      </c>
      <c r="CA71" s="14">
        <f t="shared" si="93"/>
        <v>63.864084559847946</v>
      </c>
      <c r="CB71" s="22">
        <f t="shared" si="64"/>
        <v>573.40296810840198</v>
      </c>
      <c r="CC71" s="62">
        <f t="shared" si="65"/>
        <v>866.73630144173535</v>
      </c>
      <c r="CD71" s="62">
        <f ca="1">AVERAGE(OFFSET($CC$3,0,0,'Données projet'!$E$12+1,1))-AVERAGE(OFFSET($H$3,0,0,'Données projet'!$E$12+1,1))</f>
        <v>287.69656598881124</v>
      </c>
      <c r="CE71" s="62">
        <f t="shared" si="94"/>
        <v>221.9773436301067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2.8053786375972352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3.0741122535937759E-5</v>
      </c>
      <c r="CN71" s="24">
        <f t="shared" si="66"/>
        <v>2.8054093787197711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5.6843418860808015E-14</v>
      </c>
      <c r="CU71" s="18">
        <f>CT71*VLOOKUP('Données projet'!$B$13,Paramètres!$A$1:$I$89,3,0)*VLOOKUP('Données projet'!$B$13,Paramètres!$A$1:$I$89,5,0)</f>
        <v>3.3992364478763198E-14</v>
      </c>
      <c r="CV71" s="14">
        <f t="shared" si="95"/>
        <v>5.790027782444094E-13</v>
      </c>
      <c r="CW71" s="22">
        <f t="shared" si="67"/>
        <v>1.0676332069095257E-12</v>
      </c>
      <c r="CX71" s="62">
        <f t="shared" si="68"/>
        <v>293.33333333333439</v>
      </c>
      <c r="CY71" s="62">
        <f ca="1">AVERAGE(OFFSET($CX$3,0,0,'Données projet'!$E$13+1,1))-AVERAGE(OFFSET($H$3,0,0,'Données projet'!$E$13+1,1))</f>
        <v>163.03280205647224</v>
      </c>
      <c r="CZ71" s="62">
        <f t="shared" si="96"/>
        <v>277.12388047243826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51.540026353692056</v>
      </c>
      <c r="DG71" s="23">
        <f>EXP(-LN(2)/25)*DG70+(1-EXP(-LN(2)/25))/(LN(2)/25)*Calculateur!DB71*Calculateur!DD71*VLOOKUP('Données projet'!$B$13,Paramètres!$A$1:$I$89,3,0)*0.475*44/12</f>
        <v>1.1656840632110366</v>
      </c>
      <c r="DH71" s="23">
        <f>EXP(-LN(2)/2)*DH70+(1-EXP(-LN(2)/2))/(LN(2)/2)*DB71*DE71*VLOOKUP('Données projet'!$B$13,Paramètres!$A$1:$I$89,3,0)*0.475*44/12</f>
        <v>2.1009800695210258E-3</v>
      </c>
      <c r="DI71" s="24">
        <f t="shared" si="69"/>
        <v>52.707811396972616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3.4</v>
      </c>
      <c r="N72" s="14">
        <f>IF('Données projet'!$A$36&gt;35,N71+M72-V71,IF(A72&lt;'Données projet'!$A$36,$K$205^A72,IF(A72='Données projet'!$A$36,'Données projet'!$B$36,N71+M72-V71)))</f>
        <v>180.60000000000002</v>
      </c>
      <c r="O72" s="14">
        <f>N72*VLOOKUP('Données projet'!$B$9,Paramètres!$A$1:$I$89,3,0)*VLOOKUP('Données projet'!$B$9,Paramètres!$A$1:$I$89,5,0)</f>
        <v>157.77216000000004</v>
      </c>
      <c r="P72" s="14">
        <f t="shared" si="87"/>
        <v>40.339610539653599</v>
      </c>
      <c r="Q72" s="22">
        <f t="shared" si="54"/>
        <v>345.04466702323003</v>
      </c>
      <c r="R72" s="62">
        <f t="shared" si="55"/>
        <v>638.37800035656335</v>
      </c>
      <c r="S72" s="62">
        <f ca="1">AVERAGE(OFFSET($R$3,0,0,'Données projet'!$E$9+1,1))-AVERAGE(OFFSET($H$3,0,0,'Données projet'!$E$9+1,1))</f>
        <v>188.31046827337082</v>
      </c>
      <c r="T72" s="62">
        <f t="shared" si="88"/>
        <v>207.32535726327728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310.95287409903602</v>
      </c>
      <c r="AO72" s="62">
        <f t="shared" si="90"/>
        <v>224.10083380795163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-2.2737367544323206E-13</v>
      </c>
      <c r="BE72" s="14">
        <f>BD72*VLOOKUP('Données projet'!$B$11,Paramètres!$A$1:$I$89,3,0)*VLOOKUP('Données projet'!$B$11,Paramètres!$A$1:$I$89,5,0)</f>
        <v>-1.2710188457276673E-13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382.55387448074327</v>
      </c>
      <c r="BJ72" s="62">
        <f t="shared" si="92"/>
        <v>476.29465646955543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3.9254668797686265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4.1497720167881641E-5</v>
      </c>
      <c r="BS72" s="24">
        <f t="shared" si="63"/>
        <v>3.9255083774887942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12.875</v>
      </c>
      <c r="BY72" s="13">
        <f>IF('Données projet'!$A$114&gt;35,BY71+BX72-CG71,IF(A72&lt;'Données projet'!$A$114,$BV$205^A72,IF(A72='Données projet'!$A$114,'Données projet'!$B$114,BY71+BX72-CG71)))</f>
        <v>456.62500000000006</v>
      </c>
      <c r="BZ72" s="14">
        <f>BY72*VLOOKUP('Données projet'!$B$12,Paramètres!$A$1:$I$89,3,0)*VLOOKUP('Données projet'!$B$12,Paramètres!$A$1:$I$89,5,0)</f>
        <v>273.06175000000007</v>
      </c>
      <c r="CA72" s="14">
        <f t="shared" si="93"/>
        <v>65.49862286970442</v>
      </c>
      <c r="CB72" s="22">
        <f t="shared" si="64"/>
        <v>589.65931608140193</v>
      </c>
      <c r="CC72" s="62">
        <f t="shared" si="65"/>
        <v>882.9926494147353</v>
      </c>
      <c r="CD72" s="62">
        <f ca="1">AVERAGE(OFFSET($CC$3,0,0,'Données projet'!$E$12+1,1))-AVERAGE(OFFSET($H$3,0,0,'Données projet'!$E$12+1,1))</f>
        <v>287.69656598881124</v>
      </c>
      <c r="CE72" s="62">
        <f t="shared" si="94"/>
        <v>221.9773436301067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2.7503668736259641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2.1737256206448186E-5</v>
      </c>
      <c r="CN72" s="24">
        <f t="shared" si="66"/>
        <v>2.7503886108821707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5.6843418860808015E-14</v>
      </c>
      <c r="CU72" s="18">
        <f>CT72*VLOOKUP('Données projet'!$B$13,Paramètres!$A$1:$I$89,3,0)*VLOOKUP('Données projet'!$B$13,Paramètres!$A$1:$I$89,5,0)</f>
        <v>3.3992364478763198E-14</v>
      </c>
      <c r="CV72" s="14">
        <f t="shared" si="95"/>
        <v>5.790027782444094E-13</v>
      </c>
      <c r="CW72" s="22">
        <f t="shared" si="67"/>
        <v>1.0676332069095257E-12</v>
      </c>
      <c r="CX72" s="62">
        <f t="shared" si="68"/>
        <v>293.33333333333439</v>
      </c>
      <c r="CY72" s="62">
        <f ca="1">AVERAGE(OFFSET($CX$3,0,0,'Données projet'!$E$13+1,1))-AVERAGE(OFFSET($H$3,0,0,'Données projet'!$E$13+1,1))</f>
        <v>163.03280205647224</v>
      </c>
      <c r="CZ72" s="62">
        <f t="shared" si="96"/>
        <v>277.12388047243826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50.529357873208156</v>
      </c>
      <c r="DG72" s="23">
        <f>EXP(-LN(2)/25)*DG71+(1-EXP(-LN(2)/25))/(LN(2)/25)*Calculateur!DB72*Calculateur!DD72*VLOOKUP('Données projet'!$B$13,Paramètres!$A$1:$I$89,3,0)*0.475*44/12</f>
        <v>1.1338083712018701</v>
      </c>
      <c r="DH72" s="23">
        <f>EXP(-LN(2)/2)*DH71+(1-EXP(-LN(2)/2))/(LN(2)/2)*DB72*DE72*VLOOKUP('Données projet'!$B$13,Paramètres!$A$1:$I$89,3,0)*0.475*44/12</f>
        <v>1.4856172542961014E-3</v>
      </c>
      <c r="DI72" s="24">
        <f t="shared" si="69"/>
        <v>51.664651861664325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184</v>
      </c>
      <c r="L73" s="13">
        <f>VLOOKUP(A73,'Données projet'!$A$35:$I$55,9,0)</f>
        <v>3.4</v>
      </c>
      <c r="M73" s="13">
        <f t="array" ref="M73">INDEX(L:L,MIN(IF(ISNUMBER(L73:L269),ROW(L73:L269),"")))</f>
        <v>3.4</v>
      </c>
      <c r="N73" s="14">
        <f>IF('Données projet'!$A$36&gt;35,N72+M73-V72,IF(A73&lt;'Données projet'!$A$36,$K$205^A73,IF(A73='Données projet'!$A$36,'Données projet'!$B$36,N72+M73-V72)))</f>
        <v>184.00000000000003</v>
      </c>
      <c r="O73" s="14">
        <f>N73*VLOOKUP('Données projet'!$B$9,Paramètres!$A$1:$I$89,3,0)*VLOOKUP('Données projet'!$B$9,Paramètres!$A$1:$I$89,5,0)</f>
        <v>160.74240000000003</v>
      </c>
      <c r="P73" s="14">
        <f t="shared" si="87"/>
        <v>41.009920657227809</v>
      </c>
      <c r="Q73" s="22">
        <f t="shared" si="54"/>
        <v>351.38529181133845</v>
      </c>
      <c r="R73" s="62">
        <f t="shared" si="55"/>
        <v>644.71862514467171</v>
      </c>
      <c r="S73" s="62">
        <f ca="1">AVERAGE(OFFSET($R$3,0,0,'Données projet'!$E$9+1,1))-AVERAGE(OFFSET($H$3,0,0,'Données projet'!$E$9+1,1))</f>
        <v>188.31046827337082</v>
      </c>
      <c r="T73" s="62">
        <f t="shared" si="88"/>
        <v>207.32535726327728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310.95287409903602</v>
      </c>
      <c r="AO73" s="62">
        <f t="shared" si="90"/>
        <v>224.10083380795163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-2.2737367544323206E-13</v>
      </c>
      <c r="BE73" s="14">
        <f>BD73*VLOOKUP('Données projet'!$B$11,Paramètres!$A$1:$I$89,3,0)*VLOOKUP('Données projet'!$B$11,Paramètres!$A$1:$I$89,5,0)</f>
        <v>-1.2710188457276673E-13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382.55387448074327</v>
      </c>
      <c r="BJ73" s="62">
        <f t="shared" si="92"/>
        <v>476.29465646955543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3.8484908685547432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2.9343319334490864E-5</v>
      </c>
      <c r="BS73" s="24">
        <f t="shared" si="63"/>
        <v>3.8485202118740776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12.875</v>
      </c>
      <c r="BY73" s="13">
        <f>IF('Données projet'!$A$114&gt;35,BY72+BX73-CG72,IF(A73&lt;'Données projet'!$A$114,$BV$205^A73,IF(A73='Données projet'!$A$114,'Données projet'!$B$114,BY72+BX73-CG72)))</f>
        <v>469.50000000000006</v>
      </c>
      <c r="BZ73" s="14">
        <f>BY73*VLOOKUP('Données projet'!$B$12,Paramètres!$A$1:$I$89,3,0)*VLOOKUP('Données projet'!$B$12,Paramètres!$A$1:$I$89,5,0)</f>
        <v>280.76100000000002</v>
      </c>
      <c r="CA73" s="14">
        <f t="shared" si="93"/>
        <v>67.12780464438184</v>
      </c>
      <c r="CB73" s="22">
        <f t="shared" si="64"/>
        <v>605.90633475563175</v>
      </c>
      <c r="CC73" s="62">
        <f t="shared" si="65"/>
        <v>899.23966808896512</v>
      </c>
      <c r="CD73" s="62">
        <f ca="1">AVERAGE(OFFSET($CC$3,0,0,'Données projet'!$E$12+1,1))-AVERAGE(OFFSET($H$3,0,0,'Données projet'!$E$12+1,1))</f>
        <v>287.69656598881124</v>
      </c>
      <c r="CE73" s="62">
        <f t="shared" si="94"/>
        <v>221.9773436301067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2.6964338567923067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1.537056126796888E-5</v>
      </c>
      <c r="CN73" s="24">
        <f t="shared" si="66"/>
        <v>2.6964492273535745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3.3992364478763198E-14</v>
      </c>
      <c r="CV73" s="14">
        <f t="shared" si="95"/>
        <v>5.790027782444094E-13</v>
      </c>
      <c r="CW73" s="22">
        <f t="shared" si="67"/>
        <v>1.0676332069095257E-12</v>
      </c>
      <c r="CX73" s="62">
        <f t="shared" si="68"/>
        <v>293.33333333333439</v>
      </c>
      <c r="CY73" s="62">
        <f ca="1">AVERAGE(OFFSET($CX$3,0,0,'Données projet'!$E$13+1,1))-AVERAGE(OFFSET($H$3,0,0,'Données projet'!$E$13+1,1))</f>
        <v>163.03280205647224</v>
      </c>
      <c r="CZ73" s="62">
        <f t="shared" si="96"/>
        <v>277.12388047243826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49.538507985179635</v>
      </c>
      <c r="DG73" s="23">
        <f>EXP(-LN(2)/25)*DG72+(1-EXP(-LN(2)/25))/(LN(2)/25)*Calculateur!DB73*Calculateur!DD73*VLOOKUP('Données projet'!$B$13,Paramètres!$A$1:$I$89,3,0)*0.475*44/12</f>
        <v>1.1028043216669641</v>
      </c>
      <c r="DH73" s="23">
        <f>EXP(-LN(2)/2)*DH72+(1-EXP(-LN(2)/2))/(LN(2)/2)*DB73*DE73*VLOOKUP('Données projet'!$B$13,Paramètres!$A$1:$I$89,3,0)*0.475*44/12</f>
        <v>1.0504900347605129E-3</v>
      </c>
      <c r="DI73" s="24">
        <f t="shared" si="69"/>
        <v>50.642362796881358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3</v>
      </c>
      <c r="N74" s="14">
        <f>IF('Données projet'!$A$36&gt;35,N73+M74-V73,IF(A74&lt;'Données projet'!$A$36,$K$205^A74,IF(A74='Données projet'!$A$36,'Données projet'!$B$36,N73+M74-V73)))</f>
        <v>175.00000000000003</v>
      </c>
      <c r="O74" s="14">
        <f>N74*VLOOKUP('Données projet'!$B$9,Paramètres!$A$1:$I$89,3,0)*VLOOKUP('Données projet'!$B$9,Paramètres!$A$1:$I$89,5,0)</f>
        <v>152.88000000000005</v>
      </c>
      <c r="P74" s="14">
        <f t="shared" si="87"/>
        <v>39.232349774697852</v>
      </c>
      <c r="Q74" s="22">
        <f t="shared" si="54"/>
        <v>334.59567585759885</v>
      </c>
      <c r="R74" s="62">
        <f t="shared" si="55"/>
        <v>627.92900919093222</v>
      </c>
      <c r="S74" s="62">
        <f ca="1">AVERAGE(OFFSET($R$3,0,0,'Données projet'!$E$9+1,1))-AVERAGE(OFFSET($H$3,0,0,'Données projet'!$E$9+1,1))</f>
        <v>188.31046827337082</v>
      </c>
      <c r="T74" s="62">
        <f t="shared" si="88"/>
        <v>207.32535726327728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310.95287409903602</v>
      </c>
      <c r="AO74" s="62">
        <f t="shared" si="90"/>
        <v>224.10083380795163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-2.2737367544323206E-13</v>
      </c>
      <c r="BE74" s="14">
        <f>BD74*VLOOKUP('Données projet'!$B$11,Paramètres!$A$1:$I$89,3,0)*VLOOKUP('Données projet'!$B$11,Paramètres!$A$1:$I$89,5,0)</f>
        <v>-1.2710188457276673E-13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382.55387448074327</v>
      </c>
      <c r="BJ74" s="62">
        <f t="shared" si="92"/>
        <v>476.29465646955543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3.7730243099700331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2.074886008394082E-5</v>
      </c>
      <c r="BS74" s="24">
        <f t="shared" si="63"/>
        <v>3.773045058830117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12.875</v>
      </c>
      <c r="BY74" s="13">
        <f>IF('Données projet'!$A$114&gt;35,BY73+BX74-CG73,IF(A74&lt;'Données projet'!$A$114,$BV$205^A74,IF(A74='Données projet'!$A$114,'Données projet'!$B$114,BY73+BX74-CG73)))</f>
        <v>482.37500000000006</v>
      </c>
      <c r="BZ74" s="14">
        <f>BY74*VLOOKUP('Données projet'!$B$12,Paramètres!$A$1:$I$89,3,0)*VLOOKUP('Données projet'!$B$12,Paramètres!$A$1:$I$89,5,0)</f>
        <v>288.46025000000009</v>
      </c>
      <c r="CA74" s="14">
        <f t="shared" si="93"/>
        <v>68.75179365327233</v>
      </c>
      <c r="CB74" s="22">
        <f t="shared" si="64"/>
        <v>622.14430936278279</v>
      </c>
      <c r="CC74" s="62">
        <f t="shared" si="65"/>
        <v>915.47764269611616</v>
      </c>
      <c r="CD74" s="62">
        <f ca="1">AVERAGE(OFFSET($CC$3,0,0,'Données projet'!$E$12+1,1))-AVERAGE(OFFSET($H$3,0,0,'Données projet'!$E$12+1,1))</f>
        <v>287.69656598881124</v>
      </c>
      <c r="CE74" s="62">
        <f t="shared" si="94"/>
        <v>221.9773436301067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2.6435584335228652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1.0868628103224093E-5</v>
      </c>
      <c r="CN74" s="24">
        <f t="shared" si="66"/>
        <v>2.6435693021509685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3.3992364478763198E-14</v>
      </c>
      <c r="CV74" s="14">
        <f t="shared" si="95"/>
        <v>5.790027782444094E-13</v>
      </c>
      <c r="CW74" s="22">
        <f t="shared" si="67"/>
        <v>1.0676332069095257E-12</v>
      </c>
      <c r="CX74" s="62">
        <f t="shared" si="68"/>
        <v>293.33333333333439</v>
      </c>
      <c r="CY74" s="62">
        <f ca="1">AVERAGE(OFFSET($CX$3,0,0,'Données projet'!$E$13+1,1))-AVERAGE(OFFSET($H$3,0,0,'Données projet'!$E$13+1,1))</f>
        <v>163.03280205647224</v>
      </c>
      <c r="CZ74" s="62">
        <f t="shared" si="96"/>
        <v>277.12388047243826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48.567088059096598</v>
      </c>
      <c r="DG74" s="23">
        <f>EXP(-LN(2)/25)*DG73+(1-EXP(-LN(2)/25))/(LN(2)/25)*Calculateur!DB74*Calculateur!DD74*VLOOKUP('Données projet'!$B$13,Paramètres!$A$1:$I$89,3,0)*0.475*44/12</f>
        <v>1.0726480794970221</v>
      </c>
      <c r="DH74" s="23">
        <f>EXP(-LN(2)/2)*DH73+(1-EXP(-LN(2)/2))/(LN(2)/2)*DB74*DE74*VLOOKUP('Données projet'!$B$13,Paramètres!$A$1:$I$89,3,0)*0.475*44/12</f>
        <v>7.4280862714805069E-4</v>
      </c>
      <c r="DI74" s="24">
        <f t="shared" si="69"/>
        <v>49.640478947220764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3</v>
      </c>
      <c r="N75" s="14">
        <f>IF('Données projet'!$A$36&gt;35,N74+M75-V74,IF(A75&lt;'Données projet'!$A$36,$K$205^A75,IF(A75='Données projet'!$A$36,'Données projet'!$B$36,N74+M75-V74)))</f>
        <v>178.00000000000003</v>
      </c>
      <c r="O75" s="14">
        <f>N75*VLOOKUP('Données projet'!$B$9,Paramètres!$A$1:$I$89,3,0)*VLOOKUP('Données projet'!$B$9,Paramètres!$A$1:$I$89,5,0)</f>
        <v>155.50080000000003</v>
      </c>
      <c r="P75" s="14">
        <f t="shared" si="87"/>
        <v>39.826029828200333</v>
      </c>
      <c r="Q75" s="22">
        <f t="shared" si="54"/>
        <v>340.19422861744891</v>
      </c>
      <c r="R75" s="62">
        <f t="shared" si="55"/>
        <v>633.52756195078223</v>
      </c>
      <c r="S75" s="62">
        <f ca="1">AVERAGE(OFFSET($R$3,0,0,'Données projet'!$E$9+1,1))-AVERAGE(OFFSET($H$3,0,0,'Données projet'!$E$9+1,1))</f>
        <v>188.31046827337082</v>
      </c>
      <c r="T75" s="62">
        <f t="shared" si="88"/>
        <v>207.32535726327728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310.95287409903602</v>
      </c>
      <c r="AO75" s="62">
        <f t="shared" si="90"/>
        <v>224.10083380795163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-2.2737367544323206E-13</v>
      </c>
      <c r="BE75" s="14">
        <f>BD75*VLOOKUP('Données projet'!$B$11,Paramètres!$A$1:$I$89,3,0)*VLOOKUP('Données projet'!$B$11,Paramètres!$A$1:$I$89,5,0)</f>
        <v>-1.2710188457276673E-13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382.55387448074327</v>
      </c>
      <c r="BJ75" s="62">
        <f t="shared" si="92"/>
        <v>476.29465646955543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3.6990376045691136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1.4671659667245432E-5</v>
      </c>
      <c r="BS75" s="24">
        <f t="shared" si="63"/>
        <v>3.6990522762287807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12.875</v>
      </c>
      <c r="BY75" s="13">
        <f>IF('Données projet'!$A$114&gt;35,BY74+BX75-CG74,IF(A75&lt;'Données projet'!$A$114,$BV$205^A75,IF(A75='Données projet'!$A$114,'Données projet'!$B$114,BY74+BX75-CG74)))</f>
        <v>495.25000000000006</v>
      </c>
      <c r="BZ75" s="14">
        <f>BY75*VLOOKUP('Données projet'!$B$12,Paramètres!$A$1:$I$89,3,0)*VLOOKUP('Données projet'!$B$12,Paramètres!$A$1:$I$89,5,0)</f>
        <v>296.15950000000004</v>
      </c>
      <c r="CA75" s="14">
        <f t="shared" si="93"/>
        <v>70.370744425720076</v>
      </c>
      <c r="CB75" s="22">
        <f t="shared" si="64"/>
        <v>638.37350904146251</v>
      </c>
      <c r="CC75" s="62">
        <f t="shared" si="65"/>
        <v>931.70684237479577</v>
      </c>
      <c r="CD75" s="62">
        <f ca="1">AVERAGE(OFFSET($CC$3,0,0,'Données projet'!$E$12+1,1))-AVERAGE(OFFSET($H$3,0,0,'Données projet'!$E$12+1,1))</f>
        <v>287.69656598881124</v>
      </c>
      <c r="CE75" s="62">
        <f t="shared" si="94"/>
        <v>221.9773436301067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2.5917198650529141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7.6852806339844398E-6</v>
      </c>
      <c r="CN75" s="24">
        <f t="shared" si="66"/>
        <v>2.5917275503335482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3.3992364478763198E-14</v>
      </c>
      <c r="CV75" s="14">
        <f t="shared" si="95"/>
        <v>5.790027782444094E-13</v>
      </c>
      <c r="CW75" s="22">
        <f t="shared" si="67"/>
        <v>1.0676332069095257E-12</v>
      </c>
      <c r="CX75" s="62">
        <f t="shared" si="68"/>
        <v>293.33333333333439</v>
      </c>
      <c r="CY75" s="62">
        <f ca="1">AVERAGE(OFFSET($CX$3,0,0,'Données projet'!$E$13+1,1))-AVERAGE(OFFSET($H$3,0,0,'Données projet'!$E$13+1,1))</f>
        <v>163.03280205647224</v>
      </c>
      <c r="CZ75" s="62">
        <f t="shared" si="96"/>
        <v>277.12388047243826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47.614717085256402</v>
      </c>
      <c r="DG75" s="23">
        <f>EXP(-LN(2)/25)*DG74+(1-EXP(-LN(2)/25))/(LN(2)/25)*Calculateur!DB75*Calculateur!DD75*VLOOKUP('Données projet'!$B$13,Paramètres!$A$1:$I$89,3,0)*0.475*44/12</f>
        <v>1.0433164613550652</v>
      </c>
      <c r="DH75" s="23">
        <f>EXP(-LN(2)/2)*DH74+(1-EXP(-LN(2)/2))/(LN(2)/2)*DB75*DE75*VLOOKUP('Données projet'!$B$13,Paramètres!$A$1:$I$89,3,0)*0.475*44/12</f>
        <v>5.2524501738025644E-4</v>
      </c>
      <c r="DI75" s="24">
        <f t="shared" si="69"/>
        <v>48.658558791628842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3</v>
      </c>
      <c r="N76" s="14">
        <f>IF('Données projet'!$A$36&gt;35,N75+M76-V75,IF(A76&lt;'Données projet'!$A$36,$K$205^A76,IF(A76='Données projet'!$A$36,'Données projet'!$B$36,N75+M76-V75)))</f>
        <v>181.00000000000003</v>
      </c>
      <c r="O76" s="14">
        <f>N76*VLOOKUP('Données projet'!$B$9,Paramètres!$A$1:$I$89,3,0)*VLOOKUP('Données projet'!$B$9,Paramètres!$A$1:$I$89,5,0)</f>
        <v>158.12160000000006</v>
      </c>
      <c r="P76" s="14">
        <f t="shared" si="87"/>
        <v>40.418546284954246</v>
      </c>
      <c r="Q76" s="22">
        <f t="shared" si="54"/>
        <v>345.79075477962868</v>
      </c>
      <c r="R76" s="62">
        <f t="shared" si="55"/>
        <v>639.124088112962</v>
      </c>
      <c r="S76" s="62">
        <f ca="1">AVERAGE(OFFSET($R$3,0,0,'Données projet'!$E$9+1,1))-AVERAGE(OFFSET($H$3,0,0,'Données projet'!$E$9+1,1))</f>
        <v>188.31046827337082</v>
      </c>
      <c r="T76" s="62">
        <f t="shared" si="88"/>
        <v>207.32535726327728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310.95287409903602</v>
      </c>
      <c r="AO76" s="62">
        <f t="shared" si="90"/>
        <v>224.10083380795163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-2.2737367544323206E-13</v>
      </c>
      <c r="BE76" s="14">
        <f>BD76*VLOOKUP('Données projet'!$B$11,Paramètres!$A$1:$I$89,3,0)*VLOOKUP('Données projet'!$B$11,Paramètres!$A$1:$I$89,5,0)</f>
        <v>-1.2710188457276673E-13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382.55387448074327</v>
      </c>
      <c r="BJ76" s="62">
        <f t="shared" si="92"/>
        <v>476.29465646955543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3.6265017333336718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1.037443004197041E-5</v>
      </c>
      <c r="BS76" s="24">
        <f t="shared" si="63"/>
        <v>3.6265121077637139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12.875</v>
      </c>
      <c r="BY76" s="13">
        <f>IF('Données projet'!$A$114&gt;35,BY75+BX76-CG75,IF(A76&lt;'Données projet'!$A$114,$BV$205^A76,IF(A76='Données projet'!$A$114,'Données projet'!$B$114,BY75+BX76-CG75)))</f>
        <v>508.12500000000006</v>
      </c>
      <c r="BZ76" s="14">
        <f>BY76*VLOOKUP('Données projet'!$B$12,Paramètres!$A$1:$I$89,3,0)*VLOOKUP('Données projet'!$B$12,Paramètres!$A$1:$I$89,5,0)</f>
        <v>303.85875000000004</v>
      </c>
      <c r="CA76" s="14">
        <f t="shared" si="93"/>
        <v>71.984802998830631</v>
      </c>
      <c r="CB76" s="22">
        <f t="shared" si="64"/>
        <v>654.59418813963009</v>
      </c>
      <c r="CC76" s="62">
        <f t="shared" si="65"/>
        <v>947.92752147296346</v>
      </c>
      <c r="CD76" s="62">
        <f ca="1">AVERAGE(OFFSET($CC$3,0,0,'Données projet'!$E$12+1,1))-AVERAGE(OFFSET($H$3,0,0,'Données projet'!$E$12+1,1))</f>
        <v>287.69656598881124</v>
      </c>
      <c r="CE76" s="62">
        <f t="shared" si="94"/>
        <v>221.9773436301067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2.5408978192922538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5.4343140516120466E-6</v>
      </c>
      <c r="CN76" s="24">
        <f t="shared" si="66"/>
        <v>2.5409032536063054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3.3992364478763198E-14</v>
      </c>
      <c r="CV76" s="14">
        <f t="shared" si="95"/>
        <v>5.790027782444094E-13</v>
      </c>
      <c r="CW76" s="22">
        <f t="shared" si="67"/>
        <v>1.0676332069095257E-12</v>
      </c>
      <c r="CX76" s="62">
        <f t="shared" si="68"/>
        <v>293.33333333333439</v>
      </c>
      <c r="CY76" s="62">
        <f ca="1">AVERAGE(OFFSET($CX$3,0,0,'Données projet'!$E$13+1,1))-AVERAGE(OFFSET($H$3,0,0,'Données projet'!$E$13+1,1))</f>
        <v>163.03280205647224</v>
      </c>
      <c r="CZ76" s="62">
        <f t="shared" si="96"/>
        <v>277.12388047243826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46.681021525324276</v>
      </c>
      <c r="DG76" s="23">
        <f>EXP(-LN(2)/25)*DG75+(1-EXP(-LN(2)/25))/(LN(2)/25)*Calculateur!DB76*Calculateur!DD76*VLOOKUP('Données projet'!$B$13,Paramètres!$A$1:$I$89,3,0)*0.475*44/12</f>
        <v>1.0147869178536828</v>
      </c>
      <c r="DH76" s="23">
        <f>EXP(-LN(2)/2)*DH75+(1-EXP(-LN(2)/2))/(LN(2)/2)*DB76*DE76*VLOOKUP('Données projet'!$B$13,Paramètres!$A$1:$I$89,3,0)*0.475*44/12</f>
        <v>3.7140431357402534E-4</v>
      </c>
      <c r="DI76" s="24">
        <f t="shared" si="69"/>
        <v>47.696179847491535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3</v>
      </c>
      <c r="N77" s="14">
        <f>IF('Données projet'!$A$36&gt;35,N76+M77-V76,IF(A77&lt;'Données projet'!$A$36,$K$205^A77,IF(A77='Données projet'!$A$36,'Données projet'!$B$36,N76+M77-V76)))</f>
        <v>184.00000000000003</v>
      </c>
      <c r="O77" s="14">
        <f>N77*VLOOKUP('Données projet'!$B$9,Paramètres!$A$1:$I$89,3,0)*VLOOKUP('Données projet'!$B$9,Paramètres!$A$1:$I$89,5,0)</f>
        <v>160.74240000000003</v>
      </c>
      <c r="P77" s="14">
        <f t="shared" si="87"/>
        <v>41.009920657227809</v>
      </c>
      <c r="Q77" s="22">
        <f t="shared" si="54"/>
        <v>351.38529181133845</v>
      </c>
      <c r="R77" s="62">
        <f t="shared" si="55"/>
        <v>644.71862514467171</v>
      </c>
      <c r="S77" s="62">
        <f ca="1">AVERAGE(OFFSET($R$3,0,0,'Données projet'!$E$9+1,1))-AVERAGE(OFFSET($H$3,0,0,'Données projet'!$E$9+1,1))</f>
        <v>188.31046827337082</v>
      </c>
      <c r="T77" s="62">
        <f t="shared" si="88"/>
        <v>207.32535726327728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310.95287409903602</v>
      </c>
      <c r="AO77" s="62">
        <f t="shared" si="90"/>
        <v>224.10083380795163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-2.2737367544323206E-13</v>
      </c>
      <c r="BE77" s="14">
        <f>BD77*VLOOKUP('Données projet'!$B$11,Paramètres!$A$1:$I$89,3,0)*VLOOKUP('Données projet'!$B$11,Paramètres!$A$1:$I$89,5,0)</f>
        <v>-1.2710188457276673E-13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382.55387448074327</v>
      </c>
      <c r="BJ77" s="62">
        <f t="shared" si="92"/>
        <v>476.29465646955543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3.5553882462906441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7.335829833622716E-6</v>
      </c>
      <c r="BS77" s="24">
        <f t="shared" si="63"/>
        <v>3.5553955821204779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>
        <f>VLOOKUP(A77,'Données projet'!$A$113:$I$133,2,0)</f>
        <v>521</v>
      </c>
      <c r="BW77" s="13">
        <f>VLOOKUP(A77,'Données projet'!$A$113:$I$133,9,0)</f>
        <v>12.875</v>
      </c>
      <c r="BX77" s="13">
        <f t="array" ref="BX77">INDEX(BW:BW,MIN(IF(ISNUMBER(BW77:BW273),ROW(BW77:BW273),"")))</f>
        <v>12.875</v>
      </c>
      <c r="BY77" s="13">
        <f>IF('Données projet'!$A$114&gt;35,BY76+BX77-CG76,IF(A77&lt;'Données projet'!$A$114,$BV$205^A77,IF(A77='Données projet'!$A$114,'Données projet'!$B$114,BY76+BX77-CG76)))</f>
        <v>521</v>
      </c>
      <c r="BZ77" s="14">
        <f>BY77*VLOOKUP('Données projet'!$B$12,Paramètres!$A$1:$I$89,3,0)*VLOOKUP('Données projet'!$B$12,Paramètres!$A$1:$I$89,5,0)</f>
        <v>311.55799999999999</v>
      </c>
      <c r="CA77" s="14">
        <f t="shared" si="93"/>
        <v>73.594107587354372</v>
      </c>
      <c r="CB77" s="22">
        <f t="shared" si="64"/>
        <v>670.80658738130876</v>
      </c>
      <c r="CC77" s="62">
        <f t="shared" si="65"/>
        <v>964.13992071464213</v>
      </c>
      <c r="CD77" s="62">
        <f ca="1">AVERAGE(OFFSET($CC$3,0,0,'Données projet'!$E$12+1,1))-AVERAGE(OFFSET($H$3,0,0,'Données projet'!$E$12+1,1))</f>
        <v>287.69656598881124</v>
      </c>
      <c r="CE77" s="62">
        <f t="shared" si="94"/>
        <v>221.9773436301067</v>
      </c>
      <c r="CF77" s="16">
        <f>IF(ISNA(VLOOKUP(A77,'Données projet'!$A$113:$I$133,3,0)),0,VLOOKUP(A77,'Données projet'!$A$113:$I$133,3,0))</f>
        <v>10</v>
      </c>
      <c r="CG77" s="16">
        <f>IF(ISNA(VLOOKUP(A77,'Données projet'!$A$113:$I$133,4,0)),0,VLOOKUP(A77,'Données projet'!$A$113:$I$133,4,0))</f>
        <v>37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2.4910723628505731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3.8426403169922199E-6</v>
      </c>
      <c r="CN77" s="24">
        <f t="shared" si="66"/>
        <v>2.4910762054908901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3.3992364478763198E-14</v>
      </c>
      <c r="CV77" s="14">
        <f t="shared" si="95"/>
        <v>5.790027782444094E-13</v>
      </c>
      <c r="CW77" s="22">
        <f t="shared" si="67"/>
        <v>1.0676332069095257E-12</v>
      </c>
      <c r="CX77" s="62">
        <f t="shared" si="68"/>
        <v>293.33333333333439</v>
      </c>
      <c r="CY77" s="62">
        <f ca="1">AVERAGE(OFFSET($CX$3,0,0,'Données projet'!$E$13+1,1))-AVERAGE(OFFSET($H$3,0,0,'Données projet'!$E$13+1,1))</f>
        <v>163.03280205647224</v>
      </c>
      <c r="CZ77" s="62">
        <f t="shared" si="96"/>
        <v>277.12388047243826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45.765635165824364</v>
      </c>
      <c r="DG77" s="23">
        <f>EXP(-LN(2)/25)*DG76+(1-EXP(-LN(2)/25))/(LN(2)/25)*Calculateur!DB77*Calculateur!DD77*VLOOKUP('Données projet'!$B$13,Paramètres!$A$1:$I$89,3,0)*0.475*44/12</f>
        <v>0.98703751621964919</v>
      </c>
      <c r="DH77" s="23">
        <f>EXP(-LN(2)/2)*DH76+(1-EXP(-LN(2)/2))/(LN(2)/2)*DB77*DE77*VLOOKUP('Données projet'!$B$13,Paramètres!$A$1:$I$89,3,0)*0.475*44/12</f>
        <v>2.6262250869012822E-4</v>
      </c>
      <c r="DI77" s="24">
        <f t="shared" si="69"/>
        <v>46.752935304552707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187</v>
      </c>
      <c r="L78" s="13">
        <f>VLOOKUP(A78,'Données projet'!$A$35:$I$55,9,0)</f>
        <v>3</v>
      </c>
      <c r="M78" s="13">
        <f t="array" ref="M78">INDEX(L:L,MIN(IF(ISNUMBER(L78:L274),ROW(L78:L274),"")))</f>
        <v>3</v>
      </c>
      <c r="N78" s="14">
        <f>IF('Données projet'!$A$36&gt;35,N77+M78-V77,IF(A78&lt;'Données projet'!$A$36,$K$205^A78,IF(A78='Données projet'!$A$36,'Données projet'!$B$36,N77+M78-V77)))</f>
        <v>187.00000000000003</v>
      </c>
      <c r="O78" s="14">
        <f>N78*VLOOKUP('Données projet'!$B$9,Paramètres!$A$1:$I$89,3,0)*VLOOKUP('Données projet'!$B$9,Paramètres!$A$1:$I$89,5,0)</f>
        <v>163.36320000000003</v>
      </c>
      <c r="P78" s="14">
        <f t="shared" si="87"/>
        <v>41.600173715581626</v>
      </c>
      <c r="Q78" s="22">
        <f t="shared" si="54"/>
        <v>356.97787588797138</v>
      </c>
      <c r="R78" s="62">
        <f t="shared" si="55"/>
        <v>650.31120922130469</v>
      </c>
      <c r="S78" s="62">
        <f ca="1">AVERAGE(OFFSET($R$3,0,0,'Données projet'!$E$9+1,1))-AVERAGE(OFFSET($H$3,0,0,'Données projet'!$E$9+1,1))</f>
        <v>188.31046827337082</v>
      </c>
      <c r="T78" s="62">
        <f t="shared" si="88"/>
        <v>207.32535726327728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11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310.95287409903602</v>
      </c>
      <c r="AO78" s="62">
        <f t="shared" si="90"/>
        <v>224.10083380795163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-2.2737367544323206E-13</v>
      </c>
      <c r="BE78" s="14">
        <f>BD78*VLOOKUP('Données projet'!$B$11,Paramètres!$A$1:$I$89,3,0)*VLOOKUP('Données projet'!$B$11,Paramètres!$A$1:$I$89,5,0)</f>
        <v>-1.2710188457276673E-13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382.55387448074327</v>
      </c>
      <c r="BJ78" s="62">
        <f t="shared" si="92"/>
        <v>476.29465646955543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3.4856692513535861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5.1872150209852051E-6</v>
      </c>
      <c r="BS78" s="24">
        <f t="shared" si="63"/>
        <v>3.4856744385686071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8.875</v>
      </c>
      <c r="BY78" s="13">
        <f>IF('Données projet'!$A$114&gt;35,BY77+BX78-CG77,IF(A78&lt;'Données projet'!$A$114,$BV$205^A78,IF(A78='Données projet'!$A$114,'Données projet'!$B$114,BY77+BX78-CG77)))</f>
        <v>492.875</v>
      </c>
      <c r="BZ78" s="14">
        <f>BY78*VLOOKUP('Données projet'!$B$12,Paramètres!$A$1:$I$89,3,0)*VLOOKUP('Données projet'!$B$12,Paramètres!$A$1:$I$89,5,0)</f>
        <v>294.73925000000003</v>
      </c>
      <c r="CA78" s="14">
        <f t="shared" si="93"/>
        <v>70.072475236035828</v>
      </c>
      <c r="CB78" s="22">
        <f t="shared" si="64"/>
        <v>635.38042145276233</v>
      </c>
      <c r="CC78" s="62">
        <f t="shared" si="65"/>
        <v>928.71375478609571</v>
      </c>
      <c r="CD78" s="62">
        <f ca="1">AVERAGE(OFFSET($CC$3,0,0,'Données projet'!$E$12+1,1))-AVERAGE(OFFSET($H$3,0,0,'Données projet'!$E$12+1,1))</f>
        <v>287.69656598881124</v>
      </c>
      <c r="CE78" s="62">
        <f t="shared" si="94"/>
        <v>221.9773436301067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2.4422239532191861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2.7171570258060233E-6</v>
      </c>
      <c r="CN78" s="24">
        <f t="shared" si="66"/>
        <v>2.4422266703762117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3.3992364478763198E-14</v>
      </c>
      <c r="CV78" s="14">
        <f t="shared" si="95"/>
        <v>5.790027782444094E-13</v>
      </c>
      <c r="CW78" s="22">
        <f t="shared" si="67"/>
        <v>1.0676332069095257E-12</v>
      </c>
      <c r="CX78" s="62">
        <f t="shared" si="68"/>
        <v>293.33333333333439</v>
      </c>
      <c r="CY78" s="62">
        <f ca="1">AVERAGE(OFFSET($CX$3,0,0,'Données projet'!$E$13+1,1))-AVERAGE(OFFSET($H$3,0,0,'Données projet'!$E$13+1,1))</f>
        <v>163.03280205647224</v>
      </c>
      <c r="CZ78" s="62">
        <f t="shared" si="96"/>
        <v>277.12388047243826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44.868198974503692</v>
      </c>
      <c r="DG78" s="23">
        <f>EXP(-LN(2)/25)*DG77+(1-EXP(-LN(2)/25))/(LN(2)/25)*Calculateur!DB78*Calculateur!DD78*VLOOKUP('Données projet'!$B$13,Paramètres!$A$1:$I$89,3,0)*0.475*44/12</f>
        <v>0.96004692343257581</v>
      </c>
      <c r="DH78" s="23">
        <f>EXP(-LN(2)/2)*DH77+(1-EXP(-LN(2)/2))/(LN(2)/2)*DB78*DE78*VLOOKUP('Données projet'!$B$13,Paramètres!$A$1:$I$89,3,0)*0.475*44/12</f>
        <v>1.8570215678701267E-4</v>
      </c>
      <c r="DI78" s="24">
        <f t="shared" si="69"/>
        <v>45.828431600093054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2.6</v>
      </c>
      <c r="N79" s="14">
        <f>IF('Données projet'!$A$36&gt;35,N78+M79-V78,IF(A79&lt;'Données projet'!$A$36,$K$205^A79,IF(A79='Données projet'!$A$36,'Données projet'!$B$36,N78+M79-V78)))</f>
        <v>178.60000000000002</v>
      </c>
      <c r="O79" s="14">
        <f>N79*VLOOKUP('Données projet'!$B$9,Paramètres!$A$1:$I$89,3,0)*VLOOKUP('Données projet'!$B$9,Paramètres!$A$1:$I$89,5,0)</f>
        <v>156.02496000000005</v>
      </c>
      <c r="P79" s="14">
        <f t="shared" si="87"/>
        <v>39.944625507905997</v>
      </c>
      <c r="Q79" s="22">
        <f t="shared" si="54"/>
        <v>341.31369475960304</v>
      </c>
      <c r="R79" s="62">
        <f t="shared" si="55"/>
        <v>634.64702809293635</v>
      </c>
      <c r="S79" s="62">
        <f ca="1">AVERAGE(OFFSET($R$3,0,0,'Données projet'!$E$9+1,1))-AVERAGE(OFFSET($H$3,0,0,'Données projet'!$E$9+1,1))</f>
        <v>188.31046827337082</v>
      </c>
      <c r="T79" s="62">
        <f t="shared" si="88"/>
        <v>207.32535726327728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310.95287409903602</v>
      </c>
      <c r="AO79" s="62">
        <f t="shared" si="90"/>
        <v>224.10083380795163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-2.2737367544323206E-13</v>
      </c>
      <c r="BE79" s="14">
        <f>BD79*VLOOKUP('Données projet'!$B$11,Paramètres!$A$1:$I$89,3,0)*VLOOKUP('Données projet'!$B$11,Paramètres!$A$1:$I$89,5,0)</f>
        <v>-1.2710188457276673E-13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382.55387448074327</v>
      </c>
      <c r="BJ79" s="62">
        <f t="shared" si="92"/>
        <v>476.29465646955543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3.4173174033828557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3.667914916811358E-6</v>
      </c>
      <c r="BS79" s="24">
        <f t="shared" si="63"/>
        <v>3.4173210712977724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8.875</v>
      </c>
      <c r="BY79" s="13">
        <f>IF('Données projet'!$A$114&gt;35,BY78+BX79-CG78,IF(A79&lt;'Données projet'!$A$114,$BV$205^A79,IF(A79='Données projet'!$A$114,'Données projet'!$B$114,BY78+BX79-CG78)))</f>
        <v>501.75</v>
      </c>
      <c r="BZ79" s="14">
        <f>BY79*VLOOKUP('Données projet'!$B$12,Paramètres!$A$1:$I$89,3,0)*VLOOKUP('Données projet'!$B$12,Paramètres!$A$1:$I$89,5,0)</f>
        <v>300.04650000000004</v>
      </c>
      <c r="CA79" s="14">
        <f t="shared" si="93"/>
        <v>71.186211573839699</v>
      </c>
      <c r="CB79" s="22">
        <f t="shared" si="64"/>
        <v>646.56363932443753</v>
      </c>
      <c r="CC79" s="62">
        <f t="shared" si="65"/>
        <v>939.8969726577709</v>
      </c>
      <c r="CD79" s="62">
        <f ca="1">AVERAGE(OFFSET($CC$3,0,0,'Données projet'!$E$12+1,1))-AVERAGE(OFFSET($H$3,0,0,'Données projet'!$E$12+1,1))</f>
        <v>287.69656598881124</v>
      </c>
      <c r="CE79" s="62">
        <f t="shared" si="94"/>
        <v>221.9773436301067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2.3943334311060824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1.9213201584961099E-6</v>
      </c>
      <c r="CN79" s="24">
        <f t="shared" si="66"/>
        <v>2.394335352426241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3.3992364478763198E-14</v>
      </c>
      <c r="CV79" s="14">
        <f t="shared" si="95"/>
        <v>5.790027782444094E-13</v>
      </c>
      <c r="CW79" s="22">
        <f t="shared" si="67"/>
        <v>1.0676332069095257E-12</v>
      </c>
      <c r="CX79" s="62">
        <f t="shared" si="68"/>
        <v>293.33333333333439</v>
      </c>
      <c r="CY79" s="62">
        <f ca="1">AVERAGE(OFFSET($CX$3,0,0,'Données projet'!$E$13+1,1))-AVERAGE(OFFSET($H$3,0,0,'Données projet'!$E$13+1,1))</f>
        <v>163.03280205647224</v>
      </c>
      <c r="CZ79" s="62">
        <f t="shared" si="96"/>
        <v>277.12388047243826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43.988360959512789</v>
      </c>
      <c r="DG79" s="23">
        <f>EXP(-LN(2)/25)*DG78+(1-EXP(-LN(2)/25))/(LN(2)/25)*Calculateur!DB79*Calculateur!DD79*VLOOKUP('Données projet'!$B$13,Paramètres!$A$1:$I$89,3,0)*0.475*44/12</f>
        <v>0.93379438982463858</v>
      </c>
      <c r="DH79" s="23">
        <f>EXP(-LN(2)/2)*DH78+(1-EXP(-LN(2)/2))/(LN(2)/2)*DB79*DE79*VLOOKUP('Données projet'!$B$13,Paramètres!$A$1:$I$89,3,0)*0.475*44/12</f>
        <v>1.3131125434506411E-4</v>
      </c>
      <c r="DI79" s="24">
        <f t="shared" si="69"/>
        <v>44.922286660591773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2.6</v>
      </c>
      <c r="N80" s="14">
        <f>IF('Données projet'!$A$36&gt;35,N79+M80-V79,IF(A80&lt;'Données projet'!$A$36,$K$205^A80,IF(A80='Données projet'!$A$36,'Données projet'!$B$36,N79+M80-V79)))</f>
        <v>181.20000000000002</v>
      </c>
      <c r="O80" s="14">
        <f>N80*VLOOKUP('Données projet'!$B$9,Paramètres!$A$1:$I$89,3,0)*VLOOKUP('Données projet'!$B$9,Paramètres!$A$1:$I$89,5,0)</f>
        <v>158.29632000000004</v>
      </c>
      <c r="P80" s="14">
        <f t="shared" si="87"/>
        <v>40.458006540983739</v>
      </c>
      <c r="Q80" s="22">
        <f t="shared" si="54"/>
        <v>346.16378539221341</v>
      </c>
      <c r="R80" s="62">
        <f t="shared" si="55"/>
        <v>639.49711872554667</v>
      </c>
      <c r="S80" s="62">
        <f ca="1">AVERAGE(OFFSET($R$3,0,0,'Données projet'!$E$9+1,1))-AVERAGE(OFFSET($H$3,0,0,'Données projet'!$E$9+1,1))</f>
        <v>188.31046827337082</v>
      </c>
      <c r="T80" s="62">
        <f t="shared" si="88"/>
        <v>207.32535726327728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310.95287409903602</v>
      </c>
      <c r="AO80" s="62">
        <f t="shared" si="90"/>
        <v>224.10083380795163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-2.2737367544323206E-13</v>
      </c>
      <c r="BE80" s="14">
        <f>BD80*VLOOKUP('Données projet'!$B$11,Paramètres!$A$1:$I$89,3,0)*VLOOKUP('Données projet'!$B$11,Paramètres!$A$1:$I$89,5,0)</f>
        <v>-1.2710188457276673E-13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382.55387448074327</v>
      </c>
      <c r="BJ80" s="62">
        <f t="shared" si="92"/>
        <v>476.29465646955543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3.3503058934603209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2.5936075104926026E-6</v>
      </c>
      <c r="BS80" s="24">
        <f t="shared" si="63"/>
        <v>3.3503084870678315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8.875</v>
      </c>
      <c r="BY80" s="13">
        <f>IF('Données projet'!$A$114&gt;35,BY79+BX80-CG79,IF(A80&lt;'Données projet'!$A$114,$BV$205^A80,IF(A80='Données projet'!$A$114,'Données projet'!$B$114,BY79+BX80-CG79)))</f>
        <v>510.625</v>
      </c>
      <c r="BZ80" s="14">
        <f>BY80*VLOOKUP('Données projet'!$B$12,Paramètres!$A$1:$I$89,3,0)*VLOOKUP('Données projet'!$B$12,Paramètres!$A$1:$I$89,5,0)</f>
        <v>305.35375000000005</v>
      </c>
      <c r="CA80" s="14">
        <f t="shared" si="93"/>
        <v>72.297657079406008</v>
      </c>
      <c r="CB80" s="22">
        <f t="shared" si="64"/>
        <v>657.74286732996552</v>
      </c>
      <c r="CC80" s="62">
        <f t="shared" si="65"/>
        <v>951.07620066329878</v>
      </c>
      <c r="CD80" s="62">
        <f ca="1">AVERAGE(OFFSET($CC$3,0,0,'Données projet'!$E$12+1,1))-AVERAGE(OFFSET($H$3,0,0,'Données projet'!$E$12+1,1))</f>
        <v>287.69656598881124</v>
      </c>
      <c r="CE80" s="62">
        <f t="shared" si="94"/>
        <v>221.9773436301067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2.3473820129212828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1.3585785129030116E-6</v>
      </c>
      <c r="CN80" s="24">
        <f t="shared" si="66"/>
        <v>2.3473833714997956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3.3992364478763198E-14</v>
      </c>
      <c r="CV80" s="14">
        <f t="shared" si="95"/>
        <v>5.790027782444094E-13</v>
      </c>
      <c r="CW80" s="22">
        <f t="shared" si="67"/>
        <v>1.0676332069095257E-12</v>
      </c>
      <c r="CX80" s="62">
        <f t="shared" si="68"/>
        <v>293.33333333333439</v>
      </c>
      <c r="CY80" s="62">
        <f ca="1">AVERAGE(OFFSET($CX$3,0,0,'Données projet'!$E$13+1,1))-AVERAGE(OFFSET($H$3,0,0,'Données projet'!$E$13+1,1))</f>
        <v>163.03280205647224</v>
      </c>
      <c r="CZ80" s="62">
        <f t="shared" si="96"/>
        <v>277.12388047243826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43.125776031347662</v>
      </c>
      <c r="DG80" s="23">
        <f>EXP(-LN(2)/25)*DG79+(1-EXP(-LN(2)/25))/(LN(2)/25)*Calculateur!DB80*Calculateur!DD80*VLOOKUP('Données projet'!$B$13,Paramètres!$A$1:$I$89,3,0)*0.475*44/12</f>
        <v>0.90825973312877106</v>
      </c>
      <c r="DH80" s="23">
        <f>EXP(-LN(2)/2)*DH79+(1-EXP(-LN(2)/2))/(LN(2)/2)*DB80*DE80*VLOOKUP('Données projet'!$B$13,Paramètres!$A$1:$I$89,3,0)*0.475*44/12</f>
        <v>9.2851078393506336E-5</v>
      </c>
      <c r="DI80" s="24">
        <f t="shared" si="69"/>
        <v>44.034128615554827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2.6</v>
      </c>
      <c r="N81" s="14">
        <f>IF('Données projet'!$A$36&gt;35,N80+M81-V80,IF(A81&lt;'Données projet'!$A$36,$K$205^A81,IF(A81='Données projet'!$A$36,'Données projet'!$B$36,N80+M81-V80)))</f>
        <v>183.8</v>
      </c>
      <c r="O81" s="14">
        <f>N81*VLOOKUP('Données projet'!$B$9,Paramètres!$A$1:$I$89,3,0)*VLOOKUP('Données projet'!$B$9,Paramètres!$A$1:$I$89,5,0)</f>
        <v>160.56768000000002</v>
      </c>
      <c r="P81" s="14">
        <f t="shared" si="87"/>
        <v>40.970530810309882</v>
      </c>
      <c r="Q81" s="22">
        <f t="shared" si="54"/>
        <v>351.0123838279564</v>
      </c>
      <c r="R81" s="62">
        <f t="shared" si="55"/>
        <v>644.34571716128971</v>
      </c>
      <c r="S81" s="62">
        <f ca="1">AVERAGE(OFFSET($R$3,0,0,'Données projet'!$E$9+1,1))-AVERAGE(OFFSET($H$3,0,0,'Données projet'!$E$9+1,1))</f>
        <v>188.31046827337082</v>
      </c>
      <c r="T81" s="62">
        <f t="shared" si="88"/>
        <v>207.32535726327728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310.95287409903602</v>
      </c>
      <c r="AO81" s="62">
        <f t="shared" si="90"/>
        <v>224.10083380795163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-2.2737367544323206E-13</v>
      </c>
      <c r="BE81" s="14">
        <f>BD81*VLOOKUP('Données projet'!$B$11,Paramètres!$A$1:$I$89,3,0)*VLOOKUP('Données projet'!$B$11,Paramètres!$A$1:$I$89,5,0)</f>
        <v>-1.2710188457276673E-13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382.55387448074327</v>
      </c>
      <c r="BJ81" s="62">
        <f t="shared" si="92"/>
        <v>476.29465646955543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3.2846084383743817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1.833957458405679E-6</v>
      </c>
      <c r="BS81" s="24">
        <f t="shared" si="63"/>
        <v>3.28461027233184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8.875</v>
      </c>
      <c r="BY81" s="13">
        <f>IF('Données projet'!$A$114&gt;35,BY80+BX81-CG80,IF(A81&lt;'Données projet'!$A$114,$BV$205^A81,IF(A81='Données projet'!$A$114,'Données projet'!$B$114,BY80+BX81-CG80)))</f>
        <v>519.5</v>
      </c>
      <c r="BZ81" s="14">
        <f>BY81*VLOOKUP('Données projet'!$B$12,Paramètres!$A$1:$I$89,3,0)*VLOOKUP('Données projet'!$B$12,Paramètres!$A$1:$I$89,5,0)</f>
        <v>310.661</v>
      </c>
      <c r="CA81" s="14">
        <f t="shared" si="93"/>
        <v>73.406856163089444</v>
      </c>
      <c r="CB81" s="22">
        <f t="shared" si="64"/>
        <v>668.91818281738085</v>
      </c>
      <c r="CC81" s="62">
        <f t="shared" si="65"/>
        <v>962.25151615071422</v>
      </c>
      <c r="CD81" s="62">
        <f ca="1">AVERAGE(OFFSET($CC$3,0,0,'Données projet'!$E$12+1,1))-AVERAGE(OFFSET($H$3,0,0,'Données projet'!$E$12+1,1))</f>
        <v>287.69656598881124</v>
      </c>
      <c r="CE81" s="62">
        <f t="shared" si="94"/>
        <v>221.9773436301067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2.3013512834095495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9.6066007924805497E-7</v>
      </c>
      <c r="CN81" s="24">
        <f t="shared" si="66"/>
        <v>2.3013522440696286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3.3992364478763198E-14</v>
      </c>
      <c r="CV81" s="14">
        <f t="shared" si="95"/>
        <v>5.790027782444094E-13</v>
      </c>
      <c r="CW81" s="22">
        <f t="shared" si="67"/>
        <v>1.0676332069095257E-12</v>
      </c>
      <c r="CX81" s="62">
        <f t="shared" si="68"/>
        <v>293.33333333333439</v>
      </c>
      <c r="CY81" s="62">
        <f ca="1">AVERAGE(OFFSET($CX$3,0,0,'Données projet'!$E$13+1,1))-AVERAGE(OFFSET($H$3,0,0,'Données projet'!$E$13+1,1))</f>
        <v>163.03280205647224</v>
      </c>
      <c r="CZ81" s="62">
        <f t="shared" si="96"/>
        <v>277.12388047243826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42.280105867498996</v>
      </c>
      <c r="DG81" s="23">
        <f>EXP(-LN(2)/25)*DG80+(1-EXP(-LN(2)/25))/(LN(2)/25)*Calculateur!DB81*Calculateur!DD81*VLOOKUP('Données projet'!$B$13,Paramètres!$A$1:$I$89,3,0)*0.475*44/12</f>
        <v>0.88342332296306136</v>
      </c>
      <c r="DH81" s="23">
        <f>EXP(-LN(2)/2)*DH80+(1-EXP(-LN(2)/2))/(LN(2)/2)*DB81*DE81*VLOOKUP('Données projet'!$B$13,Paramètres!$A$1:$I$89,3,0)*0.475*44/12</f>
        <v>6.5655627172532056E-5</v>
      </c>
      <c r="DI81" s="24">
        <f t="shared" si="69"/>
        <v>43.163594846089232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2.6</v>
      </c>
      <c r="N82" s="14">
        <f>IF('Données projet'!$A$36&gt;35,N81+M82-V81,IF(A82&lt;'Données projet'!$A$36,$K$205^A82,IF(A82='Données projet'!$A$36,'Données projet'!$B$36,N81+M82-V81)))</f>
        <v>186.4</v>
      </c>
      <c r="O82" s="14">
        <f>N82*VLOOKUP('Données projet'!$B$9,Paramètres!$A$1:$I$89,3,0)*VLOOKUP('Données projet'!$B$9,Paramètres!$A$1:$I$89,5,0)</f>
        <v>162.83904000000004</v>
      </c>
      <c r="P82" s="14">
        <f t="shared" si="87"/>
        <v>41.482211836000111</v>
      </c>
      <c r="Q82" s="22">
        <f t="shared" si="54"/>
        <v>355.85951361436696</v>
      </c>
      <c r="R82" s="62">
        <f t="shared" si="55"/>
        <v>649.19284694770022</v>
      </c>
      <c r="S82" s="62">
        <f ca="1">AVERAGE(OFFSET($R$3,0,0,'Données projet'!$E$9+1,1))-AVERAGE(OFFSET($H$3,0,0,'Données projet'!$E$9+1,1))</f>
        <v>188.31046827337082</v>
      </c>
      <c r="T82" s="62">
        <f t="shared" si="88"/>
        <v>207.32535726327728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310.95287409903602</v>
      </c>
      <c r="AO82" s="62">
        <f t="shared" si="90"/>
        <v>224.10083380795163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-2.2737367544323206E-13</v>
      </c>
      <c r="BE82" s="14">
        <f>BD82*VLOOKUP('Données projet'!$B$11,Paramètres!$A$1:$I$89,3,0)*VLOOKUP('Données projet'!$B$11,Paramètres!$A$1:$I$89,5,0)</f>
        <v>-1.2710188457276673E-13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382.55387448074327</v>
      </c>
      <c r="BJ82" s="62">
        <f t="shared" si="92"/>
        <v>476.29465646955543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3.2201992703111868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1.2968037552463013E-6</v>
      </c>
      <c r="BS82" s="24">
        <f t="shared" si="63"/>
        <v>3.2202005671149418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8.875</v>
      </c>
      <c r="BY82" s="13">
        <f>IF('Données projet'!$A$114&gt;35,BY81+BX82-CG81,IF(A82&lt;'Données projet'!$A$114,$BV$205^A82,IF(A82='Données projet'!$A$114,'Données projet'!$B$114,BY81+BX82-CG81)))</f>
        <v>528.375</v>
      </c>
      <c r="BZ82" s="14">
        <f>BY82*VLOOKUP('Données projet'!$B$12,Paramètres!$A$1:$I$89,3,0)*VLOOKUP('Données projet'!$B$12,Paramètres!$A$1:$I$89,5,0)</f>
        <v>315.96825000000001</v>
      </c>
      <c r="CA82" s="14">
        <f t="shared" si="93"/>
        <v>74.513851630905478</v>
      </c>
      <c r="CB82" s="22">
        <f t="shared" si="64"/>
        <v>680.08966034049365</v>
      </c>
      <c r="CC82" s="62">
        <f t="shared" si="65"/>
        <v>973.42299367382702</v>
      </c>
      <c r="CD82" s="62">
        <f ca="1">AVERAGE(OFFSET($CC$3,0,0,'Données projet'!$E$12+1,1))-AVERAGE(OFFSET($H$3,0,0,'Données projet'!$E$12+1,1))</f>
        <v>287.69656598881124</v>
      </c>
      <c r="CE82" s="62">
        <f t="shared" si="94"/>
        <v>221.9773436301067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2.2562231884275685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6.7928925645150582E-7</v>
      </c>
      <c r="CN82" s="24">
        <f t="shared" si="66"/>
        <v>2.2562238677168249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3.3992364478763198E-14</v>
      </c>
      <c r="CV82" s="14">
        <f t="shared" si="95"/>
        <v>5.790027782444094E-13</v>
      </c>
      <c r="CW82" s="22">
        <f t="shared" si="67"/>
        <v>1.0676332069095257E-12</v>
      </c>
      <c r="CX82" s="62">
        <f t="shared" si="68"/>
        <v>293.33333333333439</v>
      </c>
      <c r="CY82" s="62">
        <f ca="1">AVERAGE(OFFSET($CX$3,0,0,'Données projet'!$E$13+1,1))-AVERAGE(OFFSET($H$3,0,0,'Données projet'!$E$13+1,1))</f>
        <v>163.03280205647224</v>
      </c>
      <c r="CZ82" s="62">
        <f t="shared" si="96"/>
        <v>277.12388047243826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41.451018779755536</v>
      </c>
      <c r="DG82" s="23">
        <f>EXP(-LN(2)/25)*DG81+(1-EXP(-LN(2)/25))/(LN(2)/25)*Calculateur!DB82*Calculateur!DD82*VLOOKUP('Données projet'!$B$13,Paramètres!$A$1:$I$89,3,0)*0.475*44/12</f>
        <v>0.85926606573942299</v>
      </c>
      <c r="DH82" s="23">
        <f>EXP(-LN(2)/2)*DH81+(1-EXP(-LN(2)/2))/(LN(2)/2)*DB82*DE82*VLOOKUP('Données projet'!$B$13,Paramètres!$A$1:$I$89,3,0)*0.475*44/12</f>
        <v>4.6425539196753168E-5</v>
      </c>
      <c r="DI82" s="24">
        <f t="shared" si="69"/>
        <v>42.310331271034158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189</v>
      </c>
      <c r="L83" s="13">
        <f>VLOOKUP(A83,'Données projet'!$A$35:$I$55,9,0)</f>
        <v>2.6</v>
      </c>
      <c r="M83" s="13">
        <f t="array" ref="M83">INDEX(L:L,MIN(IF(ISNUMBER(L83:L279),ROW(L83:L279),"")))</f>
        <v>2.6</v>
      </c>
      <c r="N83" s="14">
        <f>IF('Données projet'!$A$36&gt;35,N82+M83-V82,IF(A83&lt;'Données projet'!$A$36,$K$205^A83,IF(A83='Données projet'!$A$36,'Données projet'!$B$36,N82+M83-V82)))</f>
        <v>189</v>
      </c>
      <c r="O83" s="14">
        <f>N83*VLOOKUP('Données projet'!$B$9,Paramètres!$A$1:$I$89,3,0)*VLOOKUP('Données projet'!$B$9,Paramètres!$A$1:$I$89,5,0)</f>
        <v>165.1104</v>
      </c>
      <c r="P83" s="14">
        <f t="shared" si="87"/>
        <v>41.993062739333446</v>
      </c>
      <c r="Q83" s="22">
        <f t="shared" si="54"/>
        <v>360.70519760433905</v>
      </c>
      <c r="R83" s="62">
        <f t="shared" si="55"/>
        <v>654.03853093767236</v>
      </c>
      <c r="S83" s="62">
        <f ca="1">AVERAGE(OFFSET($R$3,0,0,'Données projet'!$E$9+1,1))-AVERAGE(OFFSET($H$3,0,0,'Données projet'!$E$9+1,1))</f>
        <v>188.31046827337082</v>
      </c>
      <c r="T83" s="62">
        <f t="shared" si="88"/>
        <v>207.32535726327728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9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310.95287409903602</v>
      </c>
      <c r="AO83" s="62">
        <f t="shared" si="90"/>
        <v>224.10083380795163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-2.2737367544323206E-13</v>
      </c>
      <c r="BE83" s="14">
        <f>BD83*VLOOKUP('Données projet'!$B$11,Paramètres!$A$1:$I$89,3,0)*VLOOKUP('Données projet'!$B$11,Paramètres!$A$1:$I$89,5,0)</f>
        <v>-1.2710188457276673E-13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382.55387448074327</v>
      </c>
      <c r="BJ83" s="62">
        <f t="shared" si="92"/>
        <v>476.29465646955543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3.1570531267479978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9.169787292028395E-7</v>
      </c>
      <c r="BS83" s="24">
        <f t="shared" si="63"/>
        <v>3.1570540437267272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8.875</v>
      </c>
      <c r="BY83" s="13">
        <f>IF('Données projet'!$A$114&gt;35,BY82+BX83-CG82,IF(A83&lt;'Données projet'!$A$114,$BV$205^A83,IF(A83='Données projet'!$A$114,'Données projet'!$B$114,BY82+BX83-CG82)))</f>
        <v>537.25</v>
      </c>
      <c r="BZ83" s="14">
        <f>BY83*VLOOKUP('Données projet'!$B$12,Paramètres!$A$1:$I$89,3,0)*VLOOKUP('Données projet'!$B$12,Paramètres!$A$1:$I$89,5,0)</f>
        <v>321.27550000000002</v>
      </c>
      <c r="CA83" s="14">
        <f t="shared" si="93"/>
        <v>75.618684768443416</v>
      </c>
      <c r="CB83" s="22">
        <f t="shared" si="64"/>
        <v>691.25737180503893</v>
      </c>
      <c r="CC83" s="62">
        <f t="shared" si="65"/>
        <v>984.59070513837219</v>
      </c>
      <c r="CD83" s="62">
        <f ca="1">AVERAGE(OFFSET($CC$3,0,0,'Données projet'!$E$12+1,1))-AVERAGE(OFFSET($H$3,0,0,'Données projet'!$E$12+1,1))</f>
        <v>287.69656598881124</v>
      </c>
      <c r="CE83" s="62">
        <f t="shared" si="94"/>
        <v>221.9773436301067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2.2119800278627642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4.8033003962402749E-7</v>
      </c>
      <c r="CN83" s="24">
        <f t="shared" si="66"/>
        <v>2.2119805081928039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3.3992364478763198E-14</v>
      </c>
      <c r="CV83" s="14">
        <f t="shared" si="95"/>
        <v>5.790027782444094E-13</v>
      </c>
      <c r="CW83" s="22">
        <f t="shared" si="67"/>
        <v>1.0676332069095257E-12</v>
      </c>
      <c r="CX83" s="62">
        <f t="shared" si="68"/>
        <v>293.33333333333439</v>
      </c>
      <c r="CY83" s="62">
        <f ca="1">AVERAGE(OFFSET($CX$3,0,0,'Données projet'!$E$13+1,1))-AVERAGE(OFFSET($H$3,0,0,'Données projet'!$E$13+1,1))</f>
        <v>163.03280205647224</v>
      </c>
      <c r="CZ83" s="62">
        <f t="shared" si="96"/>
        <v>277.12388047243826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40.638189584109533</v>
      </c>
      <c r="DG83" s="23">
        <f>EXP(-LN(2)/25)*DG82+(1-EXP(-LN(2)/25))/(LN(2)/25)*Calculateur!DB83*Calculateur!DD83*VLOOKUP('Données projet'!$B$13,Paramètres!$A$1:$I$89,3,0)*0.475*44/12</f>
        <v>0.83576938998493999</v>
      </c>
      <c r="DH83" s="23">
        <f>EXP(-LN(2)/2)*DH82+(1-EXP(-LN(2)/2))/(LN(2)/2)*DB83*DE83*VLOOKUP('Données projet'!$B$13,Paramètres!$A$1:$I$89,3,0)*0.475*44/12</f>
        <v>3.2827813586266028E-5</v>
      </c>
      <c r="DI83" s="24">
        <f t="shared" si="69"/>
        <v>41.473991801908056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2.2000000000000002</v>
      </c>
      <c r="N84" s="14">
        <f>IF('Données projet'!$A$36&gt;35,N83+M84-V83,IF(A84&lt;'Données projet'!$A$36,$K$205^A84,IF(A84='Données projet'!$A$36,'Données projet'!$B$36,N83+M84-V83)))</f>
        <v>182.2</v>
      </c>
      <c r="O84" s="14">
        <f>N84*VLOOKUP('Données projet'!$B$9,Paramètres!$A$1:$I$89,3,0)*VLOOKUP('Données projet'!$B$9,Paramètres!$A$1:$I$89,5,0)</f>
        <v>159.16991999999999</v>
      </c>
      <c r="P84" s="14">
        <f t="shared" si="87"/>
        <v>40.655231904645788</v>
      </c>
      <c r="Q84" s="22">
        <f t="shared" si="54"/>
        <v>348.02880623392474</v>
      </c>
      <c r="R84" s="62">
        <f t="shared" si="55"/>
        <v>641.36213956725805</v>
      </c>
      <c r="S84" s="62">
        <f ca="1">AVERAGE(OFFSET($R$3,0,0,'Données projet'!$E$9+1,1))-AVERAGE(OFFSET($H$3,0,0,'Données projet'!$E$9+1,1))</f>
        <v>188.31046827337082</v>
      </c>
      <c r="T84" s="62">
        <f t="shared" si="88"/>
        <v>207.32535726327728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310.95287409903602</v>
      </c>
      <c r="AO84" s="62">
        <f t="shared" si="90"/>
        <v>224.10083380795163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-1.2710188457276673E-13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382.55387448074327</v>
      </c>
      <c r="BJ84" s="62">
        <f t="shared" si="92"/>
        <v>476.29465646955543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3.0951452405447384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6.4840187762315064E-7</v>
      </c>
      <c r="BS84" s="24">
        <f t="shared" si="63"/>
        <v>3.0951458889466159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8.875</v>
      </c>
      <c r="BY84" s="13">
        <f>IF('Données projet'!$A$114&gt;35,BY83+BX84-CG83,IF(A84&lt;'Données projet'!$A$114,$BV$205^A84,IF(A84='Données projet'!$A$114,'Données projet'!$B$114,BY83+BX84-CG83)))</f>
        <v>546.125</v>
      </c>
      <c r="BZ84" s="14">
        <f>BY84*VLOOKUP('Données projet'!$B$12,Paramètres!$A$1:$I$89,3,0)*VLOOKUP('Données projet'!$B$12,Paramètres!$A$1:$I$89,5,0)</f>
        <v>326.58275000000003</v>
      </c>
      <c r="CA84" s="14">
        <f t="shared" si="93"/>
        <v>76.72139541907876</v>
      </c>
      <c r="CB84" s="22">
        <f t="shared" si="64"/>
        <v>702.42138660489547</v>
      </c>
      <c r="CC84" s="62">
        <f t="shared" si="65"/>
        <v>995.75471993822885</v>
      </c>
      <c r="CD84" s="62">
        <f ca="1">AVERAGE(OFFSET($CC$3,0,0,'Données projet'!$E$12+1,1))-AVERAGE(OFFSET($H$3,0,0,'Données projet'!$E$12+1,1))</f>
        <v>287.69656598881124</v>
      </c>
      <c r="CE84" s="62">
        <f t="shared" si="94"/>
        <v>221.9773436301067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2.1686044486909726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3.3964462822575291E-7</v>
      </c>
      <c r="CN84" s="24">
        <f t="shared" si="66"/>
        <v>2.168604788335601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3.3992364478763198E-14</v>
      </c>
      <c r="CV84" s="14">
        <f t="shared" si="95"/>
        <v>5.790027782444094E-13</v>
      </c>
      <c r="CW84" s="22">
        <f t="shared" si="67"/>
        <v>1.0676332069095257E-12</v>
      </c>
      <c r="CX84" s="62">
        <f t="shared" si="68"/>
        <v>293.33333333333439</v>
      </c>
      <c r="CY84" s="62">
        <f ca="1">AVERAGE(OFFSET($CX$3,0,0,'Données projet'!$E$13+1,1))-AVERAGE(OFFSET($H$3,0,0,'Données projet'!$E$13+1,1))</f>
        <v>163.03280205647224</v>
      </c>
      <c r="CZ84" s="62">
        <f t="shared" si="96"/>
        <v>277.12388047243826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39.84129947321329</v>
      </c>
      <c r="DG84" s="23">
        <f>EXP(-LN(2)/25)*DG83+(1-EXP(-LN(2)/25))/(LN(2)/25)*Calculateur!DB84*Calculateur!DD84*VLOOKUP('Données projet'!$B$13,Paramètres!$A$1:$I$89,3,0)*0.475*44/12</f>
        <v>0.81291523206459981</v>
      </c>
      <c r="DH84" s="23">
        <f>EXP(-LN(2)/2)*DH83+(1-EXP(-LN(2)/2))/(LN(2)/2)*DB84*DE84*VLOOKUP('Données projet'!$B$13,Paramètres!$A$1:$I$89,3,0)*0.475*44/12</f>
        <v>2.3212769598376584E-5</v>
      </c>
      <c r="DI84" s="24">
        <f t="shared" si="69"/>
        <v>40.654237918047485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2.2000000000000002</v>
      </c>
      <c r="N85" s="14">
        <f>IF('Données projet'!$A$36&gt;35,N84+M85-V84,IF(A85&lt;'Données projet'!$A$36,$K$205^A85,IF(A85='Données projet'!$A$36,'Données projet'!$B$36,N84+M85-V84)))</f>
        <v>184.39999999999998</v>
      </c>
      <c r="O85" s="14">
        <f>N85*VLOOKUP('Données projet'!$B$9,Paramètres!$A$1:$I$89,3,0)*VLOOKUP('Données projet'!$B$9,Paramètres!$A$1:$I$89,5,0)</f>
        <v>161.09183999999999</v>
      </c>
      <c r="P85" s="14">
        <f t="shared" si="87"/>
        <v>41.088685407030823</v>
      </c>
      <c r="Q85" s="22">
        <f t="shared" si="54"/>
        <v>352.13108175057863</v>
      </c>
      <c r="R85" s="62">
        <f t="shared" si="55"/>
        <v>645.46441508391194</v>
      </c>
      <c r="S85" s="62">
        <f ca="1">AVERAGE(OFFSET($R$3,0,0,'Données projet'!$E$9+1,1))-AVERAGE(OFFSET($H$3,0,0,'Données projet'!$E$9+1,1))</f>
        <v>188.31046827337082</v>
      </c>
      <c r="T85" s="62">
        <f t="shared" si="88"/>
        <v>207.32535726327728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310.95287409903602</v>
      </c>
      <c r="AO85" s="62">
        <f t="shared" si="90"/>
        <v>224.10083380795163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-1.2710188457276673E-13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382.55387448074327</v>
      </c>
      <c r="BJ85" s="62">
        <f t="shared" si="92"/>
        <v>476.29465646955543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3.0344513302298428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4.5848936460141975E-7</v>
      </c>
      <c r="BS85" s="24">
        <f t="shared" si="63"/>
        <v>3.0344517887192075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555</v>
      </c>
      <c r="BW85" s="13">
        <f>VLOOKUP(A85,'Données projet'!$A$113:$I$133,9,0)</f>
        <v>8.875</v>
      </c>
      <c r="BX85" s="13">
        <f t="array" ref="BX85">INDEX(BW:BW,MIN(IF(ISNUMBER(BW85:BW281),ROW(BW85:BW281),"")))</f>
        <v>8.875</v>
      </c>
      <c r="BY85" s="13">
        <f>IF('Données projet'!$A$114&gt;35,BY84+BX85-CG84,IF(A85&lt;'Données projet'!$A$114,$BV$205^A85,IF(A85='Données projet'!$A$114,'Données projet'!$B$114,BY84+BX85-CG84)))</f>
        <v>555</v>
      </c>
      <c r="BZ85" s="14">
        <f>BY85*VLOOKUP('Données projet'!$B$12,Paramètres!$A$1:$I$89,3,0)*VLOOKUP('Données projet'!$B$12,Paramètres!$A$1:$I$89,5,0)</f>
        <v>331.89000000000004</v>
      </c>
      <c r="CA85" s="14">
        <f t="shared" si="93"/>
        <v>77.822022056956186</v>
      </c>
      <c r="CB85" s="22">
        <f t="shared" si="64"/>
        <v>713.58177174919865</v>
      </c>
      <c r="CC85" s="62">
        <f t="shared" si="65"/>
        <v>1006.9151050825319</v>
      </c>
      <c r="CD85" s="62">
        <f ca="1">AVERAGE(OFFSET($CC$3,0,0,'Données projet'!$E$12+1,1))-AVERAGE(OFFSET($H$3,0,0,'Données projet'!$E$12+1,1))</f>
        <v>287.69656598881124</v>
      </c>
      <c r="CE85" s="62">
        <f t="shared" si="94"/>
        <v>221.9773436301067</v>
      </c>
      <c r="CF85" s="16">
        <f>IF(ISNA(VLOOKUP(A85,'Données projet'!$A$113:$I$133,3,0)),0,VLOOKUP(A85,'Données projet'!$A$113:$I$133,3,0))</f>
        <v>11</v>
      </c>
      <c r="CG85" s="16">
        <f>IF(ISNA(VLOOKUP(A85,'Données projet'!$A$113:$I$133,4,0)),0,VLOOKUP(A85,'Données projet'!$A$113:$I$133,4,0))</f>
        <v>555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2.1260794381702488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2.4016501981201374E-7</v>
      </c>
      <c r="CN85" s="24">
        <f t="shared" si="66"/>
        <v>2.1260796783352687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3.3992364478763198E-14</v>
      </c>
      <c r="CV85" s="14">
        <f t="shared" si="95"/>
        <v>5.790027782444094E-13</v>
      </c>
      <c r="CW85" s="22">
        <f t="shared" si="67"/>
        <v>1.0676332069095257E-12</v>
      </c>
      <c r="CX85" s="62">
        <f t="shared" si="68"/>
        <v>293.33333333333439</v>
      </c>
      <c r="CY85" s="62">
        <f ca="1">AVERAGE(OFFSET($CX$3,0,0,'Données projet'!$E$13+1,1))-AVERAGE(OFFSET($H$3,0,0,'Données projet'!$E$13+1,1))</f>
        <v>163.03280205647224</v>
      </c>
      <c r="CZ85" s="62">
        <f t="shared" si="96"/>
        <v>277.12388047243826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39.060035891336753</v>
      </c>
      <c r="DG85" s="23">
        <f>EXP(-LN(2)/25)*DG84+(1-EXP(-LN(2)/25))/(LN(2)/25)*Calculateur!DB85*Calculateur!DD85*VLOOKUP('Données projet'!$B$13,Paramètres!$A$1:$I$89,3,0)*0.475*44/12</f>
        <v>0.79068602229443918</v>
      </c>
      <c r="DH85" s="23">
        <f>EXP(-LN(2)/2)*DH84+(1-EXP(-LN(2)/2))/(LN(2)/2)*DB85*DE85*VLOOKUP('Données projet'!$B$13,Paramètres!$A$1:$I$89,3,0)*0.475*44/12</f>
        <v>1.6413906793133014E-5</v>
      </c>
      <c r="DI85" s="24">
        <f t="shared" si="69"/>
        <v>39.850738327537982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2.2000000000000002</v>
      </c>
      <c r="N86" s="14">
        <f>IF('Données projet'!$A$36&gt;35,N85+M86-V85,IF(A86&lt;'Données projet'!$A$36,$K$205^A86,IF(A86='Données projet'!$A$36,'Données projet'!$B$36,N85+M86-V85)))</f>
        <v>186.59999999999997</v>
      </c>
      <c r="O86" s="14">
        <f>N86*VLOOKUP('Données projet'!$B$9,Paramètres!$A$1:$I$89,3,0)*VLOOKUP('Données projet'!$B$9,Paramètres!$A$1:$I$89,5,0)</f>
        <v>163.01375999999999</v>
      </c>
      <c r="P86" s="14">
        <f t="shared" si="87"/>
        <v>41.521537366475364</v>
      </c>
      <c r="Q86" s="22">
        <f t="shared" si="54"/>
        <v>356.23230957994457</v>
      </c>
      <c r="R86" s="62">
        <f t="shared" si="55"/>
        <v>649.56564291327788</v>
      </c>
      <c r="S86" s="62">
        <f ca="1">AVERAGE(OFFSET($R$3,0,0,'Données projet'!$E$9+1,1))-AVERAGE(OFFSET($H$3,0,0,'Données projet'!$E$9+1,1))</f>
        <v>188.31046827337082</v>
      </c>
      <c r="T86" s="62">
        <f t="shared" si="88"/>
        <v>207.32535726327728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310.95287409903602</v>
      </c>
      <c r="AO86" s="62">
        <f t="shared" si="90"/>
        <v>224.10083380795163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-1.2710188457276673E-13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382.55387448074327</v>
      </c>
      <c r="BJ86" s="62">
        <f t="shared" si="92"/>
        <v>476.29465646955543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2.9749475904765923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3.2420093881157532E-7</v>
      </c>
      <c r="BS86" s="24">
        <f t="shared" si="63"/>
        <v>2.9749479146775313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287.69656598881124</v>
      </c>
      <c r="CE86" s="62">
        <f t="shared" si="94"/>
        <v>221.9773436301067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2.0843883171681412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1.6982231411287646E-7</v>
      </c>
      <c r="CN86" s="24">
        <f t="shared" si="66"/>
        <v>2.0843884869904552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3.3992364478763198E-14</v>
      </c>
      <c r="CV86" s="14">
        <f t="shared" si="95"/>
        <v>5.790027782444094E-13</v>
      </c>
      <c r="CW86" s="22">
        <f t="shared" si="67"/>
        <v>1.0676332069095257E-12</v>
      </c>
      <c r="CX86" s="62">
        <f t="shared" si="68"/>
        <v>293.33333333333439</v>
      </c>
      <c r="CY86" s="62">
        <f ca="1">AVERAGE(OFFSET($CX$3,0,0,'Données projet'!$E$13+1,1))-AVERAGE(OFFSET($H$3,0,0,'Données projet'!$E$13+1,1))</f>
        <v>163.03280205647224</v>
      </c>
      <c r="CZ86" s="62">
        <f t="shared" si="96"/>
        <v>277.12388047243826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38.294092411777079</v>
      </c>
      <c r="DG86" s="23">
        <f>EXP(-LN(2)/25)*DG85+(1-EXP(-LN(2)/25))/(LN(2)/25)*Calculateur!DB86*Calculateur!DD86*VLOOKUP('Données projet'!$B$13,Paramètres!$A$1:$I$89,3,0)*0.475*44/12</f>
        <v>0.76906467143442692</v>
      </c>
      <c r="DH86" s="23">
        <f>EXP(-LN(2)/2)*DH85+(1-EXP(-LN(2)/2))/(LN(2)/2)*DB86*DE86*VLOOKUP('Données projet'!$B$13,Paramètres!$A$1:$I$89,3,0)*0.475*44/12</f>
        <v>1.1606384799188292E-5</v>
      </c>
      <c r="DI86" s="24">
        <f t="shared" si="69"/>
        <v>39.06316868959631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2.2000000000000002</v>
      </c>
      <c r="N87" s="14">
        <f>IF('Données projet'!$A$36&gt;35,N86+M87-V86,IF(A87&lt;'Données projet'!$A$36,$K$205^A87,IF(A87='Données projet'!$A$36,'Données projet'!$B$36,N86+M87-V86)))</f>
        <v>188.79999999999995</v>
      </c>
      <c r="O87" s="14">
        <f>N87*VLOOKUP('Données projet'!$B$9,Paramètres!$A$1:$I$89,3,0)*VLOOKUP('Données projet'!$B$9,Paramètres!$A$1:$I$89,5,0)</f>
        <v>164.93567999999996</v>
      </c>
      <c r="P87" s="14">
        <f t="shared" si="87"/>
        <v>41.953795695589498</v>
      </c>
      <c r="Q87" s="22">
        <f t="shared" si="54"/>
        <v>360.3325035031516</v>
      </c>
      <c r="R87" s="62">
        <f t="shared" si="55"/>
        <v>653.66583683648491</v>
      </c>
      <c r="S87" s="62">
        <f ca="1">AVERAGE(OFFSET($R$3,0,0,'Données projet'!$E$9+1,1))-AVERAGE(OFFSET($H$3,0,0,'Données projet'!$E$9+1,1))</f>
        <v>188.31046827337082</v>
      </c>
      <c r="T87" s="62">
        <f t="shared" si="88"/>
        <v>207.32535726327728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310.95287409903602</v>
      </c>
      <c r="AO87" s="62">
        <f t="shared" si="90"/>
        <v>224.10083380795163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-1.2710188457276673E-13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382.55387448074327</v>
      </c>
      <c r="BJ87" s="62">
        <f t="shared" si="92"/>
        <v>476.29465646955543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2.9166106827662057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2.2924468230070988E-7</v>
      </c>
      <c r="BS87" s="24">
        <f t="shared" si="63"/>
        <v>2.9166109120108881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287.69656598881124</v>
      </c>
      <c r="CE87" s="62">
        <f t="shared" si="94"/>
        <v>221.9773436301067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2.0435147336198121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1.2008250990600687E-7</v>
      </c>
      <c r="CN87" s="24">
        <f t="shared" si="66"/>
        <v>2.0435148537023218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3.3992364478763198E-14</v>
      </c>
      <c r="CV87" s="14">
        <f t="shared" si="95"/>
        <v>5.790027782444094E-13</v>
      </c>
      <c r="CW87" s="22">
        <f t="shared" si="67"/>
        <v>1.0676332069095257E-12</v>
      </c>
      <c r="CX87" s="62">
        <f t="shared" si="68"/>
        <v>293.33333333333439</v>
      </c>
      <c r="CY87" s="62">
        <f ca="1">AVERAGE(OFFSET($CX$3,0,0,'Données projet'!$E$13+1,1))-AVERAGE(OFFSET($H$3,0,0,'Données projet'!$E$13+1,1))</f>
        <v>163.03280205647224</v>
      </c>
      <c r="CZ87" s="62">
        <f t="shared" si="96"/>
        <v>277.12388047243826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37.543168616672183</v>
      </c>
      <c r="DG87" s="23">
        <f>EXP(-LN(2)/25)*DG86+(1-EXP(-LN(2)/25))/(LN(2)/25)*Calculateur!DB87*Calculateur!DD87*VLOOKUP('Données projet'!$B$13,Paramètres!$A$1:$I$89,3,0)*0.475*44/12</f>
        <v>0.74803455755069914</v>
      </c>
      <c r="DH87" s="23">
        <f>EXP(-LN(2)/2)*DH86+(1-EXP(-LN(2)/2))/(LN(2)/2)*DB87*DE87*VLOOKUP('Données projet'!$B$13,Paramètres!$A$1:$I$89,3,0)*0.475*44/12</f>
        <v>8.2069533965665069E-6</v>
      </c>
      <c r="DI87" s="24">
        <f t="shared" si="69"/>
        <v>38.291211381176275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191</v>
      </c>
      <c r="L88" s="13">
        <f>VLOOKUP(A88,'Données projet'!$A$35:$I$55,9,0)</f>
        <v>2.2000000000000002</v>
      </c>
      <c r="M88" s="13">
        <f t="array" ref="M88">INDEX(L:L,MIN(IF(ISNUMBER(L88:L284),ROW(L88:L284),"")))</f>
        <v>2.2000000000000002</v>
      </c>
      <c r="N88" s="14">
        <f>IF('Données projet'!$A$36&gt;35,N87+M88-V87,IF(A88&lt;'Données projet'!$A$36,$K$205^A88,IF(A88='Données projet'!$A$36,'Données projet'!$B$36,N87+M88-V87)))</f>
        <v>190.99999999999994</v>
      </c>
      <c r="O88" s="14">
        <f>N88*VLOOKUP('Données projet'!$B$9,Paramètres!$A$1:$I$89,3,0)*VLOOKUP('Données projet'!$B$9,Paramètres!$A$1:$I$89,5,0)</f>
        <v>166.85759999999996</v>
      </c>
      <c r="P88" s="14">
        <f t="shared" si="87"/>
        <v>42.385468111966098</v>
      </c>
      <c r="Q88" s="22">
        <f t="shared" si="54"/>
        <v>364.43167696167421</v>
      </c>
      <c r="R88" s="62">
        <f t="shared" si="55"/>
        <v>657.76501029500753</v>
      </c>
      <c r="S88" s="62">
        <f ca="1">AVERAGE(OFFSET($R$3,0,0,'Données projet'!$E$9+1,1))-AVERAGE(OFFSET($H$3,0,0,'Données projet'!$E$9+1,1))</f>
        <v>188.31046827337082</v>
      </c>
      <c r="T88" s="62">
        <f t="shared" si="88"/>
        <v>207.32535726327728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310.95287409903602</v>
      </c>
      <c r="AO88" s="62">
        <f t="shared" si="90"/>
        <v>224.10083380795163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-1.2710188457276673E-13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382.55387448074327</v>
      </c>
      <c r="BJ88" s="62">
        <f t="shared" si="92"/>
        <v>476.29465646955543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2.8594177262340197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1.6210046940578766E-7</v>
      </c>
      <c r="BS88" s="24">
        <f t="shared" si="63"/>
        <v>2.8594178883344892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287.69656598881124</v>
      </c>
      <c r="CE88" s="62">
        <f t="shared" si="94"/>
        <v>221.9773436301067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2.0034426561144412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8.4911157056438228E-8</v>
      </c>
      <c r="CN88" s="24">
        <f t="shared" si="66"/>
        <v>2.0034427410255984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3.3992364478763198E-14</v>
      </c>
      <c r="CV88" s="14">
        <f t="shared" si="95"/>
        <v>5.790027782444094E-13</v>
      </c>
      <c r="CW88" s="22">
        <f t="shared" si="67"/>
        <v>1.0676332069095257E-12</v>
      </c>
      <c r="CX88" s="62">
        <f t="shared" si="68"/>
        <v>293.33333333333439</v>
      </c>
      <c r="CY88" s="62">
        <f ca="1">AVERAGE(OFFSET($CX$3,0,0,'Données projet'!$E$13+1,1))-AVERAGE(OFFSET($H$3,0,0,'Données projet'!$E$13+1,1))</f>
        <v>163.03280205647224</v>
      </c>
      <c r="CZ88" s="62">
        <f t="shared" si="96"/>
        <v>277.12388047243826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36.806969979171001</v>
      </c>
      <c r="DG88" s="23">
        <f>EXP(-LN(2)/25)*DG87+(1-EXP(-LN(2)/25))/(LN(2)/25)*Calculateur!DB88*Calculateur!DD88*VLOOKUP('Données projet'!$B$13,Paramètres!$A$1:$I$89,3,0)*0.475*44/12</f>
        <v>0.7275795132370475</v>
      </c>
      <c r="DH88" s="23">
        <f>EXP(-LN(2)/2)*DH87+(1-EXP(-LN(2)/2))/(LN(2)/2)*DB88*DE88*VLOOKUP('Données projet'!$B$13,Paramètres!$A$1:$I$89,3,0)*0.475*44/12</f>
        <v>5.803192399594146E-6</v>
      </c>
      <c r="DI88" s="24">
        <f t="shared" si="69"/>
        <v>37.534555295600448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</v>
      </c>
      <c r="N89" s="14">
        <f>IF('Données projet'!$A$36&gt;35,N88+M89-V88,IF(A89&lt;'Données projet'!$A$36,$K$205^A89,IF(A89='Données projet'!$A$36,'Données projet'!$B$36,N88+M89-V88)))</f>
        <v>184.99999999999994</v>
      </c>
      <c r="O89" s="14">
        <f>N89*VLOOKUP('Données projet'!$B$9,Paramètres!$A$1:$I$89,3,0)*VLOOKUP('Données projet'!$B$9,Paramètres!$A$1:$I$89,5,0)</f>
        <v>161.61599999999999</v>
      </c>
      <c r="P89" s="14">
        <f t="shared" si="87"/>
        <v>41.20679526204917</v>
      </c>
      <c r="Q89" s="22">
        <f t="shared" si="54"/>
        <v>353.24970174806896</v>
      </c>
      <c r="R89" s="62">
        <f t="shared" si="55"/>
        <v>646.58303508140227</v>
      </c>
      <c r="S89" s="62">
        <f ca="1">AVERAGE(OFFSET($R$3,0,0,'Données projet'!$E$9+1,1))-AVERAGE(OFFSET($H$3,0,0,'Données projet'!$E$9+1,1))</f>
        <v>188.31046827337082</v>
      </c>
      <c r="T89" s="62">
        <f t="shared" si="88"/>
        <v>207.32535726327728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310.95287409903602</v>
      </c>
      <c r="AO89" s="62">
        <f t="shared" si="90"/>
        <v>224.10083380795163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-1.2710188457276673E-13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382.55387448074327</v>
      </c>
      <c r="BJ89" s="62">
        <f t="shared" si="92"/>
        <v>476.29465646955543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2.8033462886951708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1.1462234115035494E-7</v>
      </c>
      <c r="BS89" s="24">
        <f t="shared" si="63"/>
        <v>2.8033464033175117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287.69656598881124</v>
      </c>
      <c r="CE89" s="62">
        <f t="shared" si="94"/>
        <v>221.9773436301067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1.9641563676073968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6.0041254953003436E-8</v>
      </c>
      <c r="CN89" s="24">
        <f t="shared" si="66"/>
        <v>1.9641564276486516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3.3992364478763198E-14</v>
      </c>
      <c r="CV89" s="14">
        <f t="shared" si="95"/>
        <v>5.790027782444094E-13</v>
      </c>
      <c r="CW89" s="22">
        <f t="shared" si="67"/>
        <v>1.0676332069095257E-12</v>
      </c>
      <c r="CX89" s="62">
        <f t="shared" si="68"/>
        <v>293.33333333333439</v>
      </c>
      <c r="CY89" s="62">
        <f ca="1">AVERAGE(OFFSET($CX$3,0,0,'Données projet'!$E$13+1,1))-AVERAGE(OFFSET($H$3,0,0,'Données projet'!$E$13+1,1))</f>
        <v>163.03280205647224</v>
      </c>
      <c r="CZ89" s="62">
        <f t="shared" si="96"/>
        <v>277.12388047243826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36.085207747914389</v>
      </c>
      <c r="DG89" s="23">
        <f>EXP(-LN(2)/25)*DG88+(1-EXP(-LN(2)/25))/(LN(2)/25)*Calculateur!DB89*Calculateur!DD89*VLOOKUP('Données projet'!$B$13,Paramètres!$A$1:$I$89,3,0)*0.475*44/12</f>
        <v>0.70768381318583673</v>
      </c>
      <c r="DH89" s="23">
        <f>EXP(-LN(2)/2)*DH88+(1-EXP(-LN(2)/2))/(LN(2)/2)*DB89*DE89*VLOOKUP('Données projet'!$B$13,Paramètres!$A$1:$I$89,3,0)*0.475*44/12</f>
        <v>4.1034766982832535E-6</v>
      </c>
      <c r="DI89" s="24">
        <f t="shared" si="69"/>
        <v>36.792895664576925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2</v>
      </c>
      <c r="N90" s="14">
        <f>IF('Données projet'!$A$36&gt;35,N89+M90-V89,IF(A90&lt;'Données projet'!$A$36,$K$205^A90,IF(A90='Données projet'!$A$36,'Données projet'!$B$36,N89+M90-V89)))</f>
        <v>186.99999999999994</v>
      </c>
      <c r="O90" s="14">
        <f>N90*VLOOKUP('Données projet'!$B$9,Paramètres!$A$1:$I$89,3,0)*VLOOKUP('Données projet'!$B$9,Paramètres!$A$1:$I$89,5,0)</f>
        <v>163.36319999999998</v>
      </c>
      <c r="P90" s="14">
        <f t="shared" si="87"/>
        <v>41.600173715581626</v>
      </c>
      <c r="Q90" s="22">
        <f t="shared" si="54"/>
        <v>356.97787588797127</v>
      </c>
      <c r="R90" s="62">
        <f t="shared" si="55"/>
        <v>650.31120922130458</v>
      </c>
      <c r="S90" s="62">
        <f ca="1">AVERAGE(OFFSET($R$3,0,0,'Données projet'!$E$9+1,1))-AVERAGE(OFFSET($H$3,0,0,'Données projet'!$E$9+1,1))</f>
        <v>188.31046827337082</v>
      </c>
      <c r="T90" s="62">
        <f t="shared" si="88"/>
        <v>207.32535726327728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310.95287409903602</v>
      </c>
      <c r="AO90" s="62">
        <f t="shared" si="90"/>
        <v>224.10083380795163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-1.2710188457276673E-13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382.55387448074327</v>
      </c>
      <c r="BJ90" s="62">
        <f t="shared" si="92"/>
        <v>476.29465646955543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2.7483743778462588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8.105023470289383E-8</v>
      </c>
      <c r="BS90" s="24">
        <f t="shared" si="63"/>
        <v>2.7483744588964933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287.69656598881124</v>
      </c>
      <c r="CE90" s="62">
        <f t="shared" si="94"/>
        <v>221.9773436301067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1.9256404592557055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4.2455578528219114E-8</v>
      </c>
      <c r="CN90" s="24">
        <f t="shared" si="66"/>
        <v>1.9256405017112841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3.3992364478763198E-14</v>
      </c>
      <c r="CV90" s="14">
        <f t="shared" si="95"/>
        <v>5.790027782444094E-13</v>
      </c>
      <c r="CW90" s="22">
        <f t="shared" si="67"/>
        <v>1.0676332069095257E-12</v>
      </c>
      <c r="CX90" s="62">
        <f t="shared" si="68"/>
        <v>293.33333333333439</v>
      </c>
      <c r="CY90" s="62">
        <f ca="1">AVERAGE(OFFSET($CX$3,0,0,'Données projet'!$E$13+1,1))-AVERAGE(OFFSET($H$3,0,0,'Données projet'!$E$13+1,1))</f>
        <v>163.03280205647224</v>
      </c>
      <c r="CZ90" s="62">
        <f t="shared" si="96"/>
        <v>277.12388047243826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35.377598833781228</v>
      </c>
      <c r="DG90" s="23">
        <f>EXP(-LN(2)/25)*DG89+(1-EXP(-LN(2)/25))/(LN(2)/25)*Calculateur!DB90*Calculateur!DD90*VLOOKUP('Données projet'!$B$13,Paramètres!$A$1:$I$89,3,0)*0.475*44/12</f>
        <v>0.68833216209879577</v>
      </c>
      <c r="DH90" s="23">
        <f>EXP(-LN(2)/2)*DH89+(1-EXP(-LN(2)/2))/(LN(2)/2)*DB90*DE90*VLOOKUP('Données projet'!$B$13,Paramètres!$A$1:$I$89,3,0)*0.475*44/12</f>
        <v>2.901596199797073E-6</v>
      </c>
      <c r="DI90" s="24">
        <f t="shared" si="69"/>
        <v>36.065933897476221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</v>
      </c>
      <c r="N91" s="14">
        <f>IF('Données projet'!$A$36&gt;35,N90+M91-V90,IF(A91&lt;'Données projet'!$A$36,$K$205^A91,IF(A91='Données projet'!$A$36,'Données projet'!$B$36,N90+M91-V90)))</f>
        <v>188.99999999999994</v>
      </c>
      <c r="O91" s="14">
        <f>N91*VLOOKUP('Données projet'!$B$9,Paramètres!$A$1:$I$89,3,0)*VLOOKUP('Données projet'!$B$9,Paramètres!$A$1:$I$89,5,0)</f>
        <v>165.11039999999997</v>
      </c>
      <c r="P91" s="14">
        <f t="shared" si="87"/>
        <v>41.993062739333446</v>
      </c>
      <c r="Q91" s="22">
        <f t="shared" si="54"/>
        <v>360.70519760433905</v>
      </c>
      <c r="R91" s="62">
        <f t="shared" si="55"/>
        <v>654.03853093767236</v>
      </c>
      <c r="S91" s="62">
        <f ca="1">AVERAGE(OFFSET($R$3,0,0,'Données projet'!$E$9+1,1))-AVERAGE(OFFSET($H$3,0,0,'Données projet'!$E$9+1,1))</f>
        <v>188.31046827337082</v>
      </c>
      <c r="T91" s="62">
        <f t="shared" si="88"/>
        <v>207.32535726327728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310.95287409903602</v>
      </c>
      <c r="AO91" s="62">
        <f t="shared" si="90"/>
        <v>224.10083380795163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-1.2710188457276673E-13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382.55387448074327</v>
      </c>
      <c r="BJ91" s="62">
        <f t="shared" si="92"/>
        <v>476.29465646955543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2.6944804326395388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5.7311170575177469E-8</v>
      </c>
      <c r="BS91" s="24">
        <f t="shared" si="63"/>
        <v>2.6944804899507093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287.69656598881124</v>
      </c>
      <c r="CE91" s="62">
        <f t="shared" si="94"/>
        <v>221.9773436301067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1.8878798243744066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3.0020627476501718E-8</v>
      </c>
      <c r="CN91" s="24">
        <f t="shared" si="66"/>
        <v>1.8878798543950341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3.3992364478763198E-14</v>
      </c>
      <c r="CV91" s="14">
        <f t="shared" si="95"/>
        <v>5.790027782444094E-13</v>
      </c>
      <c r="CW91" s="22">
        <f t="shared" si="67"/>
        <v>1.0676332069095257E-12</v>
      </c>
      <c r="CX91" s="62">
        <f t="shared" si="68"/>
        <v>293.33333333333439</v>
      </c>
      <c r="CY91" s="62">
        <f ca="1">AVERAGE(OFFSET($CX$3,0,0,'Données projet'!$E$13+1,1))-AVERAGE(OFFSET($H$3,0,0,'Données projet'!$E$13+1,1))</f>
        <v>163.03280205647224</v>
      </c>
      <c r="CZ91" s="62">
        <f t="shared" si="96"/>
        <v>277.12388047243826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34.683865698855399</v>
      </c>
      <c r="DG91" s="23">
        <f>EXP(-LN(2)/25)*DG90+(1-EXP(-LN(2)/25))/(LN(2)/25)*Calculateur!DB91*Calculateur!DD91*VLOOKUP('Données projet'!$B$13,Paramètres!$A$1:$I$89,3,0)*0.475*44/12</f>
        <v>0.66950968292838897</v>
      </c>
      <c r="DH91" s="23">
        <f>EXP(-LN(2)/2)*DH90+(1-EXP(-LN(2)/2))/(LN(2)/2)*DB91*DE91*VLOOKUP('Données projet'!$B$13,Paramètres!$A$1:$I$89,3,0)*0.475*44/12</f>
        <v>2.0517383491416267E-6</v>
      </c>
      <c r="DI91" s="24">
        <f t="shared" si="69"/>
        <v>35.353377433522134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</v>
      </c>
      <c r="N92" s="14">
        <f>IF('Données projet'!$A$36&gt;35,N91+M92-V91,IF(A92&lt;'Données projet'!$A$36,$K$205^A92,IF(A92='Données projet'!$A$36,'Données projet'!$B$36,N91+M92-V91)))</f>
        <v>190.99999999999994</v>
      </c>
      <c r="O92" s="14">
        <f>N92*VLOOKUP('Données projet'!$B$9,Paramètres!$A$1:$I$89,3,0)*VLOOKUP('Données projet'!$B$9,Paramètres!$A$1:$I$89,5,0)</f>
        <v>166.85759999999996</v>
      </c>
      <c r="P92" s="14">
        <f t="shared" si="87"/>
        <v>42.385468111966098</v>
      </c>
      <c r="Q92" s="22">
        <f t="shared" si="54"/>
        <v>364.43167696167421</v>
      </c>
      <c r="R92" s="62">
        <f t="shared" si="55"/>
        <v>657.76501029500753</v>
      </c>
      <c r="S92" s="62">
        <f ca="1">AVERAGE(OFFSET($R$3,0,0,'Données projet'!$E$9+1,1))-AVERAGE(OFFSET($H$3,0,0,'Données projet'!$E$9+1,1))</f>
        <v>188.31046827337082</v>
      </c>
      <c r="T92" s="62">
        <f t="shared" si="88"/>
        <v>207.32535726327728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310.95287409903602</v>
      </c>
      <c r="AO92" s="62">
        <f t="shared" si="90"/>
        <v>224.10083380795163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-1.2710188457276673E-13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382.55387448074327</v>
      </c>
      <c r="BJ92" s="62">
        <f t="shared" si="92"/>
        <v>476.29465646955543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2.6416433148262621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4.0525117351446915E-8</v>
      </c>
      <c r="BS92" s="24">
        <f t="shared" si="63"/>
        <v>2.6416433553513796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287.69656598881124</v>
      </c>
      <c r="CE92" s="62">
        <f t="shared" si="94"/>
        <v>221.9773436301067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1.8508596525114169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2.1227789264109557E-8</v>
      </c>
      <c r="CN92" s="24">
        <f t="shared" si="66"/>
        <v>1.8508596737392062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3.3992364478763198E-14</v>
      </c>
      <c r="CV92" s="14">
        <f t="shared" si="95"/>
        <v>5.790027782444094E-13</v>
      </c>
      <c r="CW92" s="22">
        <f t="shared" si="67"/>
        <v>1.0676332069095257E-12</v>
      </c>
      <c r="CX92" s="62">
        <f t="shared" si="68"/>
        <v>293.33333333333439</v>
      </c>
      <c r="CY92" s="62">
        <f ca="1">AVERAGE(OFFSET($CX$3,0,0,'Données projet'!$E$13+1,1))-AVERAGE(OFFSET($H$3,0,0,'Données projet'!$E$13+1,1))</f>
        <v>163.03280205647224</v>
      </c>
      <c r="CZ92" s="62">
        <f t="shared" si="96"/>
        <v>277.12388047243826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34.003736247570032</v>
      </c>
      <c r="DG92" s="23">
        <f>EXP(-LN(2)/25)*DG91+(1-EXP(-LN(2)/25))/(LN(2)/25)*Calculateur!DB92*Calculateur!DD92*VLOOKUP('Données projet'!$B$13,Paramètres!$A$1:$I$89,3,0)*0.475*44/12</f>
        <v>0.65120190544072809</v>
      </c>
      <c r="DH92" s="23">
        <f>EXP(-LN(2)/2)*DH91+(1-EXP(-LN(2)/2))/(LN(2)/2)*DB92*DE92*VLOOKUP('Données projet'!$B$13,Paramètres!$A$1:$I$89,3,0)*0.475*44/12</f>
        <v>1.4507980998985365E-6</v>
      </c>
      <c r="DI92" s="24">
        <f t="shared" si="69"/>
        <v>34.654939603808863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193</v>
      </c>
      <c r="L93" s="13">
        <f>VLOOKUP(A93,'Données projet'!$A$35:$I$55,9,0)</f>
        <v>2</v>
      </c>
      <c r="M93" s="13">
        <f t="array" ref="M93">INDEX(L:L,MIN(IF(ISNUMBER(L93:L289),ROW(L93:L289),"")))</f>
        <v>2</v>
      </c>
      <c r="N93" s="14">
        <f>IF('Données projet'!$A$36&gt;35,N92+M93-V92,IF(A93&lt;'Données projet'!$A$36,$K$205^A93,IF(A93='Données projet'!$A$36,'Données projet'!$B$36,N92+M93-V92)))</f>
        <v>192.99999999999994</v>
      </c>
      <c r="O93" s="14">
        <f>N93*VLOOKUP('Données projet'!$B$9,Paramètres!$A$1:$I$89,3,0)*VLOOKUP('Données projet'!$B$9,Paramètres!$A$1:$I$89,5,0)</f>
        <v>168.60479999999998</v>
      </c>
      <c r="P93" s="14">
        <f t="shared" si="87"/>
        <v>42.777395484149757</v>
      </c>
      <c r="Q93" s="22">
        <f t="shared" si="54"/>
        <v>368.15732380156078</v>
      </c>
      <c r="R93" s="62">
        <f t="shared" si="55"/>
        <v>661.49065713489404</v>
      </c>
      <c r="S93" s="62">
        <f ca="1">AVERAGE(OFFSET($R$3,0,0,'Données projet'!$E$9+1,1))-AVERAGE(OFFSET($H$3,0,0,'Données projet'!$E$9+1,1))</f>
        <v>188.31046827337082</v>
      </c>
      <c r="T93" s="62">
        <f t="shared" si="88"/>
        <v>207.32535726327728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193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310.95287409903602</v>
      </c>
      <c r="AO93" s="62">
        <f t="shared" si="90"/>
        <v>224.10083380795163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-1.2710188457276673E-13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382.55387448074327</v>
      </c>
      <c r="BJ93" s="62">
        <f t="shared" si="92"/>
        <v>476.29465646955543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2.5898423006658442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2.8655585287588734E-8</v>
      </c>
      <c r="BS93" s="24">
        <f t="shared" si="63"/>
        <v>2.5898423293214297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287.69656598881124</v>
      </c>
      <c r="CE93" s="62">
        <f t="shared" si="94"/>
        <v>221.9773436301067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1.8145654236385851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1.5010313738250859E-8</v>
      </c>
      <c r="CN93" s="24">
        <f t="shared" si="66"/>
        <v>1.8145654386488987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3.3992364478763198E-14</v>
      </c>
      <c r="CV93" s="14">
        <f t="shared" si="95"/>
        <v>5.790027782444094E-13</v>
      </c>
      <c r="CW93" s="22">
        <f t="shared" si="67"/>
        <v>1.0676332069095257E-12</v>
      </c>
      <c r="CX93" s="62">
        <f t="shared" si="68"/>
        <v>293.33333333333439</v>
      </c>
      <c r="CY93" s="62">
        <f ca="1">AVERAGE(OFFSET($CX$3,0,0,'Données projet'!$E$13+1,1))-AVERAGE(OFFSET($H$3,0,0,'Données projet'!$E$13+1,1))</f>
        <v>163.03280205647224</v>
      </c>
      <c r="CZ93" s="62">
        <f t="shared" si="96"/>
        <v>277.12388047243826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33.336943719986365</v>
      </c>
      <c r="DG93" s="23">
        <f>EXP(-LN(2)/25)*DG92+(1-EXP(-LN(2)/25))/(LN(2)/25)*Calculateur!DB93*Calculateur!DD93*VLOOKUP('Données projet'!$B$13,Paramètres!$A$1:$I$89,3,0)*0.475*44/12</f>
        <v>0.63339475509123155</v>
      </c>
      <c r="DH93" s="23">
        <f>EXP(-LN(2)/2)*DH92+(1-EXP(-LN(2)/2))/(LN(2)/2)*DB93*DE93*VLOOKUP('Données projet'!$B$13,Paramètres!$A$1:$I$89,3,0)*0.475*44/12</f>
        <v>1.0258691745708134E-6</v>
      </c>
      <c r="DI93" s="24">
        <f t="shared" si="69"/>
        <v>33.970339500946771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-4.9658410716801891E-14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188.31046827337082</v>
      </c>
      <c r="T94" s="62">
        <f t="shared" si="88"/>
        <v>207.32535726327728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310.95287409903602</v>
      </c>
      <c r="AO94" s="62">
        <f t="shared" si="90"/>
        <v>224.10083380795163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-1.2710188457276673E-13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382.55387448074327</v>
      </c>
      <c r="BJ94" s="62">
        <f t="shared" si="92"/>
        <v>476.29465646955543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2.5390570727976129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2.0262558675723458E-8</v>
      </c>
      <c r="BS94" s="24">
        <f t="shared" si="63"/>
        <v>2.5390570930601717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287.69656598881124</v>
      </c>
      <c r="CE94" s="62">
        <f t="shared" si="94"/>
        <v>221.9773436301067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1.7789829024566559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1.0613894632054778E-8</v>
      </c>
      <c r="CN94" s="24">
        <f t="shared" si="66"/>
        <v>1.7789829130705506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3.3992364478763198E-14</v>
      </c>
      <c r="CV94" s="14">
        <f t="shared" si="95"/>
        <v>5.790027782444094E-13</v>
      </c>
      <c r="CW94" s="22">
        <f t="shared" si="67"/>
        <v>1.0676332069095257E-12</v>
      </c>
      <c r="CX94" s="62">
        <f t="shared" si="68"/>
        <v>293.33333333333439</v>
      </c>
      <c r="CY94" s="62">
        <f ca="1">AVERAGE(OFFSET($CX$3,0,0,'Données projet'!$E$13+1,1))-AVERAGE(OFFSET($H$3,0,0,'Données projet'!$E$13+1,1))</f>
        <v>163.03280205647224</v>
      </c>
      <c r="CZ94" s="62">
        <f t="shared" si="96"/>
        <v>277.12388047243826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32.683226587165336</v>
      </c>
      <c r="DG94" s="23">
        <f>EXP(-LN(2)/25)*DG93+(1-EXP(-LN(2)/25))/(LN(2)/25)*Calculateur!DB94*Calculateur!DD94*VLOOKUP('Données projet'!$B$13,Paramètres!$A$1:$I$89,3,0)*0.475*44/12</f>
        <v>0.61607454220447933</v>
      </c>
      <c r="DH94" s="23">
        <f>EXP(-LN(2)/2)*DH93+(1-EXP(-LN(2)/2))/(LN(2)/2)*DB94*DE94*VLOOKUP('Données projet'!$B$13,Paramètres!$A$1:$I$89,3,0)*0.475*44/12</f>
        <v>7.2539904994926825E-7</v>
      </c>
      <c r="DI94" s="24">
        <f t="shared" si="69"/>
        <v>33.299301854768864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-4.9658410716801891E-14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188.31046827337082</v>
      </c>
      <c r="T95" s="62">
        <f t="shared" si="88"/>
        <v>207.32535726327728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310.95287409903602</v>
      </c>
      <c r="AO95" s="62">
        <f t="shared" si="90"/>
        <v>224.10083380795163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-1.2710188457276673E-13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382.55387448074327</v>
      </c>
      <c r="BJ95" s="62">
        <f t="shared" si="92"/>
        <v>476.29465646955543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2.4892677122719475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1.4327792643794367E-8</v>
      </c>
      <c r="BS95" s="24">
        <f t="shared" si="63"/>
        <v>2.4892677265997403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287.69656598881124</v>
      </c>
      <c r="CE95" s="62">
        <f t="shared" si="94"/>
        <v>221.9773436301067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1.7440981328119094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7.5051568691254295E-9</v>
      </c>
      <c r="CN95" s="24">
        <f t="shared" si="66"/>
        <v>1.7440981403170663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3.3992364478763198E-14</v>
      </c>
      <c r="CV95" s="14">
        <f t="shared" si="95"/>
        <v>5.790027782444094E-13</v>
      </c>
      <c r="CW95" s="22">
        <f t="shared" si="67"/>
        <v>1.0676332069095257E-12</v>
      </c>
      <c r="CX95" s="62">
        <f t="shared" si="68"/>
        <v>293.33333333333439</v>
      </c>
      <c r="CY95" s="62">
        <f ca="1">AVERAGE(OFFSET($CX$3,0,0,'Données projet'!$E$13+1,1))-AVERAGE(OFFSET($H$3,0,0,'Données projet'!$E$13+1,1))</f>
        <v>163.03280205647224</v>
      </c>
      <c r="CZ95" s="62">
        <f t="shared" si="96"/>
        <v>277.12388047243826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32.042328448590844</v>
      </c>
      <c r="DG95" s="23">
        <f>EXP(-LN(2)/25)*DG94+(1-EXP(-LN(2)/25))/(LN(2)/25)*Calculateur!DB95*Calculateur!DD95*VLOOKUP('Données projet'!$B$13,Paramètres!$A$1:$I$89,3,0)*0.475*44/12</f>
        <v>0.59922795144994567</v>
      </c>
      <c r="DH95" s="23">
        <f>EXP(-LN(2)/2)*DH94+(1-EXP(-LN(2)/2))/(LN(2)/2)*DB95*DE95*VLOOKUP('Données projet'!$B$13,Paramètres!$A$1:$I$89,3,0)*0.475*44/12</f>
        <v>5.1293458728540668E-7</v>
      </c>
      <c r="DI95" s="24">
        <f t="shared" si="69"/>
        <v>32.641556912975382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-4.9658410716801891E-14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188.31046827337082</v>
      </c>
      <c r="T96" s="62">
        <f t="shared" si="88"/>
        <v>207.32535726327728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310.95287409903602</v>
      </c>
      <c r="AO96" s="62">
        <f t="shared" si="90"/>
        <v>224.10083380795163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-1.2710188457276673E-13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382.55387448074327</v>
      </c>
      <c r="BJ96" s="62">
        <f t="shared" si="92"/>
        <v>476.29465646955543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2.440454690737679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1.0131279337861729E-8</v>
      </c>
      <c r="BS96" s="24">
        <f t="shared" si="63"/>
        <v>2.4404547008689583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287.69656598881124</v>
      </c>
      <c r="CE96" s="62">
        <f t="shared" si="94"/>
        <v>221.9773436301067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1.709897432222288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5.3069473160273892E-9</v>
      </c>
      <c r="CN96" s="24">
        <f t="shared" si="66"/>
        <v>1.7098974375292353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3.3992364478763198E-14</v>
      </c>
      <c r="CV96" s="14">
        <f t="shared" si="95"/>
        <v>5.790027782444094E-13</v>
      </c>
      <c r="CW96" s="22">
        <f t="shared" si="67"/>
        <v>1.0676332069095257E-12</v>
      </c>
      <c r="CX96" s="62">
        <f t="shared" si="68"/>
        <v>293.33333333333439</v>
      </c>
      <c r="CY96" s="62">
        <f ca="1">AVERAGE(OFFSET($CX$3,0,0,'Données projet'!$E$13+1,1))-AVERAGE(OFFSET($H$3,0,0,'Données projet'!$E$13+1,1))</f>
        <v>163.03280205647224</v>
      </c>
      <c r="CZ96" s="62">
        <f t="shared" si="96"/>
        <v>277.12388047243826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31.413997931604531</v>
      </c>
      <c r="DG96" s="23">
        <f>EXP(-LN(2)/25)*DG95+(1-EXP(-LN(2)/25))/(LN(2)/25)*Calculateur!DB96*Calculateur!DD96*VLOOKUP('Données projet'!$B$13,Paramètres!$A$1:$I$89,3,0)*0.475*44/12</f>
        <v>0.58284203160551851</v>
      </c>
      <c r="DH96" s="23">
        <f>EXP(-LN(2)/2)*DH95+(1-EXP(-LN(2)/2))/(LN(2)/2)*DB96*DE96*VLOOKUP('Données projet'!$B$13,Paramètres!$A$1:$I$89,3,0)*0.475*44/12</f>
        <v>3.6269952497463413E-7</v>
      </c>
      <c r="DI96" s="24">
        <f t="shared" si="69"/>
        <v>31.996840325909574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-4.9658410716801891E-14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188.31046827337082</v>
      </c>
      <c r="T97" s="62">
        <f t="shared" si="88"/>
        <v>207.32535726327728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310.95287409903602</v>
      </c>
      <c r="AO97" s="62">
        <f t="shared" si="90"/>
        <v>224.10083380795163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-1.2710188457276673E-13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382.55387448074327</v>
      </c>
      <c r="BJ97" s="62">
        <f t="shared" si="92"/>
        <v>476.29465646955543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2.3925988627826942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7.1638963218971836E-9</v>
      </c>
      <c r="BS97" s="24">
        <f t="shared" si="63"/>
        <v>2.3925988699465903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287.69656598881124</v>
      </c>
      <c r="CE97" s="62">
        <f t="shared" si="94"/>
        <v>221.9773436301067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1.6763673865108613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3.7525784345627147E-9</v>
      </c>
      <c r="CN97" s="24">
        <f t="shared" si="66"/>
        <v>1.6763673902634397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3.3992364478763198E-14</v>
      </c>
      <c r="CV97" s="14">
        <f t="shared" si="95"/>
        <v>5.790027782444094E-13</v>
      </c>
      <c r="CW97" s="22">
        <f t="shared" si="67"/>
        <v>1.0676332069095257E-12</v>
      </c>
      <c r="CX97" s="62">
        <f t="shared" si="68"/>
        <v>293.33333333333439</v>
      </c>
      <c r="CY97" s="62">
        <f ca="1">AVERAGE(OFFSET($CX$3,0,0,'Données projet'!$E$13+1,1))-AVERAGE(OFFSET($H$3,0,0,'Données projet'!$E$13+1,1))</f>
        <v>163.03280205647224</v>
      </c>
      <c r="CZ97" s="62">
        <f t="shared" si="96"/>
        <v>277.12388047243826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30.797988592812548</v>
      </c>
      <c r="DG97" s="23">
        <f>EXP(-LN(2)/25)*DG96+(1-EXP(-LN(2)/25))/(LN(2)/25)*Calculateur!DB97*Calculateur!DD97*VLOOKUP('Données projet'!$B$13,Paramètres!$A$1:$I$89,3,0)*0.475*44/12</f>
        <v>0.56690418560093525</v>
      </c>
      <c r="DH97" s="23">
        <f>EXP(-LN(2)/2)*DH96+(1-EXP(-LN(2)/2))/(LN(2)/2)*DB97*DE97*VLOOKUP('Données projet'!$B$13,Paramètres!$A$1:$I$89,3,0)*0.475*44/12</f>
        <v>2.5646729364270334E-7</v>
      </c>
      <c r="DI97" s="24">
        <f t="shared" si="69"/>
        <v>31.36489303488078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-4.9658410716801891E-14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188.31046827337082</v>
      </c>
      <c r="T98" s="62">
        <f t="shared" si="88"/>
        <v>207.32535726327728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310.95287409903602</v>
      </c>
      <c r="AO98" s="62">
        <f t="shared" si="90"/>
        <v>224.10083380795163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-1.2710188457276673E-13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382.55387448074327</v>
      </c>
      <c r="BJ98" s="62">
        <f t="shared" si="92"/>
        <v>476.29465646955543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2.3456814584247341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5.0656396689308644E-9</v>
      </c>
      <c r="BS98" s="24">
        <f t="shared" si="63"/>
        <v>2.3456814634903735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287.69656598881124</v>
      </c>
      <c r="CE98" s="62">
        <f t="shared" si="94"/>
        <v>221.9773436301067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1.6434948445445272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2.6534736580136946E-9</v>
      </c>
      <c r="CN98" s="24">
        <f t="shared" si="66"/>
        <v>1.6434948471980009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3.3992364478763198E-14</v>
      </c>
      <c r="CV98" s="14">
        <f t="shared" si="95"/>
        <v>5.790027782444094E-13</v>
      </c>
      <c r="CW98" s="22">
        <f t="shared" si="67"/>
        <v>1.0676332069095257E-12</v>
      </c>
      <c r="CX98" s="62">
        <f t="shared" si="68"/>
        <v>293.33333333333439</v>
      </c>
      <c r="CY98" s="62">
        <f ca="1">AVERAGE(OFFSET($CX$3,0,0,'Données projet'!$E$13+1,1))-AVERAGE(OFFSET($H$3,0,0,'Données projet'!$E$13+1,1))</f>
        <v>163.03280205647224</v>
      </c>
      <c r="CZ98" s="62">
        <f t="shared" si="96"/>
        <v>277.12388047243826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30.194058821425678</v>
      </c>
      <c r="DG98" s="23">
        <f>EXP(-LN(2)/25)*DG97+(1-EXP(-LN(2)/25))/(LN(2)/25)*Calculateur!DB98*Calculateur!DD98*VLOOKUP('Données projet'!$B$13,Paramètres!$A$1:$I$89,3,0)*0.475*44/12</f>
        <v>0.55140216083348226</v>
      </c>
      <c r="DH98" s="23">
        <f>EXP(-LN(2)/2)*DH97+(1-EXP(-LN(2)/2))/(LN(2)/2)*DB98*DE98*VLOOKUP('Données projet'!$B$13,Paramètres!$A$1:$I$89,3,0)*0.475*44/12</f>
        <v>1.8134976248731706E-7</v>
      </c>
      <c r="DI98" s="24">
        <f t="shared" si="69"/>
        <v>30.745461163608923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-4.9658410716801891E-14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188.31046827337082</v>
      </c>
      <c r="T99" s="62">
        <f t="shared" si="88"/>
        <v>207.32535726327728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310.95287409903602</v>
      </c>
      <c r="AO99" s="62">
        <f t="shared" si="90"/>
        <v>224.10083380795163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-1.2710188457276673E-13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382.55387448074327</v>
      </c>
      <c r="BJ99" s="62">
        <f t="shared" si="92"/>
        <v>476.29465646955543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2.2996840757494423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3.5819481609485918E-9</v>
      </c>
      <c r="BS99" s="24">
        <f t="shared" si="63"/>
        <v>2.2996840793313904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287.69656598881124</v>
      </c>
      <c r="CE99" s="62">
        <f t="shared" si="94"/>
        <v>221.9773436301067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1.6112669130758821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1.8762892172813574E-9</v>
      </c>
      <c r="CN99" s="24">
        <f t="shared" si="66"/>
        <v>1.6112669149521712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3.3992364478763198E-14</v>
      </c>
      <c r="CV99" s="14">
        <f t="shared" si="95"/>
        <v>5.790027782444094E-13</v>
      </c>
      <c r="CW99" s="22">
        <f t="shared" si="67"/>
        <v>1.0676332069095257E-12</v>
      </c>
      <c r="CX99" s="62">
        <f t="shared" si="68"/>
        <v>293.33333333333439</v>
      </c>
      <c r="CY99" s="62">
        <f ca="1">AVERAGE(OFFSET($CX$3,0,0,'Données projet'!$E$13+1,1))-AVERAGE(OFFSET($H$3,0,0,'Données projet'!$E$13+1,1))</f>
        <v>163.03280205647224</v>
      </c>
      <c r="CZ99" s="62">
        <f t="shared" si="96"/>
        <v>277.12388047243826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29.601971744494918</v>
      </c>
      <c r="DG99" s="23">
        <f>EXP(-LN(2)/25)*DG98+(1-EXP(-LN(2)/25))/(LN(2)/25)*Calculateur!DB99*Calculateur!DD99*VLOOKUP('Données projet'!$B$13,Paramètres!$A$1:$I$89,3,0)*0.475*44/12</f>
        <v>0.53632403974851128</v>
      </c>
      <c r="DH99" s="23">
        <f>EXP(-LN(2)/2)*DH98+(1-EXP(-LN(2)/2))/(LN(2)/2)*DB99*DE99*VLOOKUP('Données projet'!$B$13,Paramètres!$A$1:$I$89,3,0)*0.475*44/12</f>
        <v>1.2823364682135167E-7</v>
      </c>
      <c r="DI99" s="24">
        <f t="shared" si="69"/>
        <v>30.138295912477076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-4.9658410716801891E-14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188.31046827337082</v>
      </c>
      <c r="T100" s="62">
        <f t="shared" si="88"/>
        <v>207.32535726327728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310.95287409903602</v>
      </c>
      <c r="AO100" s="62">
        <f t="shared" si="90"/>
        <v>224.10083380795163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-1.2710188457276673E-13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382.55387448074327</v>
      </c>
      <c r="BJ100" s="62">
        <f t="shared" si="92"/>
        <v>476.29465646955543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2.2545886736927798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2.5328198344654322E-9</v>
      </c>
      <c r="BS100" s="24">
        <f t="shared" si="63"/>
        <v>2.2545886762255996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287.69656598881124</v>
      </c>
      <c r="CE100" s="62">
        <f t="shared" si="94"/>
        <v>221.9773436301067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1.5796709516862399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1.3267368290068473E-9</v>
      </c>
      <c r="CN100" s="24">
        <f t="shared" si="66"/>
        <v>1.5796709530129767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3.3992364478763198E-14</v>
      </c>
      <c r="CV100" s="14">
        <f t="shared" si="95"/>
        <v>5.790027782444094E-13</v>
      </c>
      <c r="CW100" s="22">
        <f t="shared" si="67"/>
        <v>1.0676332069095257E-12</v>
      </c>
      <c r="CX100" s="62">
        <f t="shared" si="68"/>
        <v>293.33333333333439</v>
      </c>
      <c r="CY100" s="62">
        <f ca="1">AVERAGE(OFFSET($CX$3,0,0,'Données projet'!$E$13+1,1))-AVERAGE(OFFSET($H$3,0,0,'Données projet'!$E$13+1,1))</f>
        <v>163.03280205647224</v>
      </c>
      <c r="CZ100" s="62">
        <f t="shared" si="96"/>
        <v>277.12388047243826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29.021495134005313</v>
      </c>
      <c r="DG100" s="23">
        <f>EXP(-LN(2)/25)*DG99+(1-EXP(-LN(2)/25))/(LN(2)/25)*Calculateur!DB100*Calculateur!DD100*VLOOKUP('Données projet'!$B$13,Paramètres!$A$1:$I$89,3,0)*0.475*44/12</f>
        <v>0.52165823067753281</v>
      </c>
      <c r="DH100" s="23">
        <f>EXP(-LN(2)/2)*DH99+(1-EXP(-LN(2)/2))/(LN(2)/2)*DB100*DE100*VLOOKUP('Données projet'!$B$13,Paramètres!$A$1:$I$89,3,0)*0.475*44/12</f>
        <v>9.0674881243658531E-8</v>
      </c>
      <c r="DI100" s="24">
        <f t="shared" si="69"/>
        <v>29.543153455357729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-4.9658410716801891E-14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188.31046827337082</v>
      </c>
      <c r="T101" s="62">
        <f t="shared" si="88"/>
        <v>207.32535726327728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310.95287409903602</v>
      </c>
      <c r="AO101" s="62">
        <f t="shared" si="90"/>
        <v>224.10083380795163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-1.2710188457276673E-13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382.55387448074327</v>
      </c>
      <c r="BJ101" s="62">
        <f t="shared" si="92"/>
        <v>476.29465646955543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2.2103775649649693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1.7909740804742959E-9</v>
      </c>
      <c r="BS101" s="24">
        <f t="shared" si="63"/>
        <v>2.2103775667559433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287.69656598881124</v>
      </c>
      <c r="CE101" s="62">
        <f t="shared" si="94"/>
        <v>221.9773436301067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1.5486945678278152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9.3814460864067868E-10</v>
      </c>
      <c r="CN101" s="24">
        <f t="shared" si="66"/>
        <v>1.5486945687659599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3.3992364478763198E-14</v>
      </c>
      <c r="CV101" s="14">
        <f t="shared" si="95"/>
        <v>5.790027782444094E-13</v>
      </c>
      <c r="CW101" s="22">
        <f t="shared" si="67"/>
        <v>1.0676332069095257E-12</v>
      </c>
      <c r="CX101" s="62">
        <f t="shared" si="68"/>
        <v>293.33333333333439</v>
      </c>
      <c r="CY101" s="62">
        <f ca="1">AVERAGE(OFFSET($CX$3,0,0,'Données projet'!$E$13+1,1))-AVERAGE(OFFSET($H$3,0,0,'Données projet'!$E$13+1,1))</f>
        <v>163.03280205647224</v>
      </c>
      <c r="CZ101" s="62">
        <f t="shared" si="96"/>
        <v>277.12388047243826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28.452401315791636</v>
      </c>
      <c r="DG101" s="23">
        <f>EXP(-LN(2)/25)*DG100+(1-EXP(-LN(2)/25))/(LN(2)/25)*Calculateur!DB101*Calculateur!DD101*VLOOKUP('Données projet'!$B$13,Paramètres!$A$1:$I$89,3,0)*0.475*44/12</f>
        <v>0.50739345892684162</v>
      </c>
      <c r="DH101" s="23">
        <f>EXP(-LN(2)/2)*DH100+(1-EXP(-LN(2)/2))/(LN(2)/2)*DB101*DE101*VLOOKUP('Données projet'!$B$13,Paramètres!$A$1:$I$89,3,0)*0.475*44/12</f>
        <v>6.4116823410675835E-8</v>
      </c>
      <c r="DI101" s="24">
        <f t="shared" si="69"/>
        <v>28.9597948388353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-4.9658410716801891E-14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188.31046827337082</v>
      </c>
      <c r="T102" s="62">
        <f t="shared" si="88"/>
        <v>207.32535726327728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310.95287409903602</v>
      </c>
      <c r="AO102" s="62">
        <f t="shared" si="90"/>
        <v>224.10083380795163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-1.2710188457276673E-13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382.55387448074327</v>
      </c>
      <c r="BJ102" s="62">
        <f t="shared" si="92"/>
        <v>476.29465646955543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2.1670334091131975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1.2664099172327161E-9</v>
      </c>
      <c r="BS102" s="24">
        <f t="shared" si="63"/>
        <v>2.1670334103796076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287.69656598881124</v>
      </c>
      <c r="CE102" s="62">
        <f t="shared" si="94"/>
        <v>221.9773436301067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1.5183256119631257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6.6336841450342365E-10</v>
      </c>
      <c r="CN102" s="24">
        <f t="shared" si="66"/>
        <v>1.5183256126264941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3.3992364478763198E-14</v>
      </c>
      <c r="CV102" s="14">
        <f t="shared" si="95"/>
        <v>5.790027782444094E-13</v>
      </c>
      <c r="CW102" s="22">
        <f t="shared" si="67"/>
        <v>1.0676332069095257E-12</v>
      </c>
      <c r="CX102" s="62">
        <f t="shared" si="68"/>
        <v>293.33333333333439</v>
      </c>
      <c r="CY102" s="62">
        <f ca="1">AVERAGE(OFFSET($CX$3,0,0,'Données projet'!$E$13+1,1))-AVERAGE(OFFSET($H$3,0,0,'Données projet'!$E$13+1,1))</f>
        <v>163.03280205647224</v>
      </c>
      <c r="CZ102" s="62">
        <f t="shared" si="96"/>
        <v>277.12388047243826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27.894467080240176</v>
      </c>
      <c r="DG102" s="23">
        <f>EXP(-LN(2)/25)*DG101+(1-EXP(-LN(2)/25))/(LN(2)/25)*Calculateur!DB102*Calculateur!DD102*VLOOKUP('Données projet'!$B$13,Paramètres!$A$1:$I$89,3,0)*0.475*44/12</f>
        <v>0.49351875810982482</v>
      </c>
      <c r="DH102" s="23">
        <f>EXP(-LN(2)/2)*DH101+(1-EXP(-LN(2)/2))/(LN(2)/2)*DB102*DE102*VLOOKUP('Données projet'!$B$13,Paramètres!$A$1:$I$89,3,0)*0.475*44/12</f>
        <v>4.5337440621829266E-8</v>
      </c>
      <c r="DI102" s="24">
        <f t="shared" si="69"/>
        <v>28.387985883687442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-4.9658410716801891E-14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188.31046827337082</v>
      </c>
      <c r="T103" s="62">
        <f t="shared" si="88"/>
        <v>207.32535726327728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310.95287409903602</v>
      </c>
      <c r="AO103" s="62">
        <f t="shared" si="90"/>
        <v>224.10083380795163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-1.2710188457276673E-13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382.55387448074327</v>
      </c>
      <c r="BJ103" s="62">
        <f t="shared" si="92"/>
        <v>476.29465646955543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2.1245392057203545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8.9548704023714795E-10</v>
      </c>
      <c r="BS103" s="24">
        <f t="shared" si="63"/>
        <v>2.1245392066158417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287.69656598881124</v>
      </c>
      <c r="CE103" s="62">
        <f t="shared" si="94"/>
        <v>221.9773436301067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1.4885521727997086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4.6907230432033934E-10</v>
      </c>
      <c r="CN103" s="24">
        <f t="shared" si="66"/>
        <v>1.488552173268781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3.3992364478763198E-14</v>
      </c>
      <c r="CV103" s="14">
        <f t="shared" si="95"/>
        <v>5.790027782444094E-13</v>
      </c>
      <c r="CW103" s="22">
        <f t="shared" si="67"/>
        <v>1.0676332069095257E-12</v>
      </c>
      <c r="CX103" s="62">
        <f t="shared" si="68"/>
        <v>293.33333333333439</v>
      </c>
      <c r="CY103" s="62">
        <f ca="1">AVERAGE(OFFSET($CX$3,0,0,'Données projet'!$E$13+1,1))-AVERAGE(OFFSET($H$3,0,0,'Données projet'!$E$13+1,1))</f>
        <v>163.03280205647224</v>
      </c>
      <c r="CZ103" s="62">
        <f t="shared" si="96"/>
        <v>277.12388047243826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27.347473594741597</v>
      </c>
      <c r="DG103" s="23">
        <f>EXP(-LN(2)/25)*DG102+(1-EXP(-LN(2)/25))/(LN(2)/25)*Calculateur!DB103*Calculateur!DD103*VLOOKUP('Données projet'!$B$13,Paramètres!$A$1:$I$89,3,0)*0.475*44/12</f>
        <v>0.48002346171628812</v>
      </c>
      <c r="DH103" s="23">
        <f>EXP(-LN(2)/2)*DH102+(1-EXP(-LN(2)/2))/(LN(2)/2)*DB103*DE103*VLOOKUP('Données projet'!$B$13,Paramètres!$A$1:$I$89,3,0)*0.475*44/12</f>
        <v>3.2058411705337918E-8</v>
      </c>
      <c r="DI103" s="24">
        <f t="shared" si="69"/>
        <v>27.827497088516299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-4.9658410716801891E-14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188.31046827337082</v>
      </c>
      <c r="T104" s="62">
        <f t="shared" si="88"/>
        <v>207.32535726327728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310.95287409903602</v>
      </c>
      <c r="AO104" s="62">
        <f t="shared" si="90"/>
        <v>224.10083380795163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-1.2710188457276673E-13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382.55387448074327</v>
      </c>
      <c r="BJ104" s="62">
        <f t="shared" si="92"/>
        <v>476.29465646955543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2.0828782877371403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6.3320495861635805E-10</v>
      </c>
      <c r="BS104" s="24">
        <f t="shared" si="63"/>
        <v>2.0828782883703454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287.69656598881124</v>
      </c>
      <c r="CE104" s="62">
        <f t="shared" si="94"/>
        <v>221.9773436301067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1.4593625726182815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3.3168420725171183E-10</v>
      </c>
      <c r="CN104" s="24">
        <f t="shared" si="66"/>
        <v>1.4593625729499657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3.3992364478763198E-14</v>
      </c>
      <c r="CV104" s="14">
        <f t="shared" si="95"/>
        <v>5.790027782444094E-13</v>
      </c>
      <c r="CW104" s="22">
        <f t="shared" si="67"/>
        <v>1.0676332069095257E-12</v>
      </c>
      <c r="CX104" s="62">
        <f t="shared" si="68"/>
        <v>293.33333333333439</v>
      </c>
      <c r="CY104" s="62">
        <f ca="1">AVERAGE(OFFSET($CX$3,0,0,'Données projet'!$E$13+1,1))-AVERAGE(OFFSET($H$3,0,0,'Données projet'!$E$13+1,1))</f>
        <v>163.03280205647224</v>
      </c>
      <c r="CZ104" s="62">
        <f t="shared" si="96"/>
        <v>277.12388047243826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26.811206317860563</v>
      </c>
      <c r="DG104" s="23">
        <f>EXP(-LN(2)/25)*DG103+(1-EXP(-LN(2)/25))/(LN(2)/25)*Calculateur!DB104*Calculateur!DD104*VLOOKUP('Données projet'!$B$13,Paramètres!$A$1:$I$89,3,0)*0.475*44/12</f>
        <v>0.46689719491231946</v>
      </c>
      <c r="DH104" s="23">
        <f>EXP(-LN(2)/2)*DH103+(1-EXP(-LN(2)/2))/(LN(2)/2)*DB104*DE104*VLOOKUP('Données projet'!$B$13,Paramètres!$A$1:$I$89,3,0)*0.475*44/12</f>
        <v>2.2668720310914633E-8</v>
      </c>
      <c r="DI104" s="24">
        <f t="shared" si="69"/>
        <v>27.278103535441605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-4.9658410716801891E-14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188.31046827337082</v>
      </c>
      <c r="T105" s="62">
        <f t="shared" si="88"/>
        <v>207.32535726327728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310.95287409903602</v>
      </c>
      <c r="AO105" s="62">
        <f t="shared" si="90"/>
        <v>224.10083380795163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-1.2710188457276673E-13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382.55387448074327</v>
      </c>
      <c r="BJ105" s="62">
        <f t="shared" si="92"/>
        <v>476.29465646955543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2.0420343149449258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4.4774352011857397E-10</v>
      </c>
      <c r="BS105" s="24">
        <f t="shared" si="63"/>
        <v>2.0420343153926694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287.69656598881124</v>
      </c>
      <c r="CE105" s="62">
        <f t="shared" si="94"/>
        <v>221.9773436301067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1.430745362692514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2.3453615216016967E-10</v>
      </c>
      <c r="CN105" s="24">
        <f t="shared" si="66"/>
        <v>1.4307453629270501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3.3992364478763198E-14</v>
      </c>
      <c r="CV105" s="14">
        <f t="shared" si="95"/>
        <v>5.790027782444094E-13</v>
      </c>
      <c r="CW105" s="22">
        <f t="shared" si="67"/>
        <v>1.0676332069095257E-12</v>
      </c>
      <c r="CX105" s="62">
        <f t="shared" si="68"/>
        <v>293.33333333333439</v>
      </c>
      <c r="CY105" s="62">
        <f ca="1">AVERAGE(OFFSET($CX$3,0,0,'Données projet'!$E$13+1,1))-AVERAGE(OFFSET($H$3,0,0,'Données projet'!$E$13+1,1))</f>
        <v>163.03280205647224</v>
      </c>
      <c r="CZ105" s="62">
        <f t="shared" si="96"/>
        <v>277.12388047243826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26.285454915188424</v>
      </c>
      <c r="DG105" s="23">
        <f>EXP(-LN(2)/25)*DG104+(1-EXP(-LN(2)/25))/(LN(2)/25)*Calculateur!DB105*Calculateur!DD105*VLOOKUP('Données projet'!$B$13,Paramètres!$A$1:$I$89,3,0)*0.475*44/12</f>
        <v>0.4541298665643857</v>
      </c>
      <c r="DH105" s="23">
        <f>EXP(-LN(2)/2)*DH104+(1-EXP(-LN(2)/2))/(LN(2)/2)*DB105*DE105*VLOOKUP('Données projet'!$B$13,Paramètres!$A$1:$I$89,3,0)*0.475*44/12</f>
        <v>1.6029205852668959E-8</v>
      </c>
      <c r="DI105" s="24">
        <f t="shared" si="69"/>
        <v>26.739584797782015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-4.9658410716801891E-14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188.31046827337082</v>
      </c>
      <c r="T106" s="62">
        <f t="shared" si="88"/>
        <v>207.32535726327728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310.95287409903602</v>
      </c>
      <c r="AO106" s="62">
        <f t="shared" si="90"/>
        <v>224.10083380795163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-1.2710188457276673E-13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382.55387448074327</v>
      </c>
      <c r="BJ106" s="62">
        <f t="shared" si="92"/>
        <v>476.29465646955543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2.0019912675468032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3.1660247930817902E-10</v>
      </c>
      <c r="BS106" s="24">
        <f t="shared" si="63"/>
        <v>2.0019912678634055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287.69656598881124</v>
      </c>
      <c r="CE106" s="62">
        <f t="shared" si="94"/>
        <v>221.9773436301067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1.4026893187986162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1.6584210362585591E-10</v>
      </c>
      <c r="CN106" s="24">
        <f t="shared" si="66"/>
        <v>1.4026893189644583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3.3992364478763198E-14</v>
      </c>
      <c r="CV106" s="14">
        <f t="shared" si="95"/>
        <v>5.790027782444094E-13</v>
      </c>
      <c r="CW106" s="22">
        <f t="shared" si="67"/>
        <v>1.0676332069095257E-12</v>
      </c>
      <c r="CX106" s="62">
        <f t="shared" si="68"/>
        <v>293.33333333333439</v>
      </c>
      <c r="CY106" s="62">
        <f ca="1">AVERAGE(OFFSET($CX$3,0,0,'Données projet'!$E$13+1,1))-AVERAGE(OFFSET($H$3,0,0,'Données projet'!$E$13+1,1))</f>
        <v>163.03280205647224</v>
      </c>
      <c r="CZ106" s="62">
        <f t="shared" si="96"/>
        <v>277.12388047243826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25.770013176845996</v>
      </c>
      <c r="DG106" s="23">
        <f>EXP(-LN(2)/25)*DG105+(1-EXP(-LN(2)/25))/(LN(2)/25)*Calculateur!DB106*Calculateur!DD106*VLOOKUP('Données projet'!$B$13,Paramètres!$A$1:$I$89,3,0)*0.475*44/12</f>
        <v>0.44171166148153079</v>
      </c>
      <c r="DH106" s="23">
        <f>EXP(-LN(2)/2)*DH105+(1-EXP(-LN(2)/2))/(LN(2)/2)*DB106*DE106*VLOOKUP('Données projet'!$B$13,Paramètres!$A$1:$I$89,3,0)*0.475*44/12</f>
        <v>1.1334360155457316E-8</v>
      </c>
      <c r="DI106" s="24">
        <f t="shared" si="69"/>
        <v>26.211724849661888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-4.9658410716801891E-14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188.31046827337082</v>
      </c>
      <c r="T107" s="62">
        <f t="shared" si="88"/>
        <v>207.32535726327728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310.95287409903602</v>
      </c>
      <c r="AO107" s="62">
        <f t="shared" si="90"/>
        <v>224.10083380795163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-1.2710188457276673E-13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382.55387448074327</v>
      </c>
      <c r="BJ107" s="62">
        <f t="shared" si="92"/>
        <v>476.29465646955543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1.9627334398843106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2.2387176005928699E-10</v>
      </c>
      <c r="BS107" s="24">
        <f t="shared" si="63"/>
        <v>1.9627334401081824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287.69656598881124</v>
      </c>
      <c r="CE107" s="62">
        <f t="shared" si="94"/>
        <v>221.9773436301067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1.3751834368129807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1.1726807608008484E-10</v>
      </c>
      <c r="CN107" s="24">
        <f t="shared" si="66"/>
        <v>1.3751834369302487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3.3992364478763198E-14</v>
      </c>
      <c r="CV107" s="14">
        <f t="shared" si="95"/>
        <v>5.790027782444094E-13</v>
      </c>
      <c r="CW107" s="22">
        <f t="shared" si="67"/>
        <v>1.0676332069095257E-12</v>
      </c>
      <c r="CX107" s="62">
        <f t="shared" si="68"/>
        <v>293.33333333333439</v>
      </c>
      <c r="CY107" s="62">
        <f ca="1">AVERAGE(OFFSET($CX$3,0,0,'Données projet'!$E$13+1,1))-AVERAGE(OFFSET($H$3,0,0,'Données projet'!$E$13+1,1))</f>
        <v>163.03280205647224</v>
      </c>
      <c r="CZ107" s="62">
        <f t="shared" si="96"/>
        <v>277.12388047243826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25.264678936604046</v>
      </c>
      <c r="DG107" s="23">
        <f>EXP(-LN(2)/25)*DG106+(1-EXP(-LN(2)/25))/(LN(2)/25)*Calculateur!DB107*Calculateur!DD107*VLOOKUP('Données projet'!$B$13,Paramètres!$A$1:$I$89,3,0)*0.475*44/12</f>
        <v>0.42963303286971161</v>
      </c>
      <c r="DH107" s="23">
        <f>EXP(-LN(2)/2)*DH106+(1-EXP(-LN(2)/2))/(LN(2)/2)*DB107*DE107*VLOOKUP('Données projet'!$B$13,Paramètres!$A$1:$I$89,3,0)*0.475*44/12</f>
        <v>8.0146029263344794E-9</v>
      </c>
      <c r="DI107" s="24">
        <f t="shared" si="69"/>
        <v>25.694311977488361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-4.9658410716801891E-14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188.31046827337082</v>
      </c>
      <c r="T108" s="62">
        <f t="shared" si="88"/>
        <v>207.32535726327728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310.95287409903602</v>
      </c>
      <c r="AO108" s="62">
        <f t="shared" si="90"/>
        <v>224.10083380795163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-1.2710188457276673E-13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382.55387448074327</v>
      </c>
      <c r="BJ108" s="62">
        <f t="shared" si="92"/>
        <v>476.29465646955543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1.9242454342773689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1.5830123965408951E-10</v>
      </c>
      <c r="BS108" s="24">
        <f t="shared" si="63"/>
        <v>1.9242454344356701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287.69656598881124</v>
      </c>
      <c r="CE108" s="62">
        <f t="shared" si="94"/>
        <v>221.9773436301067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1.348216928396152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8.2921051812927957E-11</v>
      </c>
      <c r="CN108" s="24">
        <f t="shared" si="66"/>
        <v>1.348216928479073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3.3992364478763198E-14</v>
      </c>
      <c r="CV108" s="14">
        <f t="shared" si="95"/>
        <v>5.790027782444094E-13</v>
      </c>
      <c r="CW108" s="22">
        <f t="shared" si="67"/>
        <v>1.0676332069095257E-12</v>
      </c>
      <c r="CX108" s="62">
        <f t="shared" si="68"/>
        <v>293.33333333333439</v>
      </c>
      <c r="CY108" s="62">
        <f ca="1">AVERAGE(OFFSET($CX$3,0,0,'Données projet'!$E$13+1,1))-AVERAGE(OFFSET($H$3,0,0,'Données projet'!$E$13+1,1))</f>
        <v>163.03280205647224</v>
      </c>
      <c r="CZ108" s="62">
        <f t="shared" si="96"/>
        <v>277.12388047243826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24.769253992589789</v>
      </c>
      <c r="DG108" s="23">
        <f>EXP(-LN(2)/25)*DG107+(1-EXP(-LN(2)/25))/(LN(2)/25)*Calculateur!DB108*Calculateur!DD108*VLOOKUP('Données projet'!$B$13,Paramètres!$A$1:$I$89,3,0)*0.475*44/12</f>
        <v>0.41788469499247011</v>
      </c>
      <c r="DH108" s="23">
        <f>EXP(-LN(2)/2)*DH107+(1-EXP(-LN(2)/2))/(LN(2)/2)*DB108*DE108*VLOOKUP('Données projet'!$B$13,Paramètres!$A$1:$I$89,3,0)*0.475*44/12</f>
        <v>5.6671800777286582E-9</v>
      </c>
      <c r="DI108" s="24">
        <f t="shared" si="69"/>
        <v>25.187138693249437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-4.9658410716801891E-14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188.31046827337082</v>
      </c>
      <c r="T109" s="62">
        <f t="shared" si="88"/>
        <v>207.32535726327728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310.95287409903602</v>
      </c>
      <c r="AO109" s="62">
        <f t="shared" si="90"/>
        <v>224.10083380795163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-1.2710188457276673E-13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382.55387448074327</v>
      </c>
      <c r="BJ109" s="62">
        <f t="shared" si="92"/>
        <v>476.29465646955543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1.8865121549850139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1.1193588002964349E-10</v>
      </c>
      <c r="BS109" s="24">
        <f t="shared" si="63"/>
        <v>1.8865121550969497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287.69656598881124</v>
      </c>
      <c r="CE109" s="62">
        <f t="shared" si="94"/>
        <v>221.9773436301067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1.3217792167614313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5.8634038040042418E-11</v>
      </c>
      <c r="CN109" s="24">
        <f t="shared" si="66"/>
        <v>1.3217792168200653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3.3992364478763198E-14</v>
      </c>
      <c r="CV109" s="14">
        <f t="shared" si="95"/>
        <v>5.790027782444094E-13</v>
      </c>
      <c r="CW109" s="22">
        <f t="shared" si="67"/>
        <v>1.0676332069095257E-12</v>
      </c>
      <c r="CX109" s="62">
        <f t="shared" si="68"/>
        <v>293.33333333333439</v>
      </c>
      <c r="CY109" s="62">
        <f ca="1">AVERAGE(OFFSET($CX$3,0,0,'Données projet'!$E$13+1,1))-AVERAGE(OFFSET($H$3,0,0,'Données projet'!$E$13+1,1))</f>
        <v>163.03280205647224</v>
      </c>
      <c r="CZ109" s="62">
        <f t="shared" si="96"/>
        <v>277.12388047243826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24.283544029548271</v>
      </c>
      <c r="DG109" s="23">
        <f>EXP(-LN(2)/25)*DG108+(1-EXP(-LN(2)/25))/(LN(2)/25)*Calculateur!DB109*Calculateur!DD109*VLOOKUP('Données projet'!$B$13,Paramètres!$A$1:$I$89,3,0)*0.475*44/12</f>
        <v>0.40645761603230002</v>
      </c>
      <c r="DH109" s="23">
        <f>EXP(-LN(2)/2)*DH108+(1-EXP(-LN(2)/2))/(LN(2)/2)*DB109*DE109*VLOOKUP('Données projet'!$B$13,Paramètres!$A$1:$I$89,3,0)*0.475*44/12</f>
        <v>4.0073014631672397E-9</v>
      </c>
      <c r="DI109" s="24">
        <f t="shared" si="69"/>
        <v>24.69000164958787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-4.9658410716801891E-14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188.31046827337082</v>
      </c>
      <c r="T110" s="62">
        <f t="shared" si="88"/>
        <v>207.32535726327728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310.95287409903602</v>
      </c>
      <c r="AO110" s="62">
        <f t="shared" si="90"/>
        <v>224.10083380795163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-1.2710188457276673E-13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382.55387448074327</v>
      </c>
      <c r="BJ110" s="62">
        <f t="shared" si="92"/>
        <v>476.29465646955543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1.8495188022845541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7.9150619827044756E-11</v>
      </c>
      <c r="BS110" s="24">
        <f t="shared" si="63"/>
        <v>1.8495188023637048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287.69656598881124</v>
      </c>
      <c r="CE110" s="62">
        <f t="shared" si="94"/>
        <v>221.9773436301067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1.2958599325264557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4.1460525906463978E-11</v>
      </c>
      <c r="CN110" s="24">
        <f t="shared" si="66"/>
        <v>1.2958599325679163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3.3992364478763198E-14</v>
      </c>
      <c r="CV110" s="14">
        <f t="shared" si="95"/>
        <v>5.790027782444094E-13</v>
      </c>
      <c r="CW110" s="22">
        <f t="shared" si="67"/>
        <v>1.0676332069095257E-12</v>
      </c>
      <c r="CX110" s="62">
        <f t="shared" si="68"/>
        <v>293.33333333333439</v>
      </c>
      <c r="CY110" s="62">
        <f ca="1">AVERAGE(OFFSET($CX$3,0,0,'Données projet'!$E$13+1,1))-AVERAGE(OFFSET($H$3,0,0,'Données projet'!$E$13+1,1))</f>
        <v>163.03280205647224</v>
      </c>
      <c r="CZ110" s="62">
        <f t="shared" si="96"/>
        <v>277.12388047243826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23.807358542628172</v>
      </c>
      <c r="DG110" s="23">
        <f>EXP(-LN(2)/25)*DG109+(1-EXP(-LN(2)/25))/(LN(2)/25)*Calculateur!DB110*Calculateur!DD110*VLOOKUP('Données projet'!$B$13,Paramètres!$A$1:$I$89,3,0)*0.475*44/12</f>
        <v>0.3953430111472197</v>
      </c>
      <c r="DH110" s="23">
        <f>EXP(-LN(2)/2)*DH109+(1-EXP(-LN(2)/2))/(LN(2)/2)*DB110*DE110*VLOOKUP('Données projet'!$B$13,Paramètres!$A$1:$I$89,3,0)*0.475*44/12</f>
        <v>2.8335900388643291E-9</v>
      </c>
      <c r="DI110" s="24">
        <f t="shared" si="69"/>
        <v>24.202701556608982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-4.9658410716801891E-14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188.31046827337082</v>
      </c>
      <c r="T111" s="62">
        <f t="shared" si="88"/>
        <v>207.32535726327728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310.95287409903602</v>
      </c>
      <c r="AO111" s="62">
        <f t="shared" si="90"/>
        <v>224.10083380795163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-1.2710188457276673E-13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382.55387448074327</v>
      </c>
      <c r="BJ111" s="62">
        <f t="shared" si="92"/>
        <v>476.29465646955543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1.8132508666668332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5.5967940014821747E-11</v>
      </c>
      <c r="BS111" s="24">
        <f t="shared" si="63"/>
        <v>1.8132508667228011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287.69656598881124</v>
      </c>
      <c r="CE111" s="62">
        <f t="shared" si="94"/>
        <v>221.9773436301067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1.2704489096461256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2.9317019020021209E-11</v>
      </c>
      <c r="CN111" s="24">
        <f t="shared" si="66"/>
        <v>1.2704489096754426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3.3992364478763198E-14</v>
      </c>
      <c r="CV111" s="14">
        <f t="shared" si="95"/>
        <v>5.790027782444094E-13</v>
      </c>
      <c r="CW111" s="22">
        <f t="shared" si="67"/>
        <v>1.0676332069095257E-12</v>
      </c>
      <c r="CX111" s="62">
        <f t="shared" si="68"/>
        <v>293.33333333333439</v>
      </c>
      <c r="CY111" s="62">
        <f ca="1">AVERAGE(OFFSET($CX$3,0,0,'Données projet'!$E$13+1,1))-AVERAGE(OFFSET($H$3,0,0,'Données projet'!$E$13+1,1))</f>
        <v>163.03280205647224</v>
      </c>
      <c r="CZ111" s="62">
        <f t="shared" si="96"/>
        <v>277.12388047243826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23.34051076266211</v>
      </c>
      <c r="DG111" s="23">
        <f>EXP(-LN(2)/25)*DG110+(1-EXP(-LN(2)/25))/(LN(2)/25)*Calculateur!DB111*Calculateur!DD111*VLOOKUP('Données projet'!$B$13,Paramètres!$A$1:$I$89,3,0)*0.475*44/12</f>
        <v>0.38453233571721357</v>
      </c>
      <c r="DH111" s="23">
        <f>EXP(-LN(2)/2)*DH110+(1-EXP(-LN(2)/2))/(LN(2)/2)*DB111*DE111*VLOOKUP('Données projet'!$B$13,Paramètres!$A$1:$I$89,3,0)*0.475*44/12</f>
        <v>2.0036507315836199E-9</v>
      </c>
      <c r="DI111" s="24">
        <f t="shared" si="69"/>
        <v>23.725043100382976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-4.9658410716801891E-14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188.31046827337082</v>
      </c>
      <c r="T112" s="62">
        <f t="shared" si="88"/>
        <v>207.32535726327728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310.95287409903602</v>
      </c>
      <c r="AO112" s="62">
        <f t="shared" si="90"/>
        <v>224.10083380795163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-1.2710188457276673E-13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382.55387448074327</v>
      </c>
      <c r="BJ112" s="62">
        <f t="shared" si="92"/>
        <v>476.29465646955543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1.7776941231453194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3.9575309913522378E-11</v>
      </c>
      <c r="BS112" s="24">
        <f t="shared" si="63"/>
        <v>1.7776941231848946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287.69656598881124</v>
      </c>
      <c r="CE112" s="62">
        <f t="shared" si="94"/>
        <v>221.9773436301067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1.2455361814252852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2.0730262953231989E-11</v>
      </c>
      <c r="CN112" s="24">
        <f t="shared" si="66"/>
        <v>1.2455361814460155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3.3992364478763198E-14</v>
      </c>
      <c r="CV112" s="14">
        <f t="shared" si="95"/>
        <v>5.790027782444094E-13</v>
      </c>
      <c r="CW112" s="22">
        <f t="shared" si="67"/>
        <v>1.0676332069095257E-12</v>
      </c>
      <c r="CX112" s="62">
        <f t="shared" si="68"/>
        <v>293.33333333333439</v>
      </c>
      <c r="CY112" s="62">
        <f ca="1">AVERAGE(OFFSET($CX$3,0,0,'Données projet'!$E$13+1,1))-AVERAGE(OFFSET($H$3,0,0,'Données projet'!$E$13+1,1))</f>
        <v>163.03280205647224</v>
      </c>
      <c r="CZ112" s="62">
        <f t="shared" si="96"/>
        <v>277.12388047243826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22.882817582912153</v>
      </c>
      <c r="DG112" s="23">
        <f>EXP(-LN(2)/25)*DG111+(1-EXP(-LN(2)/25))/(LN(2)/25)*Calculateur!DB112*Calculateur!DD112*VLOOKUP('Données projet'!$B$13,Paramètres!$A$1:$I$89,3,0)*0.475*44/12</f>
        <v>0.37401727877534968</v>
      </c>
      <c r="DH112" s="23">
        <f>EXP(-LN(2)/2)*DH111+(1-EXP(-LN(2)/2))/(LN(2)/2)*DB112*DE112*VLOOKUP('Données projet'!$B$13,Paramètres!$A$1:$I$89,3,0)*0.475*44/12</f>
        <v>1.4167950194321646E-9</v>
      </c>
      <c r="DI112" s="24">
        <f t="shared" si="69"/>
        <v>23.256834863104295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-4.9658410716801891E-14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188.31046827337082</v>
      </c>
      <c r="T113" s="62">
        <f t="shared" si="88"/>
        <v>207.32535726327728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310.95287409903602</v>
      </c>
      <c r="AO113" s="62">
        <f t="shared" si="90"/>
        <v>224.10083380795163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-1.2710188457276673E-13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382.55387448074327</v>
      </c>
      <c r="BJ113" s="62">
        <f t="shared" si="92"/>
        <v>476.29465646955543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1.7428346256767904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2.7983970007410873E-11</v>
      </c>
      <c r="BS113" s="24">
        <f t="shared" si="63"/>
        <v>1.7428346257047744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287.69656598881124</v>
      </c>
      <c r="CE113" s="62">
        <f t="shared" si="94"/>
        <v>221.9773436301067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1.2211119766095917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1.4658509510010604E-11</v>
      </c>
      <c r="CN113" s="24">
        <f t="shared" si="66"/>
        <v>1.2211119766242502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3.3992364478763198E-14</v>
      </c>
      <c r="CV113" s="14">
        <f t="shared" si="95"/>
        <v>5.790027782444094E-13</v>
      </c>
      <c r="CW113" s="22">
        <f t="shared" si="67"/>
        <v>1.0676332069095257E-12</v>
      </c>
      <c r="CX113" s="62">
        <f t="shared" si="68"/>
        <v>293.33333333333439</v>
      </c>
      <c r="CY113" s="62">
        <f ca="1">AVERAGE(OFFSET($CX$3,0,0,'Données projet'!$E$13+1,1))-AVERAGE(OFFSET($H$3,0,0,'Données projet'!$E$13+1,1))</f>
        <v>163.03280205647224</v>
      </c>
      <c r="CZ113" s="62">
        <f t="shared" si="96"/>
        <v>277.12388047243826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22.434099487251817</v>
      </c>
      <c r="DG113" s="23">
        <f>EXP(-LN(2)/25)*DG112+(1-EXP(-LN(2)/25))/(LN(2)/25)*Calculateur!DB113*Calculateur!DD113*VLOOKUP('Données projet'!$B$13,Paramètres!$A$1:$I$89,3,0)*0.475*44/12</f>
        <v>0.36378975661852386</v>
      </c>
      <c r="DH113" s="23">
        <f>EXP(-LN(2)/2)*DH112+(1-EXP(-LN(2)/2))/(LN(2)/2)*DB113*DE113*VLOOKUP('Données projet'!$B$13,Paramètres!$A$1:$I$89,3,0)*0.475*44/12</f>
        <v>1.0018253657918099E-9</v>
      </c>
      <c r="DI113" s="24">
        <f t="shared" si="69"/>
        <v>22.797889244872167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-4.9658410716801891E-14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188.31046827337082</v>
      </c>
      <c r="T114" s="62">
        <f t="shared" si="88"/>
        <v>207.32535726327728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310.95287409903602</v>
      </c>
      <c r="AO114" s="62">
        <f t="shared" si="90"/>
        <v>224.10083380795163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-1.2710188457276673E-13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382.55387448074327</v>
      </c>
      <c r="BJ114" s="62">
        <f t="shared" si="92"/>
        <v>476.29465646955543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1.7086587016914252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1.9787654956761189E-11</v>
      </c>
      <c r="BS114" s="24">
        <f t="shared" si="63"/>
        <v>1.7086587017112129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287.69656598881124</v>
      </c>
      <c r="CE114" s="62">
        <f t="shared" si="94"/>
        <v>221.9773436301067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1.1971667155530399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1.0365131476615995E-11</v>
      </c>
      <c r="CN114" s="24">
        <f t="shared" si="66"/>
        <v>1.1971667155634049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3.3992364478763198E-14</v>
      </c>
      <c r="CV114" s="14">
        <f t="shared" si="95"/>
        <v>5.790027782444094E-13</v>
      </c>
      <c r="CW114" s="22">
        <f t="shared" si="67"/>
        <v>1.0676332069095257E-12</v>
      </c>
      <c r="CX114" s="62">
        <f t="shared" si="68"/>
        <v>293.33333333333439</v>
      </c>
      <c r="CY114" s="62">
        <f ca="1">AVERAGE(OFFSET($CX$3,0,0,'Données projet'!$E$13+1,1))-AVERAGE(OFFSET($H$3,0,0,'Données projet'!$E$13+1,1))</f>
        <v>163.03280205647224</v>
      </c>
      <c r="CZ114" s="62">
        <f t="shared" si="96"/>
        <v>277.12388047243826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21.994180479756366</v>
      </c>
      <c r="DG114" s="23">
        <f>EXP(-LN(2)/25)*DG113+(1-EXP(-LN(2)/25))/(LN(2)/25)*Calculateur!DB114*Calculateur!DD114*VLOOKUP('Données projet'!$B$13,Paramètres!$A$1:$I$89,3,0)*0.475*44/12</f>
        <v>0.35384190659291848</v>
      </c>
      <c r="DH114" s="23">
        <f>EXP(-LN(2)/2)*DH113+(1-EXP(-LN(2)/2))/(LN(2)/2)*DB114*DE114*VLOOKUP('Données projet'!$B$13,Paramètres!$A$1:$I$89,3,0)*0.475*44/12</f>
        <v>7.0839750971608228E-10</v>
      </c>
      <c r="DI114" s="24">
        <f t="shared" si="69"/>
        <v>22.348022387057682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-4.9658410716801891E-14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188.31046827337082</v>
      </c>
      <c r="T115" s="62">
        <f t="shared" si="88"/>
        <v>207.32535726327728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310.95287409903602</v>
      </c>
      <c r="AO115" s="62">
        <f t="shared" si="90"/>
        <v>224.10083380795163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-1.2710188457276673E-13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382.55387448074327</v>
      </c>
      <c r="BJ115" s="62">
        <f t="shared" si="92"/>
        <v>476.29465646955543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1.6751529467301578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1.3991985003705437E-11</v>
      </c>
      <c r="BS115" s="24">
        <f t="shared" si="63"/>
        <v>1.6751529467441497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287.69656598881124</v>
      </c>
      <c r="CE115" s="62">
        <f t="shared" si="94"/>
        <v>221.9773436301067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1.1736910064606401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7.3292547550053022E-12</v>
      </c>
      <c r="CN115" s="24">
        <f t="shared" si="66"/>
        <v>1.1736910064679693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3.3992364478763198E-14</v>
      </c>
      <c r="CV115" s="14">
        <f t="shared" si="95"/>
        <v>5.790027782444094E-13</v>
      </c>
      <c r="CW115" s="22">
        <f t="shared" si="67"/>
        <v>1.0676332069095257E-12</v>
      </c>
      <c r="CX115" s="62">
        <f t="shared" si="68"/>
        <v>293.33333333333439</v>
      </c>
      <c r="CY115" s="62">
        <f ca="1">AVERAGE(OFFSET($CX$3,0,0,'Données projet'!$E$13+1,1))-AVERAGE(OFFSET($H$3,0,0,'Données projet'!$E$13+1,1))</f>
        <v>163.03280205647224</v>
      </c>
      <c r="CZ115" s="62">
        <f t="shared" si="96"/>
        <v>277.12388047243826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21.562888015673803</v>
      </c>
      <c r="DG115" s="23">
        <f>EXP(-LN(2)/25)*DG114+(1-EXP(-LN(2)/25))/(LN(2)/25)*Calculateur!DB115*Calculateur!DD115*VLOOKUP('Données projet'!$B$13,Paramètres!$A$1:$I$89,3,0)*0.475*44/12</f>
        <v>0.34416608104939794</v>
      </c>
      <c r="DH115" s="23">
        <f>EXP(-LN(2)/2)*DH114+(1-EXP(-LN(2)/2))/(LN(2)/2)*DB115*DE115*VLOOKUP('Données projet'!$B$13,Paramètres!$A$1:$I$89,3,0)*0.475*44/12</f>
        <v>5.0091268289590496E-10</v>
      </c>
      <c r="DI115" s="24">
        <f t="shared" si="69"/>
        <v>21.907054097224112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-4.9658410716801891E-14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188.31046827337082</v>
      </c>
      <c r="T116" s="62">
        <f t="shared" si="88"/>
        <v>207.32535726327728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310.95287409903602</v>
      </c>
      <c r="AO116" s="62">
        <f t="shared" si="90"/>
        <v>224.10083380795163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-1.2710188457276673E-13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382.55387448074327</v>
      </c>
      <c r="BJ116" s="62">
        <f t="shared" si="92"/>
        <v>476.29465646955543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1.6423042191871882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9.8938274783805945E-12</v>
      </c>
      <c r="BS116" s="24">
        <f t="shared" si="63"/>
        <v>1.642304219197082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287.69656598881124</v>
      </c>
      <c r="CE116" s="62">
        <f t="shared" si="94"/>
        <v>221.9773436301067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1.1506756417047734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5.1825657383079973E-12</v>
      </c>
      <c r="CN116" s="24">
        <f t="shared" si="66"/>
        <v>1.150675641709956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3.3992364478763198E-14</v>
      </c>
      <c r="CV116" s="14">
        <f t="shared" si="95"/>
        <v>5.790027782444094E-13</v>
      </c>
      <c r="CW116" s="22">
        <f t="shared" si="67"/>
        <v>1.0676332069095257E-12</v>
      </c>
      <c r="CX116" s="62">
        <f t="shared" si="68"/>
        <v>293.33333333333439</v>
      </c>
      <c r="CY116" s="62">
        <f ca="1">AVERAGE(OFFSET($CX$3,0,0,'Données projet'!$E$13+1,1))-AVERAGE(OFFSET($H$3,0,0,'Données projet'!$E$13+1,1))</f>
        <v>163.03280205647224</v>
      </c>
      <c r="CZ116" s="62">
        <f t="shared" si="96"/>
        <v>277.12388047243826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21.14005293374947</v>
      </c>
      <c r="DG116" s="23">
        <f>EXP(-LN(2)/25)*DG115+(1-EXP(-LN(2)/25))/(LN(2)/25)*Calculateur!DB116*Calculateur!DD116*VLOOKUP('Données projet'!$B$13,Paramètres!$A$1:$I$89,3,0)*0.475*44/12</f>
        <v>0.33475484146419454</v>
      </c>
      <c r="DH116" s="23">
        <f>EXP(-LN(2)/2)*DH115+(1-EXP(-LN(2)/2))/(LN(2)/2)*DB116*DE116*VLOOKUP('Données projet'!$B$13,Paramètres!$A$1:$I$89,3,0)*0.475*44/12</f>
        <v>3.5419875485804114E-10</v>
      </c>
      <c r="DI116" s="24">
        <f t="shared" si="69"/>
        <v>21.474807775567861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-4.9658410716801891E-14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188.31046827337082</v>
      </c>
      <c r="T117" s="62">
        <f t="shared" si="88"/>
        <v>207.32535726327728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310.95287409903602</v>
      </c>
      <c r="AO117" s="62">
        <f t="shared" si="90"/>
        <v>224.10083380795163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-1.2710188457276673E-13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382.55387448074327</v>
      </c>
      <c r="BJ117" s="62">
        <f t="shared" si="92"/>
        <v>476.29465646955543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1.6100996351555907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6.9959925018527184E-12</v>
      </c>
      <c r="BS117" s="24">
        <f t="shared" si="63"/>
        <v>1.6100996351625867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287.69656598881124</v>
      </c>
      <c r="CE117" s="62">
        <f t="shared" si="94"/>
        <v>221.9773436301067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1.1281115942137829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3.6646273775026511E-12</v>
      </c>
      <c r="CN117" s="24">
        <f t="shared" si="66"/>
        <v>1.1281115942174476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3.3992364478763198E-14</v>
      </c>
      <c r="CV117" s="14">
        <f t="shared" si="95"/>
        <v>5.790027782444094E-13</v>
      </c>
      <c r="CW117" s="22">
        <f t="shared" si="67"/>
        <v>1.0676332069095257E-12</v>
      </c>
      <c r="CX117" s="62">
        <f t="shared" si="68"/>
        <v>293.33333333333439</v>
      </c>
      <c r="CY117" s="62">
        <f ca="1">AVERAGE(OFFSET($CX$3,0,0,'Données projet'!$E$13+1,1))-AVERAGE(OFFSET($H$3,0,0,'Données projet'!$E$13+1,1))</f>
        <v>163.03280205647224</v>
      </c>
      <c r="CZ117" s="62">
        <f t="shared" si="96"/>
        <v>277.12388047243826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20.72550938987774</v>
      </c>
      <c r="DG117" s="23">
        <f>EXP(-LN(2)/25)*DG116+(1-EXP(-LN(2)/25))/(LN(2)/25)*Calculateur!DB117*Calculateur!DD117*VLOOKUP('Données projet'!$B$13,Paramètres!$A$1:$I$89,3,0)*0.475*44/12</f>
        <v>0.3256009527203641</v>
      </c>
      <c r="DH117" s="23">
        <f>EXP(-LN(2)/2)*DH116+(1-EXP(-LN(2)/2))/(LN(2)/2)*DB117*DE117*VLOOKUP('Données projet'!$B$13,Paramètres!$A$1:$I$89,3,0)*0.475*44/12</f>
        <v>2.5045634144795248E-10</v>
      </c>
      <c r="DI117" s="24">
        <f t="shared" si="69"/>
        <v>21.05111034284856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-4.9658410716801891E-14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188.31046827337082</v>
      </c>
      <c r="T118" s="62">
        <f t="shared" si="88"/>
        <v>207.32535726327728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310.95287409903602</v>
      </c>
      <c r="AO118" s="62">
        <f t="shared" si="90"/>
        <v>224.10083380795163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-1.2710188457276673E-13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382.55387448074327</v>
      </c>
      <c r="BJ118" s="62">
        <f t="shared" si="92"/>
        <v>476.29465646955543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1.5785265633739962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4.9469137391902972E-12</v>
      </c>
      <c r="BS118" s="24">
        <f t="shared" si="63"/>
        <v>1.5785265633789431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287.69656598881124</v>
      </c>
      <c r="CE118" s="62">
        <f t="shared" si="94"/>
        <v>221.9773436301067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1.1059900139313807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2.5912828691539986E-12</v>
      </c>
      <c r="CN118" s="24">
        <f t="shared" si="66"/>
        <v>1.105990013933972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3.3992364478763198E-14</v>
      </c>
      <c r="CV118" s="14">
        <f t="shared" si="95"/>
        <v>5.790027782444094E-13</v>
      </c>
      <c r="CW118" s="22">
        <f t="shared" si="67"/>
        <v>1.0676332069095257E-12</v>
      </c>
      <c r="CX118" s="62">
        <f t="shared" si="68"/>
        <v>293.33333333333439</v>
      </c>
      <c r="CY118" s="62">
        <f ca="1">AVERAGE(OFFSET($CX$3,0,0,'Données projet'!$E$13+1,1))-AVERAGE(OFFSET($H$3,0,0,'Données projet'!$E$13+1,1))</f>
        <v>163.03280205647224</v>
      </c>
      <c r="CZ118" s="62">
        <f t="shared" si="96"/>
        <v>277.12388047243826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20.319094792054738</v>
      </c>
      <c r="DG118" s="23">
        <f>EXP(-LN(2)/25)*DG117+(1-EXP(-LN(2)/25))/(LN(2)/25)*Calculateur!DB118*Calculateur!DD118*VLOOKUP('Données projet'!$B$13,Paramètres!$A$1:$I$89,3,0)*0.475*44/12</f>
        <v>0.31669737754561583</v>
      </c>
      <c r="DH118" s="23">
        <f>EXP(-LN(2)/2)*DH117+(1-EXP(-LN(2)/2))/(LN(2)/2)*DB118*DE118*VLOOKUP('Données projet'!$B$13,Paramètres!$A$1:$I$89,3,0)*0.475*44/12</f>
        <v>1.7709937742902057E-10</v>
      </c>
      <c r="DI118" s="24">
        <f t="shared" si="69"/>
        <v>20.635792169777453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-4.9658410716801891E-14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188.31046827337082</v>
      </c>
      <c r="T119" s="62">
        <f t="shared" si="88"/>
        <v>207.32535726327728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310.95287409903602</v>
      </c>
      <c r="AO119" s="62">
        <f t="shared" si="90"/>
        <v>224.10083380795163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-1.2710188457276673E-13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382.55387448074327</v>
      </c>
      <c r="BJ119" s="62">
        <f t="shared" si="92"/>
        <v>476.29465646955543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1.5475726202723665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3.4979962509263592E-12</v>
      </c>
      <c r="BS119" s="24">
        <f t="shared" si="63"/>
        <v>1.5475726202758646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287.69656598881124</v>
      </c>
      <c r="CE119" s="62">
        <f t="shared" si="94"/>
        <v>221.9773436301067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1.084302224345485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1.8323136887513256E-12</v>
      </c>
      <c r="CN119" s="24">
        <f t="shared" si="66"/>
        <v>1.0843022243473173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3.3992364478763198E-14</v>
      </c>
      <c r="CV119" s="14">
        <f t="shared" si="95"/>
        <v>5.790027782444094E-13</v>
      </c>
      <c r="CW119" s="22">
        <f t="shared" si="67"/>
        <v>1.0676332069095257E-12</v>
      </c>
      <c r="CX119" s="62">
        <f t="shared" si="68"/>
        <v>293.33333333333439</v>
      </c>
      <c r="CY119" s="62">
        <f ca="1">AVERAGE(OFFSET($CX$3,0,0,'Données projet'!$E$13+1,1))-AVERAGE(OFFSET($H$3,0,0,'Données projet'!$E$13+1,1))</f>
        <v>163.03280205647224</v>
      </c>
      <c r="CZ119" s="62">
        <f t="shared" si="96"/>
        <v>277.12388047243826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19.92064973660662</v>
      </c>
      <c r="DG119" s="23">
        <f>EXP(-LN(2)/25)*DG118+(1-EXP(-LN(2)/25))/(LN(2)/25)*Calculateur!DB119*Calculateur!DD119*VLOOKUP('Données projet'!$B$13,Paramètres!$A$1:$I$89,3,0)*0.475*44/12</f>
        <v>0.30803727110223972</v>
      </c>
      <c r="DH119" s="23">
        <f>EXP(-LN(2)/2)*DH118+(1-EXP(-LN(2)/2))/(LN(2)/2)*DB119*DE119*VLOOKUP('Données projet'!$B$13,Paramètres!$A$1:$I$89,3,0)*0.475*44/12</f>
        <v>1.2522817072397624E-10</v>
      </c>
      <c r="DI119" s="24">
        <f t="shared" si="69"/>
        <v>20.22868700783409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-4.9658410716801891E-14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188.31046827337082</v>
      </c>
      <c r="T120" s="62">
        <f t="shared" si="88"/>
        <v>207.32535726327728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310.95287409903602</v>
      </c>
      <c r="AO120" s="62">
        <f t="shared" si="90"/>
        <v>224.10083380795163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-1.2710188457276673E-13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382.55387448074327</v>
      </c>
      <c r="BJ120" s="62">
        <f t="shared" si="92"/>
        <v>476.29465646955543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1.5172256651149187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2.4734568695951486E-12</v>
      </c>
      <c r="BS120" s="24">
        <f t="shared" si="63"/>
        <v>1.5172256651173921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287.69656598881124</v>
      </c>
      <c r="CE120" s="62">
        <f t="shared" si="94"/>
        <v>221.9773436301067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1.0630397190851231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1.2956414345769993E-12</v>
      </c>
      <c r="CN120" s="24">
        <f t="shared" si="66"/>
        <v>1.0630397190864187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3.3992364478763198E-14</v>
      </c>
      <c r="CV120" s="14">
        <f t="shared" si="95"/>
        <v>5.790027782444094E-13</v>
      </c>
      <c r="CW120" s="22">
        <f t="shared" si="67"/>
        <v>1.0676332069095257E-12</v>
      </c>
      <c r="CX120" s="62">
        <f t="shared" si="68"/>
        <v>293.33333333333439</v>
      </c>
      <c r="CY120" s="62">
        <f ca="1">AVERAGE(OFFSET($CX$3,0,0,'Données projet'!$E$13+1,1))-AVERAGE(OFFSET($H$3,0,0,'Données projet'!$E$13+1,1))</f>
        <v>163.03280205647224</v>
      </c>
      <c r="CZ120" s="62">
        <f t="shared" si="96"/>
        <v>277.12388047243826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19.530017945668352</v>
      </c>
      <c r="DG120" s="23">
        <f>EXP(-LN(2)/25)*DG119+(1-EXP(-LN(2)/25))/(LN(2)/25)*Calculateur!DB120*Calculateur!DD120*VLOOKUP('Données projet'!$B$13,Paramètres!$A$1:$I$89,3,0)*0.475*44/12</f>
        <v>0.29961397572497289</v>
      </c>
      <c r="DH120" s="23">
        <f>EXP(-LN(2)/2)*DH119+(1-EXP(-LN(2)/2))/(LN(2)/2)*DB120*DE120*VLOOKUP('Données projet'!$B$13,Paramètres!$A$1:$I$89,3,0)*0.475*44/12</f>
        <v>8.8549688714510285E-11</v>
      </c>
      <c r="DI120" s="24">
        <f t="shared" si="69"/>
        <v>19.829631921481877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-4.9658410716801891E-14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188.31046827337082</v>
      </c>
      <c r="T121" s="62">
        <f t="shared" si="88"/>
        <v>207.32535726327728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310.95287409903602</v>
      </c>
      <c r="AO121" s="62">
        <f t="shared" si="90"/>
        <v>224.10083380795163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-1.2710188457276673E-13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382.55387448074327</v>
      </c>
      <c r="BJ121" s="62">
        <f t="shared" si="92"/>
        <v>476.29465646955543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1.4874737952382937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1.7489981254631796E-12</v>
      </c>
      <c r="BS121" s="24">
        <f t="shared" si="63"/>
        <v>1.4874737952400428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287.69656598881124</v>
      </c>
      <c r="CE121" s="62">
        <f t="shared" si="94"/>
        <v>221.9773436301067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1.0421941585840693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9.1615684437566278E-13</v>
      </c>
      <c r="CN121" s="24">
        <f t="shared" si="66"/>
        <v>1.0421941585849854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3.3992364478763198E-14</v>
      </c>
      <c r="CV121" s="14">
        <f t="shared" si="95"/>
        <v>5.790027782444094E-13</v>
      </c>
      <c r="CW121" s="22">
        <f t="shared" si="67"/>
        <v>1.0676332069095257E-12</v>
      </c>
      <c r="CX121" s="62">
        <f t="shared" si="68"/>
        <v>293.33333333333439</v>
      </c>
      <c r="CY121" s="62">
        <f ca="1">AVERAGE(OFFSET($CX$3,0,0,'Données projet'!$E$13+1,1))-AVERAGE(OFFSET($H$3,0,0,'Données projet'!$E$13+1,1))</f>
        <v>163.03280205647224</v>
      </c>
      <c r="CZ121" s="62">
        <f t="shared" si="96"/>
        <v>277.12388047243826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19.147046205888515</v>
      </c>
      <c r="DG121" s="23">
        <f>EXP(-LN(2)/25)*DG120+(1-EXP(-LN(2)/25))/(LN(2)/25)*Calculateur!DB121*Calculateur!DD121*VLOOKUP('Données projet'!$B$13,Paramètres!$A$1:$I$89,3,0)*0.475*44/12</f>
        <v>0.29142101580275931</v>
      </c>
      <c r="DH121" s="23">
        <f>EXP(-LN(2)/2)*DH120+(1-EXP(-LN(2)/2))/(LN(2)/2)*DB121*DE121*VLOOKUP('Données projet'!$B$13,Paramètres!$A$1:$I$89,3,0)*0.475*44/12</f>
        <v>6.2614085361988121E-11</v>
      </c>
      <c r="DI121" s="24">
        <f t="shared" si="69"/>
        <v>19.438467221753886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-4.9658410716801891E-14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188.31046827337082</v>
      </c>
      <c r="T122" s="62">
        <f t="shared" si="88"/>
        <v>207.32535726327728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310.95287409903602</v>
      </c>
      <c r="AO122" s="62">
        <f t="shared" si="90"/>
        <v>224.10083380795163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-1.2710188457276673E-13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382.55387448074327</v>
      </c>
      <c r="BJ122" s="62">
        <f t="shared" si="92"/>
        <v>476.29465646955543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1.4583053413831004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1.2367284347975743E-12</v>
      </c>
      <c r="BS122" s="24">
        <f t="shared" si="63"/>
        <v>1.4583053413843372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287.69656598881124</v>
      </c>
      <c r="CE122" s="62">
        <f t="shared" si="94"/>
        <v>221.9773436301067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1.0217573668099047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6.4782071728849966E-13</v>
      </c>
      <c r="CN122" s="24">
        <f t="shared" si="66"/>
        <v>1.0217573668105526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3.3992364478763198E-14</v>
      </c>
      <c r="CV122" s="14">
        <f t="shared" si="95"/>
        <v>5.790027782444094E-13</v>
      </c>
      <c r="CW122" s="22">
        <f t="shared" si="67"/>
        <v>1.0676332069095257E-12</v>
      </c>
      <c r="CX122" s="62">
        <f t="shared" si="68"/>
        <v>293.33333333333439</v>
      </c>
      <c r="CY122" s="62">
        <f ca="1">AVERAGE(OFFSET($CX$3,0,0,'Données projet'!$E$13+1,1))-AVERAGE(OFFSET($H$3,0,0,'Données projet'!$E$13+1,1))</f>
        <v>163.03280205647224</v>
      </c>
      <c r="CZ122" s="62">
        <f t="shared" si="96"/>
        <v>277.12388047243826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18.771584308336067</v>
      </c>
      <c r="DG122" s="23">
        <f>EXP(-LN(2)/25)*DG121+(1-EXP(-LN(2)/25))/(LN(2)/25)*Calculateur!DB122*Calculateur!DD122*VLOOKUP('Données projet'!$B$13,Paramètres!$A$1:$I$89,3,0)*0.475*44/12</f>
        <v>0.28345209280046768</v>
      </c>
      <c r="DH122" s="23">
        <f>EXP(-LN(2)/2)*DH121+(1-EXP(-LN(2)/2))/(LN(2)/2)*DB122*DE122*VLOOKUP('Données projet'!$B$13,Paramètres!$A$1:$I$89,3,0)*0.475*44/12</f>
        <v>4.4274844357255142E-11</v>
      </c>
      <c r="DI122" s="24">
        <f t="shared" si="69"/>
        <v>19.055036401180807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-4.9658410716801891E-14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188.31046827337082</v>
      </c>
      <c r="T123" s="62">
        <f t="shared" si="88"/>
        <v>207.32535726327728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310.95287409903602</v>
      </c>
      <c r="AO123" s="62">
        <f t="shared" si="90"/>
        <v>224.10083380795163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-1.2710188457276673E-13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382.55387448074327</v>
      </c>
      <c r="BJ123" s="62">
        <f t="shared" si="92"/>
        <v>476.29465646955543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1.4297088631170074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8.7449906273158979E-13</v>
      </c>
      <c r="BS123" s="24">
        <f t="shared" si="63"/>
        <v>1.4297088631178818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287.69656598881124</v>
      </c>
      <c r="CE123" s="62">
        <f t="shared" si="94"/>
        <v>221.9773436301067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1.0017213280572193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4.5807842218783139E-13</v>
      </c>
      <c r="CN123" s="24">
        <f t="shared" si="66"/>
        <v>1.0017213280576773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3.3992364478763198E-14</v>
      </c>
      <c r="CV123" s="14">
        <f t="shared" si="95"/>
        <v>5.790027782444094E-13</v>
      </c>
      <c r="CW123" s="22">
        <f t="shared" si="67"/>
        <v>1.0676332069095257E-12</v>
      </c>
      <c r="CX123" s="62">
        <f t="shared" si="68"/>
        <v>293.33333333333439</v>
      </c>
      <c r="CY123" s="62">
        <f ca="1">AVERAGE(OFFSET($CX$3,0,0,'Données projet'!$E$13+1,1))-AVERAGE(OFFSET($H$3,0,0,'Données projet'!$E$13+1,1))</f>
        <v>163.03280205647224</v>
      </c>
      <c r="CZ123" s="62">
        <f t="shared" si="96"/>
        <v>277.12388047243826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18.403484989585476</v>
      </c>
      <c r="DG123" s="23">
        <f>EXP(-LN(2)/25)*DG122+(1-EXP(-LN(2)/25))/(LN(2)/25)*Calculateur!DB123*Calculateur!DD123*VLOOKUP('Données projet'!$B$13,Paramètres!$A$1:$I$89,3,0)*0.475*44/12</f>
        <v>0.27570108041674118</v>
      </c>
      <c r="DH123" s="23">
        <f>EXP(-LN(2)/2)*DH122+(1-EXP(-LN(2)/2))/(LN(2)/2)*DB123*DE123*VLOOKUP('Données projet'!$B$13,Paramètres!$A$1:$I$89,3,0)*0.475*44/12</f>
        <v>3.130704268099406E-11</v>
      </c>
      <c r="DI123" s="24">
        <f t="shared" si="69"/>
        <v>18.679186070033523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-4.9658410716801891E-14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188.31046827337082</v>
      </c>
      <c r="T124" s="62">
        <f t="shared" si="88"/>
        <v>207.32535726327728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310.95287409903602</v>
      </c>
      <c r="AO124" s="62">
        <f t="shared" si="90"/>
        <v>224.10083380795163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-1.2710188457276673E-13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382.55387448074327</v>
      </c>
      <c r="BJ124" s="62">
        <f t="shared" si="92"/>
        <v>476.29465646955543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1.4016731443475829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6.1836421739878716E-13</v>
      </c>
      <c r="BS124" s="24">
        <f t="shared" si="63"/>
        <v>1.4016731443482013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287.69656598881124</v>
      </c>
      <c r="CE124" s="62">
        <f t="shared" si="94"/>
        <v>221.9773436301067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0.98207818380369705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3.2391035864424983E-13</v>
      </c>
      <c r="CN124" s="24">
        <f t="shared" si="66"/>
        <v>0.98207818380402101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3.3992364478763198E-14</v>
      </c>
      <c r="CV124" s="14">
        <f t="shared" si="95"/>
        <v>5.790027782444094E-13</v>
      </c>
      <c r="CW124" s="22">
        <f t="shared" si="67"/>
        <v>1.0676332069095257E-12</v>
      </c>
      <c r="CX124" s="62">
        <f t="shared" si="68"/>
        <v>293.33333333333439</v>
      </c>
      <c r="CY124" s="62">
        <f ca="1">AVERAGE(OFFSET($CX$3,0,0,'Données projet'!$E$13+1,1))-AVERAGE(OFFSET($H$3,0,0,'Données projet'!$E$13+1,1))</f>
        <v>163.03280205647224</v>
      </c>
      <c r="CZ124" s="62">
        <f t="shared" si="96"/>
        <v>277.12388047243826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18.042603873957169</v>
      </c>
      <c r="DG124" s="23">
        <f>EXP(-LN(2)/25)*DG123+(1-EXP(-LN(2)/25))/(LN(2)/25)*Calculateur!DB124*Calculateur!DD124*VLOOKUP('Données projet'!$B$13,Paramètres!$A$1:$I$89,3,0)*0.475*44/12</f>
        <v>0.2681620198742557</v>
      </c>
      <c r="DH124" s="23">
        <f>EXP(-LN(2)/2)*DH123+(1-EXP(-LN(2)/2))/(LN(2)/2)*DB124*DE124*VLOOKUP('Données projet'!$B$13,Paramètres!$A$1:$I$89,3,0)*0.475*44/12</f>
        <v>2.2137422178627571E-11</v>
      </c>
      <c r="DI124" s="24">
        <f t="shared" si="69"/>
        <v>18.310765893853564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-4.9658410716801891E-14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188.31046827337082</v>
      </c>
      <c r="T125" s="62">
        <f t="shared" si="88"/>
        <v>207.32535726327728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310.95287409903602</v>
      </c>
      <c r="AO125" s="62">
        <f t="shared" si="90"/>
        <v>224.10083380795163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-1.2710188457276673E-13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382.55387448074327</v>
      </c>
      <c r="BJ125" s="62">
        <f t="shared" si="92"/>
        <v>476.29465646955543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1.374187188923127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4.372495313657949E-13</v>
      </c>
      <c r="BS125" s="24">
        <f t="shared" si="63"/>
        <v>1.3741871889235642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287.69656598881124</v>
      </c>
      <c r="CE125" s="62">
        <f t="shared" si="94"/>
        <v>221.9773436301067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0.96282022962785152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2.2903921109391569E-13</v>
      </c>
      <c r="CN125" s="24">
        <f t="shared" si="66"/>
        <v>0.96282022962808056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3.3992364478763198E-14</v>
      </c>
      <c r="CV125" s="14">
        <f t="shared" si="95"/>
        <v>5.790027782444094E-13</v>
      </c>
      <c r="CW125" s="22">
        <f t="shared" si="67"/>
        <v>1.0676332069095257E-12</v>
      </c>
      <c r="CX125" s="62">
        <f t="shared" si="68"/>
        <v>293.33333333333439</v>
      </c>
      <c r="CY125" s="62">
        <f ca="1">AVERAGE(OFFSET($CX$3,0,0,'Données projet'!$E$13+1,1))-AVERAGE(OFFSET($H$3,0,0,'Données projet'!$E$13+1,1))</f>
        <v>163.03280205647224</v>
      </c>
      <c r="CZ125" s="62">
        <f t="shared" si="96"/>
        <v>277.12388047243826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17.688799416890589</v>
      </c>
      <c r="DG125" s="23">
        <f>EXP(-LN(2)/25)*DG124+(1-EXP(-LN(2)/25))/(LN(2)/25)*Calculateur!DB125*Calculateur!DD125*VLOOKUP('Données projet'!$B$13,Paramètres!$A$1:$I$89,3,0)*0.475*44/12</f>
        <v>0.26082911533876646</v>
      </c>
      <c r="DH125" s="23">
        <f>EXP(-LN(2)/2)*DH124+(1-EXP(-LN(2)/2))/(LN(2)/2)*DB125*DE125*VLOOKUP('Données projet'!$B$13,Paramètres!$A$1:$I$89,3,0)*0.475*44/12</f>
        <v>1.565352134049703E-11</v>
      </c>
      <c r="DI125" s="24">
        <f t="shared" si="69"/>
        <v>17.949628532245008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-4.9658410716801891E-14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188.31046827337082</v>
      </c>
      <c r="T126" s="62">
        <f t="shared" si="88"/>
        <v>207.32535726327728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310.95287409903602</v>
      </c>
      <c r="AO126" s="62">
        <f t="shared" si="90"/>
        <v>224.10083380795163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-1.2710188457276673E-13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382.55387448074327</v>
      </c>
      <c r="BJ126" s="62">
        <f t="shared" si="92"/>
        <v>476.29465646955543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1.3472402163197672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3.0918210869939358E-13</v>
      </c>
      <c r="BS126" s="24">
        <f t="shared" si="63"/>
        <v>1.3472402163200763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287.69656598881124</v>
      </c>
      <c r="CE126" s="62">
        <f t="shared" si="94"/>
        <v>221.9773436301067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0.94393991218720208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1.6195517932212492E-13</v>
      </c>
      <c r="CN126" s="24">
        <f t="shared" si="66"/>
        <v>0.94393991218736406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3.3992364478763198E-14</v>
      </c>
      <c r="CV126" s="14">
        <f t="shared" si="95"/>
        <v>5.790027782444094E-13</v>
      </c>
      <c r="CW126" s="22">
        <f t="shared" si="67"/>
        <v>1.0676332069095257E-12</v>
      </c>
      <c r="CX126" s="62">
        <f t="shared" si="68"/>
        <v>293.33333333333439</v>
      </c>
      <c r="CY126" s="62">
        <f ca="1">AVERAGE(OFFSET($CX$3,0,0,'Données projet'!$E$13+1,1))-AVERAGE(OFFSET($H$3,0,0,'Données projet'!$E$13+1,1))</f>
        <v>163.03280205647224</v>
      </c>
      <c r="CZ126" s="62">
        <f t="shared" si="96"/>
        <v>277.12388047243826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17.341932849427675</v>
      </c>
      <c r="DG126" s="23">
        <f>EXP(-LN(2)/25)*DG125+(1-EXP(-LN(2)/25))/(LN(2)/25)*Calculateur!DB126*Calculateur!DD126*VLOOKUP('Données projet'!$B$13,Paramètres!$A$1:$I$89,3,0)*0.475*44/12</f>
        <v>0.25369672946342087</v>
      </c>
      <c r="DH126" s="23">
        <f>EXP(-LN(2)/2)*DH125+(1-EXP(-LN(2)/2))/(LN(2)/2)*DB126*DE126*VLOOKUP('Données projet'!$B$13,Paramètres!$A$1:$I$89,3,0)*0.475*44/12</f>
        <v>1.1068711089313786E-11</v>
      </c>
      <c r="DI126" s="24">
        <f t="shared" si="69"/>
        <v>17.595629578902166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-4.9658410716801891E-14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188.31046827337082</v>
      </c>
      <c r="T127" s="62">
        <f t="shared" si="88"/>
        <v>207.32535726327728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310.95287409903602</v>
      </c>
      <c r="AO127" s="62">
        <f t="shared" si="90"/>
        <v>224.10083380795163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-1.2710188457276673E-13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382.55387448074327</v>
      </c>
      <c r="BJ127" s="62">
        <f t="shared" si="92"/>
        <v>476.29465646955543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1.3208216574131288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2.1862476568289745E-13</v>
      </c>
      <c r="BS127" s="24">
        <f t="shared" si="63"/>
        <v>1.3208216574133476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287.69656598881124</v>
      </c>
      <c r="CE127" s="62">
        <f t="shared" si="94"/>
        <v>221.9773436301067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0.92542982625570724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1.1451960554695785E-13</v>
      </c>
      <c r="CN127" s="24">
        <f t="shared" si="66"/>
        <v>0.92542982625582182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3.3992364478763198E-14</v>
      </c>
      <c r="CV127" s="14">
        <f t="shared" si="95"/>
        <v>5.790027782444094E-13</v>
      </c>
      <c r="CW127" s="22">
        <f t="shared" si="67"/>
        <v>1.0676332069095257E-12</v>
      </c>
      <c r="CX127" s="62">
        <f t="shared" si="68"/>
        <v>293.33333333333439</v>
      </c>
      <c r="CY127" s="62">
        <f ca="1">AVERAGE(OFFSET($CX$3,0,0,'Données projet'!$E$13+1,1))-AVERAGE(OFFSET($H$3,0,0,'Données projet'!$E$13+1,1))</f>
        <v>163.03280205647224</v>
      </c>
      <c r="CZ127" s="62">
        <f t="shared" si="96"/>
        <v>277.12388047243826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17.001868123784991</v>
      </c>
      <c r="DG127" s="23">
        <f>EXP(-LN(2)/25)*DG126+(1-EXP(-LN(2)/25))/(LN(2)/25)*Calculateur!DB127*Calculateur!DD127*VLOOKUP('Données projet'!$B$13,Paramètres!$A$1:$I$89,3,0)*0.475*44/12</f>
        <v>0.24675937905491246</v>
      </c>
      <c r="DH127" s="23">
        <f>EXP(-LN(2)/2)*DH126+(1-EXP(-LN(2)/2))/(LN(2)/2)*DB127*DE127*VLOOKUP('Données projet'!$B$13,Paramètres!$A$1:$I$89,3,0)*0.475*44/12</f>
        <v>7.8267606702485151E-12</v>
      </c>
      <c r="DI127" s="24">
        <f t="shared" si="69"/>
        <v>17.248627502847729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-4.9658410716801891E-14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188.31046827337082</v>
      </c>
      <c r="T128" s="62">
        <f t="shared" si="88"/>
        <v>207.32535726327728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310.95287409903602</v>
      </c>
      <c r="AO128" s="62">
        <f t="shared" si="90"/>
        <v>224.10083380795163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-1.2710188457276673E-13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382.55387448074327</v>
      </c>
      <c r="BJ128" s="62">
        <f t="shared" si="92"/>
        <v>476.29465646955543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1.2949211503329199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1.5459105434969679E-13</v>
      </c>
      <c r="BS128" s="24">
        <f t="shared" si="63"/>
        <v>1.2949211503330744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287.69656598881124</v>
      </c>
      <c r="CE128" s="62">
        <f t="shared" si="94"/>
        <v>221.9773436301067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0.90728271181929143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8.0977589661062458E-14</v>
      </c>
      <c r="CN128" s="24">
        <f t="shared" si="66"/>
        <v>0.90728271181937237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3.3992364478763198E-14</v>
      </c>
      <c r="CV128" s="14">
        <f t="shared" si="95"/>
        <v>5.790027782444094E-13</v>
      </c>
      <c r="CW128" s="22">
        <f t="shared" si="67"/>
        <v>1.0676332069095257E-12</v>
      </c>
      <c r="CX128" s="62">
        <f t="shared" si="68"/>
        <v>293.33333333333439</v>
      </c>
      <c r="CY128" s="62">
        <f ca="1">AVERAGE(OFFSET($CX$3,0,0,'Données projet'!$E$13+1,1))-AVERAGE(OFFSET($H$3,0,0,'Données projet'!$E$13+1,1))</f>
        <v>163.03280205647224</v>
      </c>
      <c r="CZ128" s="62">
        <f t="shared" si="96"/>
        <v>277.12388047243826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16.668471859993158</v>
      </c>
      <c r="DG128" s="23">
        <f>EXP(-LN(2)/25)*DG127+(1-EXP(-LN(2)/25))/(LN(2)/25)*Calculateur!DB128*Calculateur!DD128*VLOOKUP('Données projet'!$B$13,Paramètres!$A$1:$I$89,3,0)*0.475*44/12</f>
        <v>0.24001173085814412</v>
      </c>
      <c r="DH128" s="23">
        <f>EXP(-LN(2)/2)*DH127+(1-EXP(-LN(2)/2))/(LN(2)/2)*DB128*DE128*VLOOKUP('Données projet'!$B$13,Paramètres!$A$1:$I$89,3,0)*0.475*44/12</f>
        <v>5.5343555446568928E-12</v>
      </c>
      <c r="DI128" s="24">
        <f t="shared" si="69"/>
        <v>16.908483590856836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-4.9658410716801891E-14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188.31046827337082</v>
      </c>
      <c r="T129" s="62">
        <f t="shared" si="88"/>
        <v>207.32535726327728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310.95287409903602</v>
      </c>
      <c r="AO129" s="62">
        <f t="shared" si="90"/>
        <v>224.10083380795163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-1.2710188457276673E-13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382.55387448074327</v>
      </c>
      <c r="BJ129" s="62">
        <f t="shared" si="92"/>
        <v>476.29465646955543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1.2695285363988045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1.0931238284144872E-13</v>
      </c>
      <c r="BS129" s="24">
        <f t="shared" si="63"/>
        <v>1.2695285363989137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287.69656598881124</v>
      </c>
      <c r="CE129" s="62">
        <f t="shared" si="94"/>
        <v>221.9773436301067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0.88949145122832685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5.7259802773478924E-14</v>
      </c>
      <c r="CN129" s="24">
        <f t="shared" si="66"/>
        <v>0.88949145122838413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3.3992364478763198E-14</v>
      </c>
      <c r="CV129" s="14">
        <f t="shared" si="95"/>
        <v>5.790027782444094E-13</v>
      </c>
      <c r="CW129" s="22">
        <f t="shared" si="67"/>
        <v>1.0676332069095257E-12</v>
      </c>
      <c r="CX129" s="62">
        <f t="shared" si="68"/>
        <v>293.33333333333439</v>
      </c>
      <c r="CY129" s="62">
        <f ca="1">AVERAGE(OFFSET($CX$3,0,0,'Données projet'!$E$13+1,1))-AVERAGE(OFFSET($H$3,0,0,'Données projet'!$E$13+1,1))</f>
        <v>163.03280205647224</v>
      </c>
      <c r="CZ129" s="62">
        <f t="shared" si="96"/>
        <v>277.12388047243826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16.341613293582643</v>
      </c>
      <c r="DG129" s="23">
        <f>EXP(-LN(2)/25)*DG128+(1-EXP(-LN(2)/25))/(LN(2)/25)*Calculateur!DB129*Calculateur!DD129*VLOOKUP('Données projet'!$B$13,Paramètres!$A$1:$I$89,3,0)*0.475*44/12</f>
        <v>0.23344859745615978</v>
      </c>
      <c r="DH129" s="23">
        <f>EXP(-LN(2)/2)*DH128+(1-EXP(-LN(2)/2))/(LN(2)/2)*DB129*DE129*VLOOKUP('Données projet'!$B$13,Paramètres!$A$1:$I$89,3,0)*0.475*44/12</f>
        <v>3.9133803351242575E-12</v>
      </c>
      <c r="DI129" s="24">
        <f t="shared" si="69"/>
        <v>16.575061891042719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-4.9658410716801891E-14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188.31046827337082</v>
      </c>
      <c r="T130" s="62">
        <f t="shared" si="88"/>
        <v>207.32535726327728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310.95287409903602</v>
      </c>
      <c r="AO130" s="62">
        <f t="shared" si="90"/>
        <v>224.10083380795163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-1.2710188457276673E-13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382.55387448074327</v>
      </c>
      <c r="BJ130" s="62">
        <f t="shared" si="92"/>
        <v>476.29465646955543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1.2446338561359718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7.7295527174848394E-14</v>
      </c>
      <c r="BS130" s="24">
        <f t="shared" si="63"/>
        <v>1.244633856136049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287.69656598881124</v>
      </c>
      <c r="CE130" s="62">
        <f t="shared" si="94"/>
        <v>221.9773436301067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0.87204906640595359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4.0488794830531229E-14</v>
      </c>
      <c r="CN130" s="24">
        <f t="shared" si="66"/>
        <v>0.87204906640599411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3.3992364478763198E-14</v>
      </c>
      <c r="CV130" s="14">
        <f t="shared" si="95"/>
        <v>5.790027782444094E-13</v>
      </c>
      <c r="CW130" s="22">
        <f t="shared" si="67"/>
        <v>1.0676332069095257E-12</v>
      </c>
      <c r="CX130" s="62">
        <f t="shared" si="68"/>
        <v>293.33333333333439</v>
      </c>
      <c r="CY130" s="62">
        <f ca="1">AVERAGE(OFFSET($CX$3,0,0,'Données projet'!$E$13+1,1))-AVERAGE(OFFSET($H$3,0,0,'Données projet'!$E$13+1,1))</f>
        <v>163.03280205647224</v>
      </c>
      <c r="CZ130" s="62">
        <f t="shared" si="96"/>
        <v>277.12388047243826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16.021164224295397</v>
      </c>
      <c r="DG130" s="23">
        <f>EXP(-LN(2)/25)*DG129+(1-EXP(-LN(2)/25))/(LN(2)/25)*Calculateur!DB130*Calculateur!DD130*VLOOKUP('Données projet'!$B$13,Paramètres!$A$1:$I$89,3,0)*0.475*44/12</f>
        <v>0.2270649332821929</v>
      </c>
      <c r="DH130" s="23">
        <f>EXP(-LN(2)/2)*DH129+(1-EXP(-LN(2)/2))/(LN(2)/2)*DB130*DE130*VLOOKUP('Données projet'!$B$13,Paramètres!$A$1:$I$89,3,0)*0.475*44/12</f>
        <v>2.7671777723284464E-12</v>
      </c>
      <c r="DI130" s="24">
        <f t="shared" si="69"/>
        <v>16.248229157580358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-4.9658410716801891E-14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188.31046827337082</v>
      </c>
      <c r="T131" s="62">
        <f t="shared" si="88"/>
        <v>207.32535726327728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310.95287409903602</v>
      </c>
      <c r="AO131" s="62">
        <f t="shared" si="90"/>
        <v>224.10083380795163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-1.2710188457276673E-13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382.55387448074327</v>
      </c>
      <c r="BJ131" s="62">
        <f t="shared" si="92"/>
        <v>476.29465646955543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1.2202273453688377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5.4656191420724362E-14</v>
      </c>
      <c r="BS131" s="24">
        <f t="shared" si="63"/>
        <v>1.2202273453688923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287.69656598881124</v>
      </c>
      <c r="CE131" s="62">
        <f t="shared" si="94"/>
        <v>221.9773436301067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0.85494871611114287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2.8629901386739462E-14</v>
      </c>
      <c r="CN131" s="24">
        <f t="shared" si="66"/>
        <v>0.85494871611117151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3.3992364478763198E-14</v>
      </c>
      <c r="CV131" s="14">
        <f t="shared" si="95"/>
        <v>5.790027782444094E-13</v>
      </c>
      <c r="CW131" s="22">
        <f t="shared" si="67"/>
        <v>1.0676332069095257E-12</v>
      </c>
      <c r="CX131" s="62">
        <f t="shared" si="68"/>
        <v>293.33333333333439</v>
      </c>
      <c r="CY131" s="62">
        <f ca="1">AVERAGE(OFFSET($CX$3,0,0,'Données projet'!$E$13+1,1))-AVERAGE(OFFSET($H$3,0,0,'Données projet'!$E$13+1,1))</f>
        <v>163.03280205647224</v>
      </c>
      <c r="CZ131" s="62">
        <f t="shared" si="96"/>
        <v>277.12388047243826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15.706998965802242</v>
      </c>
      <c r="DG131" s="23">
        <f>EXP(-LN(2)/25)*DG130+(1-EXP(-LN(2)/25))/(LN(2)/25)*Calculateur!DB131*Calculateur!DD131*VLOOKUP('Données projet'!$B$13,Paramètres!$A$1:$I$89,3,0)*0.475*44/12</f>
        <v>0.22085583074076545</v>
      </c>
      <c r="DH131" s="23">
        <f>EXP(-LN(2)/2)*DH130+(1-EXP(-LN(2)/2))/(LN(2)/2)*DB131*DE131*VLOOKUP('Données projet'!$B$13,Paramètres!$A$1:$I$89,3,0)*0.475*44/12</f>
        <v>1.9566901675621288E-12</v>
      </c>
      <c r="DI131" s="24">
        <f t="shared" si="69"/>
        <v>15.927854796544965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-4.9658410716801891E-14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188.31046827337082</v>
      </c>
      <c r="T132" s="62">
        <f t="shared" si="88"/>
        <v>207.32535726327728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310.95287409903602</v>
      </c>
      <c r="AO132" s="62">
        <f t="shared" si="90"/>
        <v>224.10083380795163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-1.2710188457276673E-13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382.55387448074327</v>
      </c>
      <c r="BJ132" s="62">
        <f t="shared" si="92"/>
        <v>476.29465646955543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1.1962994313913453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3.8647763587424197E-14</v>
      </c>
      <c r="BS132" s="24">
        <f t="shared" ref="BS132:BS153" si="117">SUM(BP132:BR132)</f>
        <v>1.1962994313913839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287.69656598881124</v>
      </c>
      <c r="CE132" s="62">
        <f t="shared" si="94"/>
        <v>221.9773436301067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0.83818369325542963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2.0244397415265614E-14</v>
      </c>
      <c r="CN132" s="24">
        <f t="shared" ref="CN132:CN153" si="120">SUM(CK132:CM132)</f>
        <v>0.83818369325544984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3.3992364478763198E-14</v>
      </c>
      <c r="CV132" s="14">
        <f t="shared" si="95"/>
        <v>5.790027782444094E-13</v>
      </c>
      <c r="CW132" s="22">
        <f t="shared" ref="CW132:CW153" si="121">(CU132+CV132)*0.475*44/12</f>
        <v>1.0676332069095257E-12</v>
      </c>
      <c r="CX132" s="62">
        <f t="shared" ref="CX132:CX195" si="122">CW132+(CO132+CP132)*44/12</f>
        <v>293.33333333333439</v>
      </c>
      <c r="CY132" s="62">
        <f ca="1">AVERAGE(OFFSET($CX$3,0,0,'Données projet'!$E$13+1,1))-AVERAGE(OFFSET($H$3,0,0,'Données projet'!$E$13+1,1))</f>
        <v>163.03280205647224</v>
      </c>
      <c r="CZ132" s="62">
        <f t="shared" si="96"/>
        <v>277.12388047243826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15.398994296406251</v>
      </c>
      <c r="DG132" s="23">
        <f>EXP(-LN(2)/25)*DG131+(1-EXP(-LN(2)/25))/(LN(2)/25)*Calculateur!DB132*Calculateur!DD132*VLOOKUP('Données projet'!$B$13,Paramètres!$A$1:$I$89,3,0)*0.475*44/12</f>
        <v>0.21481651643485586</v>
      </c>
      <c r="DH132" s="23">
        <f>EXP(-LN(2)/2)*DH131+(1-EXP(-LN(2)/2))/(LN(2)/2)*DB132*DE132*VLOOKUP('Données projet'!$B$13,Paramètres!$A$1:$I$89,3,0)*0.475*44/12</f>
        <v>1.3835888861642232E-12</v>
      </c>
      <c r="DI132" s="24">
        <f t="shared" ref="DI132:DI153" si="123">SUM(DF132:DH132)</f>
        <v>15.613810812842491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188.31046827337082</v>
      </c>
      <c r="T133" s="62">
        <f t="shared" ref="T133:T196" si="142">$T$3</f>
        <v>207.32535726327728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310.95287409903602</v>
      </c>
      <c r="AO133" s="62">
        <f t="shared" ref="AO133:AO196" si="144">$AO$3</f>
        <v>224.10083380795163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-1.2710188457276673E-13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382.55387448074327</v>
      </c>
      <c r="BJ133" s="62">
        <f t="shared" ref="BJ133:BJ196" si="146">$BJ$3</f>
        <v>476.29465646955543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1.1728407292123653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2.7328095710362181E-14</v>
      </c>
      <c r="BS133" s="24">
        <f t="shared" si="117"/>
        <v>1.1728407292123926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287.69656598881124</v>
      </c>
      <c r="CE133" s="62">
        <f t="shared" ref="CE133:CE196" si="148">$CE$3</f>
        <v>221.9773436301067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0.82174742227226261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1.4314950693369731E-14</v>
      </c>
      <c r="CN133" s="24">
        <f t="shared" si="120"/>
        <v>0.82174742227227693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3.3992364478763198E-14</v>
      </c>
      <c r="CV133" s="14">
        <f t="shared" ref="CV133:CV153" si="149">EXP(-1.0587+0.8836*LN(CU133)+0.284)</f>
        <v>5.790027782444094E-13</v>
      </c>
      <c r="CW133" s="22">
        <f t="shared" si="121"/>
        <v>1.0676332069095257E-12</v>
      </c>
      <c r="CX133" s="62">
        <f t="shared" si="122"/>
        <v>293.33333333333439</v>
      </c>
      <c r="CY133" s="62">
        <f ca="1">AVERAGE(OFFSET($CX$3,0,0,'Données projet'!$E$13+1,1))-AVERAGE(OFFSET($H$3,0,0,'Données projet'!$E$13+1,1))</f>
        <v>163.03280205647224</v>
      </c>
      <c r="CZ133" s="62">
        <f t="shared" ref="CZ133:CZ196" si="150">$CZ$3</f>
        <v>277.12388047243826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15.097029410712816</v>
      </c>
      <c r="DG133" s="23">
        <f>EXP(-LN(2)/25)*DG132+(1-EXP(-LN(2)/25))/(LN(2)/25)*Calculateur!DB133*Calculateur!DD133*VLOOKUP('Données projet'!$B$13,Paramètres!$A$1:$I$89,3,0)*0.475*44/12</f>
        <v>0.20894234749623511</v>
      </c>
      <c r="DH133" s="23">
        <f>EXP(-LN(2)/2)*DH132+(1-EXP(-LN(2)/2))/(LN(2)/2)*DB133*DE133*VLOOKUP('Données projet'!$B$13,Paramètres!$A$1:$I$89,3,0)*0.475*44/12</f>
        <v>9.7834508378106438E-13</v>
      </c>
      <c r="DI133" s="24">
        <f t="shared" si="123"/>
        <v>15.305971758210029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188.31046827337082</v>
      </c>
      <c r="T134" s="62">
        <f t="shared" si="142"/>
        <v>207.32535726327728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310.95287409903602</v>
      </c>
      <c r="AO134" s="62">
        <f t="shared" si="144"/>
        <v>224.10083380795163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-1.2710188457276673E-13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382.55387448074327</v>
      </c>
      <c r="BJ134" s="62">
        <f t="shared" si="146"/>
        <v>476.29465646955543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1.1498420378747194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1.9323881793712099E-14</v>
      </c>
      <c r="BS134" s="24">
        <f t="shared" si="117"/>
        <v>1.1498420378747387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287.69656598881124</v>
      </c>
      <c r="CE134" s="62">
        <f t="shared" si="148"/>
        <v>221.9773436301067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0.80563345653794016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1.0122198707632807E-14</v>
      </c>
      <c r="CN134" s="24">
        <f t="shared" si="120"/>
        <v>0.80563345653795027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3.3992364478763198E-14</v>
      </c>
      <c r="CV134" s="14">
        <f t="shared" si="149"/>
        <v>5.790027782444094E-13</v>
      </c>
      <c r="CW134" s="22">
        <f t="shared" si="121"/>
        <v>1.0676332069095257E-12</v>
      </c>
      <c r="CX134" s="62">
        <f t="shared" si="122"/>
        <v>293.33333333333439</v>
      </c>
      <c r="CY134" s="62">
        <f ca="1">AVERAGE(OFFSET($CX$3,0,0,'Données projet'!$E$13+1,1))-AVERAGE(OFFSET($H$3,0,0,'Données projet'!$E$13+1,1))</f>
        <v>163.03280205647224</v>
      </c>
      <c r="CZ134" s="62">
        <f t="shared" si="150"/>
        <v>277.12388047243826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14.800985872247436</v>
      </c>
      <c r="DG134" s="23">
        <f>EXP(-LN(2)/25)*DG133+(1-EXP(-LN(2)/25))/(LN(2)/25)*Calculateur!DB134*Calculateur!DD134*VLOOKUP('Données projet'!$B$13,Paramètres!$A$1:$I$89,3,0)*0.475*44/12</f>
        <v>0.20322880801615004</v>
      </c>
      <c r="DH134" s="23">
        <f>EXP(-LN(2)/2)*DH133+(1-EXP(-LN(2)/2))/(LN(2)/2)*DB134*DE134*VLOOKUP('Données projet'!$B$13,Paramètres!$A$1:$I$89,3,0)*0.475*44/12</f>
        <v>6.917944430821116E-13</v>
      </c>
      <c r="DI134" s="24">
        <f t="shared" si="123"/>
        <v>15.004214680264276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188.31046827337082</v>
      </c>
      <c r="T135" s="62">
        <f t="shared" si="142"/>
        <v>207.32535726327728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310.95287409903602</v>
      </c>
      <c r="AO135" s="62">
        <f t="shared" si="144"/>
        <v>224.10083380795163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-1.2710188457276673E-13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382.55387448074327</v>
      </c>
      <c r="BJ135" s="62">
        <f t="shared" si="146"/>
        <v>476.29465646955543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1.1272943368463881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1.3664047855181091E-14</v>
      </c>
      <c r="BS135" s="24">
        <f t="shared" si="117"/>
        <v>1.1272943368464019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287.69656598881124</v>
      </c>
      <c r="CE135" s="62">
        <f t="shared" si="148"/>
        <v>221.9773436301067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0.78983547584311908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7.1574753466848654E-15</v>
      </c>
      <c r="CN135" s="24">
        <f t="shared" si="120"/>
        <v>0.78983547584312619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3.3992364478763198E-14</v>
      </c>
      <c r="CV135" s="14">
        <f t="shared" si="149"/>
        <v>5.790027782444094E-13</v>
      </c>
      <c r="CW135" s="22">
        <f t="shared" si="121"/>
        <v>1.0676332069095257E-12</v>
      </c>
      <c r="CX135" s="62">
        <f t="shared" si="122"/>
        <v>293.33333333333439</v>
      </c>
      <c r="CY135" s="62">
        <f ca="1">AVERAGE(OFFSET($CX$3,0,0,'Données projet'!$E$13+1,1))-AVERAGE(OFFSET($H$3,0,0,'Données projet'!$E$13+1,1))</f>
        <v>163.03280205647224</v>
      </c>
      <c r="CZ135" s="62">
        <f t="shared" si="150"/>
        <v>277.12388047243826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14.510747567002634</v>
      </c>
      <c r="DG135" s="23">
        <f>EXP(-LN(2)/25)*DG134+(1-EXP(-LN(2)/25))/(LN(2)/25)*Calculateur!DB135*Calculateur!DD135*VLOOKUP('Données projet'!$B$13,Paramètres!$A$1:$I$89,3,0)*0.475*44/12</f>
        <v>0.19767150557360988</v>
      </c>
      <c r="DH135" s="23">
        <f>EXP(-LN(2)/2)*DH134+(1-EXP(-LN(2)/2))/(LN(2)/2)*DB135*DE135*VLOOKUP('Données projet'!$B$13,Paramètres!$A$1:$I$89,3,0)*0.475*44/12</f>
        <v>4.8917254189053219E-13</v>
      </c>
      <c r="DI135" s="24">
        <f t="shared" si="123"/>
        <v>14.708419072576731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188.31046827337082</v>
      </c>
      <c r="T136" s="62">
        <f t="shared" si="142"/>
        <v>207.32535726327728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310.95287409903602</v>
      </c>
      <c r="AO136" s="62">
        <f t="shared" si="144"/>
        <v>224.10083380795163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-1.2710188457276673E-13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382.55387448074327</v>
      </c>
      <c r="BJ136" s="62">
        <f t="shared" si="146"/>
        <v>476.29465646955543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1.1051887824824829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9.6619408968560493E-15</v>
      </c>
      <c r="BS136" s="24">
        <f t="shared" si="117"/>
        <v>1.1051887824824926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287.69656598881124</v>
      </c>
      <c r="CE136" s="62">
        <f t="shared" si="148"/>
        <v>221.9773436301067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0.77434728391390673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5.0610993538164036E-15</v>
      </c>
      <c r="CN136" s="24">
        <f t="shared" si="120"/>
        <v>0.77434728391391183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3.3992364478763198E-14</v>
      </c>
      <c r="CV136" s="14">
        <f t="shared" si="149"/>
        <v>5.790027782444094E-13</v>
      </c>
      <c r="CW136" s="22">
        <f t="shared" si="121"/>
        <v>1.0676332069095257E-12</v>
      </c>
      <c r="CX136" s="62">
        <f t="shared" si="122"/>
        <v>293.33333333333439</v>
      </c>
      <c r="CY136" s="62">
        <f ca="1">AVERAGE(OFFSET($CX$3,0,0,'Données projet'!$E$13+1,1))-AVERAGE(OFFSET($H$3,0,0,'Données projet'!$E$13+1,1))</f>
        <v>163.03280205647224</v>
      </c>
      <c r="CZ136" s="62">
        <f t="shared" si="150"/>
        <v>277.12388047243826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14.226200657895795</v>
      </c>
      <c r="DG136" s="23">
        <f>EXP(-LN(2)/25)*DG135+(1-EXP(-LN(2)/25))/(LN(2)/25)*Calculateur!DB136*Calculateur!DD136*VLOOKUP('Données projet'!$B$13,Paramètres!$A$1:$I$89,3,0)*0.475*44/12</f>
        <v>0.19226616785860681</v>
      </c>
      <c r="DH136" s="23">
        <f>EXP(-LN(2)/2)*DH135+(1-EXP(-LN(2)/2))/(LN(2)/2)*DB136*DE136*VLOOKUP('Données projet'!$B$13,Paramètres!$A$1:$I$89,3,0)*0.475*44/12</f>
        <v>3.458972215410558E-13</v>
      </c>
      <c r="DI136" s="24">
        <f t="shared" si="123"/>
        <v>14.418466825754749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188.31046827337082</v>
      </c>
      <c r="T137" s="62">
        <f t="shared" si="142"/>
        <v>207.32535726327728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310.95287409903602</v>
      </c>
      <c r="AO137" s="62">
        <f t="shared" si="144"/>
        <v>224.10083380795163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-1.2710188457276673E-13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382.55387448074327</v>
      </c>
      <c r="BJ137" s="62">
        <f t="shared" si="146"/>
        <v>476.29465646955543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1.083516704556597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6.8320239275905453E-15</v>
      </c>
      <c r="BS137" s="24">
        <f t="shared" si="117"/>
        <v>1.0835167045566039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287.69656598881124</v>
      </c>
      <c r="CE137" s="62">
        <f t="shared" si="148"/>
        <v>221.9773436301067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0.75916280598156194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3.5787376733424327E-15</v>
      </c>
      <c r="CN137" s="24">
        <f t="shared" si="120"/>
        <v>0.75916280598156549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3.3992364478763198E-14</v>
      </c>
      <c r="CV137" s="14">
        <f t="shared" si="149"/>
        <v>5.790027782444094E-13</v>
      </c>
      <c r="CW137" s="22">
        <f t="shared" si="121"/>
        <v>1.0676332069095257E-12</v>
      </c>
      <c r="CX137" s="62">
        <f t="shared" si="122"/>
        <v>293.33333333333439</v>
      </c>
      <c r="CY137" s="62">
        <f ca="1">AVERAGE(OFFSET($CX$3,0,0,'Données projet'!$E$13+1,1))-AVERAGE(OFFSET($H$3,0,0,'Données projet'!$E$13+1,1))</f>
        <v>163.03280205647224</v>
      </c>
      <c r="CZ137" s="62">
        <f t="shared" si="150"/>
        <v>277.12388047243826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13.947233540120065</v>
      </c>
      <c r="DG137" s="23">
        <f>EXP(-LN(2)/25)*DG136+(1-EXP(-LN(2)/25))/(LN(2)/25)*Calculateur!DB137*Calculateur!DD137*VLOOKUP('Données projet'!$B$13,Paramètres!$A$1:$I$89,3,0)*0.475*44/12</f>
        <v>0.18700863938767487</v>
      </c>
      <c r="DH137" s="23">
        <f>EXP(-LN(2)/2)*DH136+(1-EXP(-LN(2)/2))/(LN(2)/2)*DB137*DE137*VLOOKUP('Données projet'!$B$13,Paramètres!$A$1:$I$89,3,0)*0.475*44/12</f>
        <v>2.445862709452661E-13</v>
      </c>
      <c r="DI137" s="24">
        <f t="shared" si="123"/>
        <v>14.134242179507986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188.31046827337082</v>
      </c>
      <c r="T138" s="62">
        <f t="shared" si="142"/>
        <v>207.32535726327728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310.95287409903602</v>
      </c>
      <c r="AO138" s="62">
        <f t="shared" si="144"/>
        <v>224.10083380795163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-1.2710188457276673E-13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382.55387448074327</v>
      </c>
      <c r="BJ138" s="62">
        <f t="shared" si="146"/>
        <v>476.29465646955543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1.0622696028601755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4.8309704484280247E-15</v>
      </c>
      <c r="BS138" s="24">
        <f t="shared" si="117"/>
        <v>1.0622696028601804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287.69656598881124</v>
      </c>
      <c r="CE138" s="62">
        <f t="shared" si="148"/>
        <v>221.9773436301067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0.74427608639985343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2.5305496769082018E-15</v>
      </c>
      <c r="CN138" s="24">
        <f t="shared" si="120"/>
        <v>0.74427608639985599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3.3992364478763198E-14</v>
      </c>
      <c r="CV138" s="14">
        <f t="shared" si="149"/>
        <v>5.790027782444094E-13</v>
      </c>
      <c r="CW138" s="22">
        <f t="shared" si="121"/>
        <v>1.0676332069095257E-12</v>
      </c>
      <c r="CX138" s="62">
        <f t="shared" si="122"/>
        <v>293.33333333333439</v>
      </c>
      <c r="CY138" s="62">
        <f ca="1">AVERAGE(OFFSET($CX$3,0,0,'Données projet'!$E$13+1,1))-AVERAGE(OFFSET($H$3,0,0,'Données projet'!$E$13+1,1))</f>
        <v>163.03280205647224</v>
      </c>
      <c r="CZ138" s="62">
        <f t="shared" si="150"/>
        <v>277.12388047243826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13.673736797370776</v>
      </c>
      <c r="DG138" s="23">
        <f>EXP(-LN(2)/25)*DG137+(1-EXP(-LN(2)/25))/(LN(2)/25)*Calculateur!DB138*Calculateur!DD138*VLOOKUP('Données projet'!$B$13,Paramètres!$A$1:$I$89,3,0)*0.475*44/12</f>
        <v>0.18189487830926196</v>
      </c>
      <c r="DH138" s="23">
        <f>EXP(-LN(2)/2)*DH137+(1-EXP(-LN(2)/2))/(LN(2)/2)*DB138*DE138*VLOOKUP('Données projet'!$B$13,Paramètres!$A$1:$I$89,3,0)*0.475*44/12</f>
        <v>1.729486107705279E-13</v>
      </c>
      <c r="DI138" s="24">
        <f t="shared" si="123"/>
        <v>13.855631675680209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188.31046827337082</v>
      </c>
      <c r="T139" s="62">
        <f t="shared" si="142"/>
        <v>207.32535726327728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310.95287409903602</v>
      </c>
      <c r="AO139" s="62">
        <f t="shared" si="144"/>
        <v>224.10083380795163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-1.2710188457276673E-13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382.55387448074327</v>
      </c>
      <c r="BJ139" s="62">
        <f t="shared" si="146"/>
        <v>476.29465646955543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1.0414391438685684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3.4160119637952726E-15</v>
      </c>
      <c r="BS139" s="24">
        <f t="shared" si="117"/>
        <v>1.0414391438685717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287.69656598881124</v>
      </c>
      <c r="CE139" s="62">
        <f t="shared" si="148"/>
        <v>221.9773436301067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0.72968128630913986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1.7893688366712164E-15</v>
      </c>
      <c r="CN139" s="24">
        <f t="shared" si="120"/>
        <v>0.72968128630914164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3.3992364478763198E-14</v>
      </c>
      <c r="CV139" s="14">
        <f t="shared" si="149"/>
        <v>5.790027782444094E-13</v>
      </c>
      <c r="CW139" s="22">
        <f t="shared" si="121"/>
        <v>1.0676332069095257E-12</v>
      </c>
      <c r="CX139" s="62">
        <f t="shared" si="122"/>
        <v>293.33333333333439</v>
      </c>
      <c r="CY139" s="62">
        <f ca="1">AVERAGE(OFFSET($CX$3,0,0,'Données projet'!$E$13+1,1))-AVERAGE(OFFSET($H$3,0,0,'Données projet'!$E$13+1,1))</f>
        <v>163.03280205647224</v>
      </c>
      <c r="CZ139" s="62">
        <f t="shared" si="150"/>
        <v>277.12388047243826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13.405603158930258</v>
      </c>
      <c r="DG139" s="23">
        <f>EXP(-LN(2)/25)*DG138+(1-EXP(-LN(2)/25))/(LN(2)/25)*Calculateur!DB139*Calculateur!DD139*VLOOKUP('Données projet'!$B$13,Paramètres!$A$1:$I$89,3,0)*0.475*44/12</f>
        <v>0.17692095329645927</v>
      </c>
      <c r="DH139" s="23">
        <f>EXP(-LN(2)/2)*DH138+(1-EXP(-LN(2)/2))/(LN(2)/2)*DB139*DE139*VLOOKUP('Données projet'!$B$13,Paramètres!$A$1:$I$89,3,0)*0.475*44/12</f>
        <v>1.2229313547263305E-13</v>
      </c>
      <c r="DI139" s="24">
        <f t="shared" si="123"/>
        <v>13.582524112226841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188.31046827337082</v>
      </c>
      <c r="T140" s="62">
        <f t="shared" si="142"/>
        <v>207.32535726327728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310.95287409903602</v>
      </c>
      <c r="AO140" s="62">
        <f t="shared" si="144"/>
        <v>224.10083380795163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-1.2710188457276673E-13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382.55387448074327</v>
      </c>
      <c r="BJ140" s="62">
        <f t="shared" si="146"/>
        <v>476.29465646955543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1.0210171574724611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2.4154852242140123E-15</v>
      </c>
      <c r="BS140" s="24">
        <f t="shared" si="117"/>
        <v>1.0210171574724636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287.69656598881124</v>
      </c>
      <c r="CE140" s="62">
        <f t="shared" si="148"/>
        <v>221.9773436301067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0.71537268134625609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1.2652748384541009E-15</v>
      </c>
      <c r="CN140" s="24">
        <f t="shared" si="120"/>
        <v>0.71537268134625731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3.3992364478763198E-14</v>
      </c>
      <c r="CV140" s="14">
        <f t="shared" si="149"/>
        <v>5.790027782444094E-13</v>
      </c>
      <c r="CW140" s="22">
        <f t="shared" si="121"/>
        <v>1.0676332069095257E-12</v>
      </c>
      <c r="CX140" s="62">
        <f t="shared" si="122"/>
        <v>293.33333333333439</v>
      </c>
      <c r="CY140" s="62">
        <f ca="1">AVERAGE(OFFSET($CX$3,0,0,'Données projet'!$E$13+1,1))-AVERAGE(OFFSET($H$3,0,0,'Données projet'!$E$13+1,1))</f>
        <v>163.03280205647224</v>
      </c>
      <c r="CZ140" s="62">
        <f t="shared" si="150"/>
        <v>277.12388047243826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13.142727457594189</v>
      </c>
      <c r="DG140" s="23">
        <f>EXP(-LN(2)/25)*DG139+(1-EXP(-LN(2)/25))/(LN(2)/25)*Calculateur!DB140*Calculateur!DD140*VLOOKUP('Données projet'!$B$13,Paramètres!$A$1:$I$89,3,0)*0.475*44/12</f>
        <v>0.172083040524699</v>
      </c>
      <c r="DH140" s="23">
        <f>EXP(-LN(2)/2)*DH139+(1-EXP(-LN(2)/2))/(LN(2)/2)*DB140*DE140*VLOOKUP('Données projet'!$B$13,Paramètres!$A$1:$I$89,3,0)*0.475*44/12</f>
        <v>8.647430538526395E-14</v>
      </c>
      <c r="DI140" s="24">
        <f t="shared" si="123"/>
        <v>13.314810498118975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188.31046827337082</v>
      </c>
      <c r="T141" s="62">
        <f t="shared" si="142"/>
        <v>207.32535726327728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310.95287409903602</v>
      </c>
      <c r="AO141" s="62">
        <f t="shared" si="144"/>
        <v>224.10083380795163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-1.2710188457276673E-13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382.55387448074327</v>
      </c>
      <c r="BJ141" s="62">
        <f t="shared" si="146"/>
        <v>476.29465646955543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1.0009956337733998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1.7080059818976363E-15</v>
      </c>
      <c r="BS141" s="24">
        <f t="shared" si="117"/>
        <v>1.0009956337734016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287.69656598881124</v>
      </c>
      <c r="CE141" s="62">
        <f t="shared" si="148"/>
        <v>221.9773436301067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0.70134465939930724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8.9468441833560818E-16</v>
      </c>
      <c r="CN141" s="24">
        <f t="shared" si="120"/>
        <v>0.70134465939930812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3.3992364478763198E-14</v>
      </c>
      <c r="CV141" s="14">
        <f t="shared" si="149"/>
        <v>5.790027782444094E-13</v>
      </c>
      <c r="CW141" s="22">
        <f t="shared" si="121"/>
        <v>1.0676332069095257E-12</v>
      </c>
      <c r="CX141" s="62">
        <f t="shared" si="122"/>
        <v>293.33333333333439</v>
      </c>
      <c r="CY141" s="62">
        <f ca="1">AVERAGE(OFFSET($CX$3,0,0,'Données projet'!$E$13+1,1))-AVERAGE(OFFSET($H$3,0,0,'Données projet'!$E$13+1,1))</f>
        <v>163.03280205647224</v>
      </c>
      <c r="CZ141" s="62">
        <f t="shared" si="150"/>
        <v>277.12388047243826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12.885006588422975</v>
      </c>
      <c r="DG141" s="23">
        <f>EXP(-LN(2)/25)*DG140+(1-EXP(-LN(2)/25))/(LN(2)/25)*Calculateur!DB141*Calculateur!DD141*VLOOKUP('Données projet'!$B$13,Paramètres!$A$1:$I$89,3,0)*0.475*44/12</f>
        <v>0.1673774207320973</v>
      </c>
      <c r="DH141" s="23">
        <f>EXP(-LN(2)/2)*DH140+(1-EXP(-LN(2)/2))/(LN(2)/2)*DB141*DE141*VLOOKUP('Données projet'!$B$13,Paramètres!$A$1:$I$89,3,0)*0.475*44/12</f>
        <v>6.1146567736316524E-14</v>
      </c>
      <c r="DI141" s="24">
        <f t="shared" si="123"/>
        <v>13.052384009155134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188.31046827337082</v>
      </c>
      <c r="T142" s="62">
        <f t="shared" si="142"/>
        <v>207.32535726327728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310.95287409903602</v>
      </c>
      <c r="AO142" s="62">
        <f t="shared" si="144"/>
        <v>224.10083380795163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-1.2710188457276673E-13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382.55387448074327</v>
      </c>
      <c r="BJ142" s="62">
        <f t="shared" si="146"/>
        <v>476.29465646955543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0.98136671994215352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1.2077426121070062E-15</v>
      </c>
      <c r="BS142" s="24">
        <f t="shared" si="117"/>
        <v>0.98136671994215474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287.69656598881124</v>
      </c>
      <c r="CE142" s="62">
        <f t="shared" si="148"/>
        <v>221.9773436301067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0.68759171840648947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6.3263741922705045E-16</v>
      </c>
      <c r="CN142" s="24">
        <f t="shared" si="120"/>
        <v>0.68759171840649014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3.3992364478763198E-14</v>
      </c>
      <c r="CV142" s="14">
        <f t="shared" si="149"/>
        <v>5.790027782444094E-13</v>
      </c>
      <c r="CW142" s="22">
        <f t="shared" si="121"/>
        <v>1.0676332069095257E-12</v>
      </c>
      <c r="CX142" s="62">
        <f t="shared" si="122"/>
        <v>293.33333333333439</v>
      </c>
      <c r="CY142" s="62">
        <f ca="1">AVERAGE(OFFSET($CX$3,0,0,'Données projet'!$E$13+1,1))-AVERAGE(OFFSET($H$3,0,0,'Données projet'!$E$13+1,1))</f>
        <v>163.03280205647224</v>
      </c>
      <c r="CZ142" s="62">
        <f t="shared" si="150"/>
        <v>277.12388047243826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12.632339468302</v>
      </c>
      <c r="DG142" s="23">
        <f>EXP(-LN(2)/25)*DG141+(1-EXP(-LN(2)/25))/(LN(2)/25)*Calculateur!DB142*Calculateur!DD142*VLOOKUP('Données projet'!$B$13,Paramètres!$A$1:$I$89,3,0)*0.475*44/12</f>
        <v>0.16280047636018208</v>
      </c>
      <c r="DH142" s="23">
        <f>EXP(-LN(2)/2)*DH141+(1-EXP(-LN(2)/2))/(LN(2)/2)*DB142*DE142*VLOOKUP('Données projet'!$B$13,Paramètres!$A$1:$I$89,3,0)*0.475*44/12</f>
        <v>4.3237152692631975E-14</v>
      </c>
      <c r="DI142" s="24">
        <f t="shared" si="123"/>
        <v>12.795139944662225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188.31046827337082</v>
      </c>
      <c r="T143" s="62">
        <f t="shared" si="142"/>
        <v>207.32535726327728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310.95287409903602</v>
      </c>
      <c r="AO143" s="62">
        <f t="shared" si="144"/>
        <v>224.10083380795163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-1.2710188457276673E-13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382.55387448074327</v>
      </c>
      <c r="BJ143" s="62">
        <f t="shared" si="146"/>
        <v>476.29465646955543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0.96212271713868269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8.5400299094881816E-16</v>
      </c>
      <c r="BS143" s="24">
        <f t="shared" si="117"/>
        <v>0.96212271713868358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287.69656598881124</v>
      </c>
      <c r="CE143" s="62">
        <f t="shared" si="148"/>
        <v>221.9773436301067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0.67410846419807513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4.4734220916780409E-16</v>
      </c>
      <c r="CN143" s="24">
        <f t="shared" si="120"/>
        <v>0.67410846419807557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3.3992364478763198E-14</v>
      </c>
      <c r="CV143" s="14">
        <f t="shared" si="149"/>
        <v>5.790027782444094E-13</v>
      </c>
      <c r="CW143" s="22">
        <f t="shared" si="121"/>
        <v>1.0676332069095257E-12</v>
      </c>
      <c r="CX143" s="62">
        <f t="shared" si="122"/>
        <v>293.33333333333439</v>
      </c>
      <c r="CY143" s="62">
        <f ca="1">AVERAGE(OFFSET($CX$3,0,0,'Données projet'!$E$13+1,1))-AVERAGE(OFFSET($H$3,0,0,'Données projet'!$E$13+1,1))</f>
        <v>163.03280205647224</v>
      </c>
      <c r="CZ143" s="62">
        <f t="shared" si="150"/>
        <v>277.12388047243826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12.384626996294871</v>
      </c>
      <c r="DG143" s="23">
        <f>EXP(-LN(2)/25)*DG142+(1-EXP(-LN(2)/25))/(LN(2)/25)*Calculateur!DB143*Calculateur!DD143*VLOOKUP('Données projet'!$B$13,Paramètres!$A$1:$I$89,3,0)*0.475*44/12</f>
        <v>0.15834868877280794</v>
      </c>
      <c r="DH143" s="23">
        <f>EXP(-LN(2)/2)*DH142+(1-EXP(-LN(2)/2))/(LN(2)/2)*DB143*DE143*VLOOKUP('Données projet'!$B$13,Paramètres!$A$1:$I$89,3,0)*0.475*44/12</f>
        <v>3.0573283868158262E-14</v>
      </c>
      <c r="DI143" s="24">
        <f t="shared" si="123"/>
        <v>12.542975685067709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188.31046827337082</v>
      </c>
      <c r="T144" s="62">
        <f t="shared" si="142"/>
        <v>207.32535726327728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310.95287409903602</v>
      </c>
      <c r="AO144" s="62">
        <f t="shared" si="144"/>
        <v>224.10083380795163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-1.2710188457276673E-13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382.55387448074327</v>
      </c>
      <c r="BJ144" s="62">
        <f t="shared" si="146"/>
        <v>476.29465646955543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0.94325607749250528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6.0387130605350308E-16</v>
      </c>
      <c r="BS144" s="24">
        <f t="shared" si="117"/>
        <v>0.94325607749250584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287.69656598881124</v>
      </c>
      <c r="CE144" s="62">
        <f t="shared" si="148"/>
        <v>221.9773436301067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0.66088960838071487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3.1631870961352523E-16</v>
      </c>
      <c r="CN144" s="24">
        <f t="shared" si="120"/>
        <v>0.6608896083807152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3.3992364478763198E-14</v>
      </c>
      <c r="CV144" s="14">
        <f t="shared" si="149"/>
        <v>5.790027782444094E-13</v>
      </c>
      <c r="CW144" s="22">
        <f t="shared" si="121"/>
        <v>1.0676332069095257E-12</v>
      </c>
      <c r="CX144" s="62">
        <f t="shared" si="122"/>
        <v>293.33333333333439</v>
      </c>
      <c r="CY144" s="62">
        <f ca="1">AVERAGE(OFFSET($CX$3,0,0,'Données projet'!$E$13+1,1))-AVERAGE(OFFSET($H$3,0,0,'Données projet'!$E$13+1,1))</f>
        <v>163.03280205647224</v>
      </c>
      <c r="CZ144" s="62">
        <f t="shared" si="150"/>
        <v>277.12388047243826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12.141772014774114</v>
      </c>
      <c r="DG144" s="23">
        <f>EXP(-LN(2)/25)*DG143+(1-EXP(-LN(2)/25))/(LN(2)/25)*Calculateur!DB144*Calculateur!DD144*VLOOKUP('Données projet'!$B$13,Paramètres!$A$1:$I$89,3,0)*0.475*44/12</f>
        <v>0.15401863555111989</v>
      </c>
      <c r="DH144" s="23">
        <f>EXP(-LN(2)/2)*DH143+(1-EXP(-LN(2)/2))/(LN(2)/2)*DB144*DE144*VLOOKUP('Données projet'!$B$13,Paramètres!$A$1:$I$89,3,0)*0.475*44/12</f>
        <v>2.1618576346315987E-14</v>
      </c>
      <c r="DI144" s="24">
        <f t="shared" si="123"/>
        <v>12.295790650325255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188.31046827337082</v>
      </c>
      <c r="T145" s="62">
        <f t="shared" si="142"/>
        <v>207.32535726327728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310.95287409903602</v>
      </c>
      <c r="AO145" s="62">
        <f t="shared" si="144"/>
        <v>224.10083380795163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-1.2710188457276673E-13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382.55387448074327</v>
      </c>
      <c r="BJ145" s="62">
        <f t="shared" si="146"/>
        <v>476.29465646955543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0.92475940114227551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4.2700149547440908E-16</v>
      </c>
      <c r="BS145" s="24">
        <f t="shared" si="117"/>
        <v>0.92475940114227595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287.69656598881124</v>
      </c>
      <c r="CE145" s="62">
        <f t="shared" si="148"/>
        <v>221.9773436301067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0.64792996626322708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2.2367110458390204E-16</v>
      </c>
      <c r="CN145" s="24">
        <f t="shared" si="120"/>
        <v>0.6479299662632273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3.3992364478763198E-14</v>
      </c>
      <c r="CV145" s="14">
        <f t="shared" si="149"/>
        <v>5.790027782444094E-13</v>
      </c>
      <c r="CW145" s="22">
        <f t="shared" si="121"/>
        <v>1.0676332069095257E-12</v>
      </c>
      <c r="CX145" s="62">
        <f t="shared" si="122"/>
        <v>293.33333333333439</v>
      </c>
      <c r="CY145" s="62">
        <f ca="1">AVERAGE(OFFSET($CX$3,0,0,'Données projet'!$E$13+1,1))-AVERAGE(OFFSET($H$3,0,0,'Données projet'!$E$13+1,1))</f>
        <v>163.03280205647224</v>
      </c>
      <c r="CZ145" s="62">
        <f t="shared" si="150"/>
        <v>277.12388047243826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11.903679271314065</v>
      </c>
      <c r="DG145" s="23">
        <f>EXP(-LN(2)/25)*DG144+(1-EXP(-LN(2)/25))/(LN(2)/25)*Calculateur!DB145*Calculateur!DD145*VLOOKUP('Données projet'!$B$13,Paramètres!$A$1:$I$89,3,0)*0.475*44/12</f>
        <v>0.14980698786248647</v>
      </c>
      <c r="DH145" s="23">
        <f>EXP(-LN(2)/2)*DH144+(1-EXP(-LN(2)/2))/(LN(2)/2)*DB145*DE145*VLOOKUP('Données projet'!$B$13,Paramètres!$A$1:$I$89,3,0)*0.475*44/12</f>
        <v>1.5286641934079131E-14</v>
      </c>
      <c r="DI145" s="24">
        <f t="shared" si="123"/>
        <v>12.053486259176568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188.31046827337082</v>
      </c>
      <c r="T146" s="62">
        <f t="shared" si="142"/>
        <v>207.32535726327728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310.95287409903602</v>
      </c>
      <c r="AO146" s="62">
        <f t="shared" si="144"/>
        <v>224.10083380795163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-1.2710188457276673E-13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382.55387448074327</v>
      </c>
      <c r="BJ146" s="62">
        <f t="shared" si="146"/>
        <v>476.29465646955543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0.90662543333341516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3.0193565302675154E-16</v>
      </c>
      <c r="BS146" s="24">
        <f t="shared" si="117"/>
        <v>0.9066254333334155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287.69656598881124</v>
      </c>
      <c r="CE146" s="62">
        <f t="shared" si="148"/>
        <v>221.9773436301067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0.635224454823062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1.5815935480676261E-16</v>
      </c>
      <c r="CN146" s="24">
        <f t="shared" si="120"/>
        <v>0.63522445482306211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3.3992364478763198E-14</v>
      </c>
      <c r="CV146" s="14">
        <f t="shared" si="149"/>
        <v>5.790027782444094E-13</v>
      </c>
      <c r="CW146" s="22">
        <f t="shared" si="121"/>
        <v>1.0676332069095257E-12</v>
      </c>
      <c r="CX146" s="62">
        <f t="shared" si="122"/>
        <v>293.33333333333439</v>
      </c>
      <c r="CY146" s="62">
        <f ca="1">AVERAGE(OFFSET($CX$3,0,0,'Données projet'!$E$13+1,1))-AVERAGE(OFFSET($H$3,0,0,'Données projet'!$E$13+1,1))</f>
        <v>163.03280205647224</v>
      </c>
      <c r="CZ146" s="62">
        <f t="shared" si="150"/>
        <v>277.12388047243826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11.670255381331033</v>
      </c>
      <c r="DG146" s="23">
        <f>EXP(-LN(2)/25)*DG145+(1-EXP(-LN(2)/25))/(LN(2)/25)*Calculateur!DB146*Calculateur!DD146*VLOOKUP('Données projet'!$B$13,Paramètres!$A$1:$I$89,3,0)*0.475*44/12</f>
        <v>0.14571050790137968</v>
      </c>
      <c r="DH146" s="23">
        <f>EXP(-LN(2)/2)*DH145+(1-EXP(-LN(2)/2))/(LN(2)/2)*DB146*DE146*VLOOKUP('Données projet'!$B$13,Paramètres!$A$1:$I$89,3,0)*0.475*44/12</f>
        <v>1.0809288173157994E-14</v>
      </c>
      <c r="DI146" s="24">
        <f t="shared" si="123"/>
        <v>11.815965889232423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188.31046827337082</v>
      </c>
      <c r="T147" s="62">
        <f t="shared" si="142"/>
        <v>207.32535726327728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310.95287409903602</v>
      </c>
      <c r="AO147" s="62">
        <f t="shared" si="144"/>
        <v>224.10083380795163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-1.2710188457276673E-13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382.55387448074327</v>
      </c>
      <c r="BJ147" s="62">
        <f t="shared" si="146"/>
        <v>476.29465646955543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0.88884706157265836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2.1350074773720454E-16</v>
      </c>
      <c r="BS147" s="24">
        <f t="shared" si="117"/>
        <v>0.88884706157265858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287.69656598881124</v>
      </c>
      <c r="CE147" s="62">
        <f t="shared" si="148"/>
        <v>221.9773436301067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0.62276809071264183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1.1183555229195102E-16</v>
      </c>
      <c r="CN147" s="24">
        <f t="shared" si="120"/>
        <v>0.62276809071264194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3.3992364478763198E-14</v>
      </c>
      <c r="CV147" s="14">
        <f t="shared" si="149"/>
        <v>5.790027782444094E-13</v>
      </c>
      <c r="CW147" s="22">
        <f t="shared" si="121"/>
        <v>1.0676332069095257E-12</v>
      </c>
      <c r="CX147" s="62">
        <f t="shared" si="122"/>
        <v>293.33333333333439</v>
      </c>
      <c r="CY147" s="62">
        <f ca="1">AVERAGE(OFFSET($CX$3,0,0,'Données projet'!$E$13+1,1))-AVERAGE(OFFSET($H$3,0,0,'Données projet'!$E$13+1,1))</f>
        <v>163.03280205647224</v>
      </c>
      <c r="CZ147" s="62">
        <f t="shared" si="150"/>
        <v>277.12388047243826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11.441408791456055</v>
      </c>
      <c r="DG147" s="23">
        <f>EXP(-LN(2)/25)*DG146+(1-EXP(-LN(2)/25))/(LN(2)/25)*Calculateur!DB147*Calculateur!DD147*VLOOKUP('Données projet'!$B$13,Paramètres!$A$1:$I$89,3,0)*0.475*44/12</f>
        <v>0.14172604640023387</v>
      </c>
      <c r="DH147" s="23">
        <f>EXP(-LN(2)/2)*DH146+(1-EXP(-LN(2)/2))/(LN(2)/2)*DB147*DE147*VLOOKUP('Données projet'!$B$13,Paramètres!$A$1:$I$89,3,0)*0.475*44/12</f>
        <v>7.6433209670395655E-15</v>
      </c>
      <c r="DI147" s="24">
        <f t="shared" si="123"/>
        <v>11.583134837856296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188.31046827337082</v>
      </c>
      <c r="T148" s="62">
        <f t="shared" si="142"/>
        <v>207.32535726327728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310.95287409903602</v>
      </c>
      <c r="AO148" s="62">
        <f t="shared" si="144"/>
        <v>224.10083380795163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-1.2710188457276673E-13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382.55387448074327</v>
      </c>
      <c r="BJ148" s="62">
        <f t="shared" si="146"/>
        <v>476.29465646955543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0.87141731283839385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1.5096782651337577E-16</v>
      </c>
      <c r="BS148" s="24">
        <f t="shared" si="117"/>
        <v>0.87141731283839396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287.69656598881124</v>
      </c>
      <c r="CE148" s="62">
        <f t="shared" si="148"/>
        <v>221.9773436301067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0.61055598830479507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7.9079677403381306E-17</v>
      </c>
      <c r="CN148" s="24">
        <f t="shared" si="120"/>
        <v>0.61055598830479518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3.3992364478763198E-14</v>
      </c>
      <c r="CV148" s="14">
        <f t="shared" si="149"/>
        <v>5.790027782444094E-13</v>
      </c>
      <c r="CW148" s="22">
        <f t="shared" si="121"/>
        <v>1.0676332069095257E-12</v>
      </c>
      <c r="CX148" s="62">
        <f t="shared" si="122"/>
        <v>293.33333333333439</v>
      </c>
      <c r="CY148" s="62">
        <f ca="1">AVERAGE(OFFSET($CX$3,0,0,'Données projet'!$E$13+1,1))-AVERAGE(OFFSET($H$3,0,0,'Données projet'!$E$13+1,1))</f>
        <v>163.03280205647224</v>
      </c>
      <c r="CZ148" s="62">
        <f t="shared" si="150"/>
        <v>277.12388047243826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11.217049743625889</v>
      </c>
      <c r="DG148" s="23">
        <f>EXP(-LN(2)/25)*DG147+(1-EXP(-LN(2)/25))/(LN(2)/25)*Calculateur!DB148*Calculateur!DD148*VLOOKUP('Données projet'!$B$13,Paramètres!$A$1:$I$89,3,0)*0.475*44/12</f>
        <v>0.13785054020837062</v>
      </c>
      <c r="DH148" s="23">
        <f>EXP(-LN(2)/2)*DH147+(1-EXP(-LN(2)/2))/(LN(2)/2)*DB148*DE148*VLOOKUP('Données projet'!$B$13,Paramètres!$A$1:$I$89,3,0)*0.475*44/12</f>
        <v>5.4046440865789969E-15</v>
      </c>
      <c r="DI148" s="24">
        <f t="shared" si="123"/>
        <v>11.354900283834265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188.31046827337082</v>
      </c>
      <c r="T149" s="62">
        <f t="shared" si="142"/>
        <v>207.32535726327728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310.95287409903602</v>
      </c>
      <c r="AO149" s="62">
        <f t="shared" si="144"/>
        <v>224.10083380795163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-1.2710188457276673E-13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382.55387448074327</v>
      </c>
      <c r="BJ149" s="62">
        <f t="shared" si="146"/>
        <v>476.29465646955543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0.85432935084571138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1.0675037386860227E-16</v>
      </c>
      <c r="BS149" s="24">
        <f t="shared" si="117"/>
        <v>0.85432935084571149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287.69656598881124</v>
      </c>
      <c r="CE149" s="62">
        <f t="shared" si="148"/>
        <v>221.9773436301067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0.59858335777651928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5.5917776145975511E-17</v>
      </c>
      <c r="CN149" s="24">
        <f t="shared" si="120"/>
        <v>0.59858335777651939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3.3992364478763198E-14</v>
      </c>
      <c r="CV149" s="14">
        <f t="shared" si="149"/>
        <v>5.790027782444094E-13</v>
      </c>
      <c r="CW149" s="22">
        <f t="shared" si="121"/>
        <v>1.0676332069095257E-12</v>
      </c>
      <c r="CX149" s="62">
        <f t="shared" si="122"/>
        <v>293.33333333333439</v>
      </c>
      <c r="CY149" s="62">
        <f ca="1">AVERAGE(OFFSET($CX$3,0,0,'Données projet'!$E$13+1,1))-AVERAGE(OFFSET($H$3,0,0,'Données projet'!$E$13+1,1))</f>
        <v>163.03280205647224</v>
      </c>
      <c r="CZ149" s="62">
        <f t="shared" si="150"/>
        <v>277.12388047243826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10.997090239878165</v>
      </c>
      <c r="DG149" s="23">
        <f>EXP(-LN(2)/25)*DG148+(1-EXP(-LN(2)/25))/(LN(2)/25)*Calculateur!DB149*Calculateur!DD149*VLOOKUP('Données projet'!$B$13,Paramètres!$A$1:$I$89,3,0)*0.475*44/12</f>
        <v>0.13408100993712788</v>
      </c>
      <c r="DH149" s="23">
        <f>EXP(-LN(2)/2)*DH148+(1-EXP(-LN(2)/2))/(LN(2)/2)*DB149*DE149*VLOOKUP('Données projet'!$B$13,Paramètres!$A$1:$I$89,3,0)*0.475*44/12</f>
        <v>3.8216604835197828E-15</v>
      </c>
      <c r="DI149" s="24">
        <f t="shared" si="123"/>
        <v>11.131171249815297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188.31046827337082</v>
      </c>
      <c r="T150" s="62">
        <f t="shared" si="142"/>
        <v>207.32535726327728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310.95287409903602</v>
      </c>
      <c r="AO150" s="62">
        <f t="shared" si="144"/>
        <v>224.10083380795163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-1.2710188457276673E-13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382.55387448074327</v>
      </c>
      <c r="BJ150" s="62">
        <f t="shared" si="146"/>
        <v>476.29465646955543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0.83757647336507768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7.5483913256687885E-17</v>
      </c>
      <c r="BS150" s="24">
        <f t="shared" si="117"/>
        <v>0.83757647336507779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287.69656598881124</v>
      </c>
      <c r="CE150" s="62">
        <f t="shared" si="148"/>
        <v>221.9773436301067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0.58684550323031937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3.9539838701690653E-17</v>
      </c>
      <c r="CN150" s="24">
        <f t="shared" si="120"/>
        <v>0.58684550323031937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3.3992364478763198E-14</v>
      </c>
      <c r="CV150" s="14">
        <f t="shared" si="149"/>
        <v>5.790027782444094E-13</v>
      </c>
      <c r="CW150" s="22">
        <f t="shared" si="121"/>
        <v>1.0676332069095257E-12</v>
      </c>
      <c r="CX150" s="62">
        <f t="shared" si="122"/>
        <v>293.33333333333439</v>
      </c>
      <c r="CY150" s="62">
        <f ca="1">AVERAGE(OFFSET($CX$3,0,0,'Données projet'!$E$13+1,1))-AVERAGE(OFFSET($H$3,0,0,'Données projet'!$E$13+1,1))</f>
        <v>163.03280205647224</v>
      </c>
      <c r="CZ150" s="62">
        <f t="shared" si="150"/>
        <v>277.12388047243826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10.781444007836884</v>
      </c>
      <c r="DG150" s="23">
        <f>EXP(-LN(2)/25)*DG149+(1-EXP(-LN(2)/25))/(LN(2)/25)*Calculateur!DB150*Calculateur!DD150*VLOOKUP('Données projet'!$B$13,Paramètres!$A$1:$I$89,3,0)*0.475*44/12</f>
        <v>0.13041455766938326</v>
      </c>
      <c r="DH150" s="23">
        <f>EXP(-LN(2)/2)*DH149+(1-EXP(-LN(2)/2))/(LN(2)/2)*DB150*DE150*VLOOKUP('Données projet'!$B$13,Paramètres!$A$1:$I$89,3,0)*0.475*44/12</f>
        <v>2.7023220432894984E-15</v>
      </c>
      <c r="DI150" s="24">
        <f t="shared" si="123"/>
        <v>10.91185856550627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188.31046827337082</v>
      </c>
      <c r="T151" s="62">
        <f t="shared" si="142"/>
        <v>207.32535726327728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310.95287409903602</v>
      </c>
      <c r="AO151" s="62">
        <f t="shared" si="144"/>
        <v>224.10083380795163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-1.2710188457276673E-13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382.55387448074327</v>
      </c>
      <c r="BJ151" s="62">
        <f t="shared" si="146"/>
        <v>476.29465646955543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0.82115210959359297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5.3375186934301135E-17</v>
      </c>
      <c r="BS151" s="24">
        <f t="shared" si="117"/>
        <v>0.82115210959359297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287.69656598881124</v>
      </c>
      <c r="CE151" s="62">
        <f t="shared" si="148"/>
        <v>221.9773436301067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0.57533782085238605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2.7958888072987756E-17</v>
      </c>
      <c r="CN151" s="24">
        <f t="shared" si="120"/>
        <v>0.57533782085238605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3.3992364478763198E-14</v>
      </c>
      <c r="CV151" s="14">
        <f t="shared" si="149"/>
        <v>5.790027782444094E-13</v>
      </c>
      <c r="CW151" s="22">
        <f t="shared" si="121"/>
        <v>1.0676332069095257E-12</v>
      </c>
      <c r="CX151" s="62">
        <f t="shared" si="122"/>
        <v>293.33333333333439</v>
      </c>
      <c r="CY151" s="62">
        <f ca="1">AVERAGE(OFFSET($CX$3,0,0,'Données projet'!$E$13+1,1))-AVERAGE(OFFSET($H$3,0,0,'Données projet'!$E$13+1,1))</f>
        <v>163.03280205647224</v>
      </c>
      <c r="CZ151" s="62">
        <f t="shared" si="150"/>
        <v>277.12388047243826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10.570026466874719</v>
      </c>
      <c r="DG151" s="23">
        <f>EXP(-LN(2)/25)*DG150+(1-EXP(-LN(2)/25))/(LN(2)/25)*Calculateur!DB151*Calculateur!DD151*VLOOKUP('Données projet'!$B$13,Paramètres!$A$1:$I$89,3,0)*0.475*44/12</f>
        <v>0.12684836473171046</v>
      </c>
      <c r="DH151" s="23">
        <f>EXP(-LN(2)/2)*DH150+(1-EXP(-LN(2)/2))/(LN(2)/2)*DB151*DE151*VLOOKUP('Données projet'!$B$13,Paramètres!$A$1:$I$89,3,0)*0.475*44/12</f>
        <v>1.9108302417598914E-15</v>
      </c>
      <c r="DI151" s="24">
        <f t="shared" si="123"/>
        <v>10.696874831606431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188.31046827337082</v>
      </c>
      <c r="T152" s="62">
        <f t="shared" si="142"/>
        <v>207.32535726327728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310.95287409903602</v>
      </c>
      <c r="AO152" s="62">
        <f t="shared" si="144"/>
        <v>224.10083380795163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-1.2710188457276673E-13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382.55387448074327</v>
      </c>
      <c r="BJ152" s="62">
        <f t="shared" si="146"/>
        <v>476.29465646955543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0.80504981757779426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3.7741956628343943E-17</v>
      </c>
      <c r="BS152" s="24">
        <f t="shared" si="117"/>
        <v>0.80504981757779426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287.69656598881124</v>
      </c>
      <c r="CE152" s="62">
        <f t="shared" si="148"/>
        <v>221.9773436301067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0.56405579710689091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1.9769919350845327E-17</v>
      </c>
      <c r="CN152" s="24">
        <f t="shared" si="120"/>
        <v>0.56405579710689091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3.3992364478763198E-14</v>
      </c>
      <c r="CV152" s="14">
        <f t="shared" si="149"/>
        <v>5.790027782444094E-13</v>
      </c>
      <c r="CW152" s="22">
        <f t="shared" si="121"/>
        <v>1.0676332069095257E-12</v>
      </c>
      <c r="CX152" s="62">
        <f t="shared" si="122"/>
        <v>293.33333333333439</v>
      </c>
      <c r="CY152" s="62">
        <f ca="1">AVERAGE(OFFSET($CX$3,0,0,'Données projet'!$E$13+1,1))-AVERAGE(OFFSET($H$3,0,0,'Données projet'!$E$13+1,1))</f>
        <v>163.03280205647224</v>
      </c>
      <c r="CZ152" s="62">
        <f t="shared" si="150"/>
        <v>277.12388047243826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10.362754694938854</v>
      </c>
      <c r="DG152" s="23">
        <f>EXP(-LN(2)/25)*DG151+(1-EXP(-LN(2)/25))/(LN(2)/25)*Calculateur!DB152*Calculateur!DD152*VLOOKUP('Données projet'!$B$13,Paramètres!$A$1:$I$89,3,0)*0.475*44/12</f>
        <v>0.12337968952745626</v>
      </c>
      <c r="DH152" s="23">
        <f>EXP(-LN(2)/2)*DH151+(1-EXP(-LN(2)/2))/(LN(2)/2)*DB152*DE152*VLOOKUP('Données projet'!$B$13,Paramètres!$A$1:$I$89,3,0)*0.475*44/12</f>
        <v>1.3511610216447492E-15</v>
      </c>
      <c r="DI152" s="24">
        <f t="shared" si="123"/>
        <v>10.486134384466311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188.31046827337082</v>
      </c>
      <c r="T153" s="62">
        <f t="shared" si="142"/>
        <v>207.32535726327728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310.95287409903602</v>
      </c>
      <c r="AO153" s="62">
        <f t="shared" si="144"/>
        <v>224.10083380795163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-1.2710188457276673E-13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382.55387448074327</v>
      </c>
      <c r="BJ153" s="62">
        <f t="shared" si="146"/>
        <v>476.29465646955543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0.78926328168699711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2.6687593467150567E-17</v>
      </c>
      <c r="BS153" s="24">
        <f t="shared" si="117"/>
        <v>0.78926328168699711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287.69656598881124</v>
      </c>
      <c r="CE153" s="62">
        <f t="shared" si="148"/>
        <v>221.9773436301067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0.55299500696568993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1.3979444036493878E-17</v>
      </c>
      <c r="CN153" s="24">
        <f t="shared" si="120"/>
        <v>0.55299500696568993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3.3992364478763198E-14</v>
      </c>
      <c r="CV153" s="14">
        <f t="shared" si="149"/>
        <v>5.790027782444094E-13</v>
      </c>
      <c r="CW153" s="22">
        <f t="shared" si="121"/>
        <v>1.0676332069095257E-12</v>
      </c>
      <c r="CX153" s="62">
        <f t="shared" si="122"/>
        <v>293.33333333333439</v>
      </c>
      <c r="CY153" s="62">
        <f ca="1">AVERAGE(OFFSET($CX$3,0,0,'Données projet'!$E$13+1,1))-AVERAGE(OFFSET($H$3,0,0,'Données projet'!$E$13+1,1))</f>
        <v>163.03280205647224</v>
      </c>
      <c r="CZ153" s="62">
        <f t="shared" si="150"/>
        <v>277.12388047243826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10.159547396027353</v>
      </c>
      <c r="DG153" s="23">
        <f>EXP(-LN(2)/25)*DG152+(1-EXP(-LN(2)/25))/(LN(2)/25)*Calculateur!DB153*Calculateur!DD153*VLOOKUP('Données projet'!$B$13,Paramètres!$A$1:$I$89,3,0)*0.475*44/12</f>
        <v>0.12000586542907209</v>
      </c>
      <c r="DH153" s="23">
        <f>EXP(-LN(2)/2)*DH152+(1-EXP(-LN(2)/2))/(LN(2)/2)*DB153*DE153*VLOOKUP('Données projet'!$B$13,Paramètres!$A$1:$I$89,3,0)*0.475*44/12</f>
        <v>9.5541512087994569E-16</v>
      </c>
      <c r="DI153" s="24">
        <f t="shared" si="123"/>
        <v>10.279553261456426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188.31046827337082</v>
      </c>
      <c r="T154" s="62">
        <f t="shared" si="142"/>
        <v>207.32535726327728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310.95287409903602</v>
      </c>
      <c r="AO154" s="62">
        <f t="shared" si="144"/>
        <v>224.10083380795163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-1.2710188457276673E-13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382.55387448074327</v>
      </c>
      <c r="BJ154" s="62">
        <f t="shared" si="146"/>
        <v>476.29465646955543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0.77378631013618226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1.8870978314171971E-17</v>
      </c>
      <c r="BS154" s="24">
        <f t="shared" ref="BS154:BS203" si="169">SUM(BP154:BR154)</f>
        <v>0.77378631013618226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287.69656598881124</v>
      </c>
      <c r="CE154" s="62">
        <f t="shared" si="148"/>
        <v>221.9773436301067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0.54215111217274203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9.8849596754226633E-18</v>
      </c>
      <c r="CN154" s="24">
        <f t="shared" ref="CN154:CN203" si="172">SUM(CK154:CM154)</f>
        <v>0.54215111217274203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3.3992364478763198E-14</v>
      </c>
      <c r="CV154" s="14">
        <f t="shared" ref="CV154:CV203" si="173">EXP(-1.0587+0.8836*LN(CU154)+0.284)</f>
        <v>5.790027782444094E-13</v>
      </c>
      <c r="CW154" s="22">
        <f t="shared" ref="CW154:CW203" si="174">(CU154+CV154)*0.475*44/12</f>
        <v>1.0676332069095257E-12</v>
      </c>
      <c r="CX154" s="62">
        <f t="shared" si="122"/>
        <v>293.33333333333439</v>
      </c>
      <c r="CY154" s="62">
        <f ca="1">AVERAGE(OFFSET($CX$3,0,0,'Données projet'!$E$13+1,1))-AVERAGE(OFFSET($H$3,0,0,'Données projet'!$E$13+1,1))</f>
        <v>163.03280205647224</v>
      </c>
      <c r="CZ154" s="62">
        <f t="shared" si="150"/>
        <v>277.12388047243826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9.9603248683032941</v>
      </c>
      <c r="DG154" s="23">
        <f>EXP(-LN(2)/25)*DG153+(1-EXP(-LN(2)/25))/(LN(2)/25)*Calculateur!DB154*Calculateur!DD154*VLOOKUP('Données projet'!$B$13,Paramètres!$A$1:$I$89,3,0)*0.475*44/12</f>
        <v>0.11672429872807992</v>
      </c>
      <c r="DH154" s="23">
        <f>EXP(-LN(2)/2)*DH153+(1-EXP(-LN(2)/2))/(LN(2)/2)*DB154*DE154*VLOOKUP('Données projet'!$B$13,Paramètres!$A$1:$I$89,3,0)*0.475*44/12</f>
        <v>6.7558051082237461E-16</v>
      </c>
      <c r="DI154" s="24">
        <f t="shared" ref="DI154:DI203" si="175">SUM(DF154:DH154)</f>
        <v>10.077049167031374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188.31046827337082</v>
      </c>
      <c r="T155" s="62">
        <f t="shared" si="142"/>
        <v>207.32535726327728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310.95287409903602</v>
      </c>
      <c r="AO155" s="62">
        <f t="shared" si="144"/>
        <v>224.10083380795163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-1.2710188457276673E-13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382.55387448074327</v>
      </c>
      <c r="BJ155" s="62">
        <f t="shared" si="146"/>
        <v>476.29465646955543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0.75861283255745848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1.3343796733575284E-17</v>
      </c>
      <c r="BS155" s="24">
        <f t="shared" si="169"/>
        <v>0.75861283255745848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287.69656598881124</v>
      </c>
      <c r="CE155" s="62">
        <f t="shared" si="148"/>
        <v>221.9773436301067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0.53151985954256109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6.9897220182469389E-18</v>
      </c>
      <c r="CN155" s="24">
        <f t="shared" si="172"/>
        <v>0.53151985954256109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3.3992364478763198E-14</v>
      </c>
      <c r="CV155" s="14">
        <f t="shared" si="173"/>
        <v>5.790027782444094E-13</v>
      </c>
      <c r="CW155" s="22">
        <f t="shared" si="174"/>
        <v>1.0676332069095257E-12</v>
      </c>
      <c r="CX155" s="62">
        <f t="shared" si="122"/>
        <v>293.33333333333439</v>
      </c>
      <c r="CY155" s="62">
        <f ca="1">AVERAGE(OFFSET($CX$3,0,0,'Données projet'!$E$13+1,1))-AVERAGE(OFFSET($H$3,0,0,'Données projet'!$E$13+1,1))</f>
        <v>163.03280205647224</v>
      </c>
      <c r="CZ155" s="62">
        <f t="shared" si="150"/>
        <v>277.12388047243826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9.7650089728341598</v>
      </c>
      <c r="DG155" s="23">
        <f>EXP(-LN(2)/25)*DG154+(1-EXP(-LN(2)/25))/(LN(2)/25)*Calculateur!DB155*Calculateur!DD155*VLOOKUP('Données projet'!$B$13,Paramètres!$A$1:$I$89,3,0)*0.475*44/12</f>
        <v>0.11353246664109648</v>
      </c>
      <c r="DH155" s="23">
        <f>EXP(-LN(2)/2)*DH154+(1-EXP(-LN(2)/2))/(LN(2)/2)*DB155*DE155*VLOOKUP('Données projet'!$B$13,Paramètres!$A$1:$I$89,3,0)*0.475*44/12</f>
        <v>4.7770756043997284E-16</v>
      </c>
      <c r="DI155" s="24">
        <f t="shared" si="175"/>
        <v>9.8785414394752564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188.31046827337082</v>
      </c>
      <c r="T156" s="62">
        <f t="shared" si="142"/>
        <v>207.32535726327728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310.95287409903602</v>
      </c>
      <c r="AO156" s="62">
        <f t="shared" si="144"/>
        <v>224.10083380795163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-1.2710188457276673E-13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382.55387448074327</v>
      </c>
      <c r="BJ156" s="62">
        <f t="shared" si="146"/>
        <v>476.29465646955543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0.74373689761914596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9.4354891570859856E-18</v>
      </c>
      <c r="BS156" s="24">
        <f t="shared" si="169"/>
        <v>0.74373689761914596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287.69656598881124</v>
      </c>
      <c r="CE156" s="62">
        <f t="shared" si="148"/>
        <v>221.9773436301067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0.52109707929203419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4.9424798377113316E-18</v>
      </c>
      <c r="CN156" s="24">
        <f t="shared" si="172"/>
        <v>0.52109707929203419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3.3992364478763198E-14</v>
      </c>
      <c r="CV156" s="14">
        <f t="shared" si="173"/>
        <v>5.790027782444094E-13</v>
      </c>
      <c r="CW156" s="22">
        <f t="shared" si="174"/>
        <v>1.0676332069095257E-12</v>
      </c>
      <c r="CX156" s="62">
        <f t="shared" si="122"/>
        <v>293.33333333333439</v>
      </c>
      <c r="CY156" s="62">
        <f ca="1">AVERAGE(OFFSET($CX$3,0,0,'Données projet'!$E$13+1,1))-AVERAGE(OFFSET($H$3,0,0,'Données projet'!$E$13+1,1))</f>
        <v>163.03280205647224</v>
      </c>
      <c r="CZ156" s="62">
        <f t="shared" si="150"/>
        <v>277.12388047243826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9.5735231029442431</v>
      </c>
      <c r="DG156" s="23">
        <f>EXP(-LN(2)/25)*DG155+(1-EXP(-LN(2)/25))/(LN(2)/25)*Calculateur!DB156*Calculateur!DD156*VLOOKUP('Données projet'!$B$13,Paramètres!$A$1:$I$89,3,0)*0.475*44/12</f>
        <v>0.11042791537038275</v>
      </c>
      <c r="DH156" s="23">
        <f>EXP(-LN(2)/2)*DH155+(1-EXP(-LN(2)/2))/(LN(2)/2)*DB156*DE156*VLOOKUP('Données projet'!$B$13,Paramètres!$A$1:$I$89,3,0)*0.475*44/12</f>
        <v>3.377902554111873E-16</v>
      </c>
      <c r="DI156" s="24">
        <f t="shared" si="175"/>
        <v>9.6839510183146267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188.31046827337082</v>
      </c>
      <c r="T157" s="62">
        <f t="shared" si="142"/>
        <v>207.32535726327728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310.95287409903602</v>
      </c>
      <c r="AO157" s="62">
        <f t="shared" si="144"/>
        <v>224.10083380795163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-1.2710188457276673E-13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382.55387448074327</v>
      </c>
      <c r="BJ157" s="62">
        <f t="shared" si="146"/>
        <v>476.29465646955543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0.72915267069154932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6.6718983667876419E-18</v>
      </c>
      <c r="BS157" s="24">
        <f t="shared" si="169"/>
        <v>0.72915267069154932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287.69656598881124</v>
      </c>
      <c r="CE157" s="62">
        <f t="shared" si="148"/>
        <v>221.9773436301067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0.51087868340495191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3.4948610091234695E-18</v>
      </c>
      <c r="CN157" s="24">
        <f t="shared" si="172"/>
        <v>0.51087868340495191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3.3992364478763198E-14</v>
      </c>
      <c r="CV157" s="14">
        <f t="shared" si="173"/>
        <v>5.790027782444094E-13</v>
      </c>
      <c r="CW157" s="22">
        <f t="shared" si="174"/>
        <v>1.0676332069095257E-12</v>
      </c>
      <c r="CX157" s="62">
        <f t="shared" si="122"/>
        <v>293.33333333333439</v>
      </c>
      <c r="CY157" s="62">
        <f ca="1">AVERAGE(OFFSET($CX$3,0,0,'Données projet'!$E$13+1,1))-AVERAGE(OFFSET($H$3,0,0,'Données projet'!$E$13+1,1))</f>
        <v>163.03280205647224</v>
      </c>
      <c r="CZ157" s="62">
        <f t="shared" si="150"/>
        <v>277.12388047243826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9.3857921541680192</v>
      </c>
      <c r="DG157" s="23">
        <f>EXP(-LN(2)/25)*DG156+(1-EXP(-LN(2)/25))/(LN(2)/25)*Calculateur!DB157*Calculateur!DD157*VLOOKUP('Données projet'!$B$13,Paramètres!$A$1:$I$89,3,0)*0.475*44/12</f>
        <v>0.10740825821742796</v>
      </c>
      <c r="DH157" s="23">
        <f>EXP(-LN(2)/2)*DH156+(1-EXP(-LN(2)/2))/(LN(2)/2)*DB157*DE157*VLOOKUP('Données projet'!$B$13,Paramètres!$A$1:$I$89,3,0)*0.475*44/12</f>
        <v>2.3885378021998642E-16</v>
      </c>
      <c r="DI157" s="24">
        <f t="shared" si="175"/>
        <v>9.4932004123854465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188.31046827337082</v>
      </c>
      <c r="T158" s="62">
        <f t="shared" si="142"/>
        <v>207.32535726327728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310.95287409903602</v>
      </c>
      <c r="AO158" s="62">
        <f t="shared" si="144"/>
        <v>224.10083380795163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-1.2710188457276673E-13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382.55387448074327</v>
      </c>
      <c r="BJ158" s="62">
        <f t="shared" si="146"/>
        <v>476.29465646955543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0.71485443155850281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4.7177445785429928E-18</v>
      </c>
      <c r="BS158" s="24">
        <f t="shared" si="169"/>
        <v>0.71485443155850281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287.69656598881124</v>
      </c>
      <c r="CE158" s="62">
        <f t="shared" si="148"/>
        <v>221.9773436301067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0.50086066402860918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2.4712399188556658E-18</v>
      </c>
      <c r="CN158" s="24">
        <f t="shared" si="172"/>
        <v>0.50086066402860918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3.3992364478763198E-14</v>
      </c>
      <c r="CV158" s="14">
        <f t="shared" si="173"/>
        <v>5.790027782444094E-13</v>
      </c>
      <c r="CW158" s="22">
        <f t="shared" si="174"/>
        <v>1.0676332069095257E-12</v>
      </c>
      <c r="CX158" s="62">
        <f t="shared" si="122"/>
        <v>293.33333333333439</v>
      </c>
      <c r="CY158" s="62">
        <f ca="1">AVERAGE(OFFSET($CX$3,0,0,'Données projet'!$E$13+1,1))-AVERAGE(OFFSET($H$3,0,0,'Données projet'!$E$13+1,1))</f>
        <v>163.03280205647224</v>
      </c>
      <c r="CZ158" s="62">
        <f t="shared" si="150"/>
        <v>277.12388047243826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9.2017424947927253</v>
      </c>
      <c r="DG158" s="23">
        <f>EXP(-LN(2)/25)*DG157+(1-EXP(-LN(2)/25))/(LN(2)/25)*Calculateur!DB158*Calculateur!DD158*VLOOKUP('Données projet'!$B$13,Paramètres!$A$1:$I$89,3,0)*0.475*44/12</f>
        <v>0.10447117374811757</v>
      </c>
      <c r="DH158" s="23">
        <f>EXP(-LN(2)/2)*DH157+(1-EXP(-LN(2)/2))/(LN(2)/2)*DB158*DE158*VLOOKUP('Données projet'!$B$13,Paramètres!$A$1:$I$89,3,0)*0.475*44/12</f>
        <v>1.6889512770559365E-16</v>
      </c>
      <c r="DI158" s="24">
        <f t="shared" si="175"/>
        <v>9.3062136685408436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188.31046827337082</v>
      </c>
      <c r="T159" s="62">
        <f t="shared" si="142"/>
        <v>207.32535726327728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310.95287409903602</v>
      </c>
      <c r="AO159" s="62">
        <f t="shared" si="144"/>
        <v>224.10083380795163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-1.2710188457276673E-13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382.55387448074327</v>
      </c>
      <c r="BJ159" s="62">
        <f t="shared" si="146"/>
        <v>476.29465646955543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0.70083657217379058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3.3359491833938209E-18</v>
      </c>
      <c r="BS159" s="24">
        <f t="shared" si="169"/>
        <v>0.70083657217379058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287.69656598881124</v>
      </c>
      <c r="CE159" s="62">
        <f t="shared" si="148"/>
        <v>221.9773436301067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0.49103909190184808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1.7474305045617347E-18</v>
      </c>
      <c r="CN159" s="24">
        <f t="shared" si="172"/>
        <v>0.49103909190184808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3.3992364478763198E-14</v>
      </c>
      <c r="CV159" s="14">
        <f t="shared" si="173"/>
        <v>5.790027782444094E-13</v>
      </c>
      <c r="CW159" s="22">
        <f t="shared" si="174"/>
        <v>1.0676332069095257E-12</v>
      </c>
      <c r="CX159" s="62">
        <f t="shared" si="122"/>
        <v>293.33333333333439</v>
      </c>
      <c r="CY159" s="62">
        <f ca="1">AVERAGE(OFFSET($CX$3,0,0,'Données projet'!$E$13+1,1))-AVERAGE(OFFSET($H$3,0,0,'Données projet'!$E$13+1,1))</f>
        <v>163.03280205647224</v>
      </c>
      <c r="CZ159" s="62">
        <f t="shared" si="150"/>
        <v>277.12388047243826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9.0213019369785723</v>
      </c>
      <c r="DG159" s="23">
        <f>EXP(-LN(2)/25)*DG158+(1-EXP(-LN(2)/25))/(LN(2)/25)*Calculateur!DB159*Calculateur!DD159*VLOOKUP('Données projet'!$B$13,Paramètres!$A$1:$I$89,3,0)*0.475*44/12</f>
        <v>0.10161440400807503</v>
      </c>
      <c r="DH159" s="23">
        <f>EXP(-LN(2)/2)*DH158+(1-EXP(-LN(2)/2))/(LN(2)/2)*DB159*DE159*VLOOKUP('Données projet'!$B$13,Paramètres!$A$1:$I$89,3,0)*0.475*44/12</f>
        <v>1.1942689010999321E-16</v>
      </c>
      <c r="DI159" s="24">
        <f t="shared" si="175"/>
        <v>9.1229163409866469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188.31046827337082</v>
      </c>
      <c r="T160" s="62">
        <f t="shared" si="142"/>
        <v>207.32535726327728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310.95287409903602</v>
      </c>
      <c r="AO160" s="62">
        <f t="shared" si="144"/>
        <v>224.10083380795163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-1.2710188457276673E-13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382.55387448074327</v>
      </c>
      <c r="BJ160" s="62">
        <f t="shared" si="146"/>
        <v>476.29465646955543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0.6870935944615626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2.3588722892714964E-18</v>
      </c>
      <c r="BS160" s="24">
        <f t="shared" si="169"/>
        <v>0.6870935944615626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287.69656598881124</v>
      </c>
      <c r="CE160" s="62">
        <f t="shared" si="148"/>
        <v>221.9773436301067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0.48141011481392532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1.2356199594278329E-18</v>
      </c>
      <c r="CN160" s="24">
        <f t="shared" si="172"/>
        <v>0.48141011481392532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3.3992364478763198E-14</v>
      </c>
      <c r="CV160" s="14">
        <f t="shared" si="173"/>
        <v>5.790027782444094E-13</v>
      </c>
      <c r="CW160" s="22">
        <f t="shared" si="174"/>
        <v>1.0676332069095257E-12</v>
      </c>
      <c r="CX160" s="62">
        <f t="shared" si="122"/>
        <v>293.33333333333439</v>
      </c>
      <c r="CY160" s="62">
        <f ca="1">AVERAGE(OFFSET($CX$3,0,0,'Données projet'!$E$13+1,1))-AVERAGE(OFFSET($H$3,0,0,'Données projet'!$E$13+1,1))</f>
        <v>163.03280205647224</v>
      </c>
      <c r="CZ160" s="62">
        <f t="shared" si="150"/>
        <v>277.12388047243826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8.8443997084452821</v>
      </c>
      <c r="DG160" s="23">
        <f>EXP(-LN(2)/25)*DG159+(1-EXP(-LN(2)/25))/(LN(2)/25)*Calculateur!DB160*Calculateur!DD160*VLOOKUP('Données projet'!$B$13,Paramètres!$A$1:$I$89,3,0)*0.475*44/12</f>
        <v>9.8835752786804953E-2</v>
      </c>
      <c r="DH160" s="23">
        <f>EXP(-LN(2)/2)*DH159+(1-EXP(-LN(2)/2))/(LN(2)/2)*DB160*DE160*VLOOKUP('Données projet'!$B$13,Paramètres!$A$1:$I$89,3,0)*0.475*44/12</f>
        <v>8.4447563852796826E-17</v>
      </c>
      <c r="DI160" s="24">
        <f t="shared" si="175"/>
        <v>8.9432354612320868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188.31046827337082</v>
      </c>
      <c r="T161" s="62">
        <f t="shared" si="142"/>
        <v>207.32535726327728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310.95287409903602</v>
      </c>
      <c r="AO161" s="62">
        <f t="shared" si="144"/>
        <v>224.10083380795163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-1.2710188457276673E-13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382.55387448074327</v>
      </c>
      <c r="BJ161" s="62">
        <f t="shared" si="146"/>
        <v>476.29465646955543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0.67362010815988271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1.6679745916969105E-18</v>
      </c>
      <c r="BS161" s="24">
        <f t="shared" si="169"/>
        <v>0.67362010815988271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287.69656598881124</v>
      </c>
      <c r="CE161" s="62">
        <f t="shared" si="148"/>
        <v>221.9773436301067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0.4719699560936006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8.7371525228086736E-19</v>
      </c>
      <c r="CN161" s="24">
        <f t="shared" si="172"/>
        <v>0.4719699560936006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3.3992364478763198E-14</v>
      </c>
      <c r="CV161" s="14">
        <f t="shared" si="173"/>
        <v>5.790027782444094E-13</v>
      </c>
      <c r="CW161" s="22">
        <f t="shared" si="174"/>
        <v>1.0676332069095257E-12</v>
      </c>
      <c r="CX161" s="62">
        <f t="shared" si="122"/>
        <v>293.33333333333439</v>
      </c>
      <c r="CY161" s="62">
        <f ca="1">AVERAGE(OFFSET($CX$3,0,0,'Données projet'!$E$13+1,1))-AVERAGE(OFFSET($H$3,0,0,'Données projet'!$E$13+1,1))</f>
        <v>163.03280205647224</v>
      </c>
      <c r="CZ161" s="62">
        <f t="shared" si="150"/>
        <v>277.12388047243826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8.6709664247138249</v>
      </c>
      <c r="DG161" s="23">
        <f>EXP(-LN(2)/25)*DG160+(1-EXP(-LN(2)/25))/(LN(2)/25)*Calculateur!DB161*Calculateur!DD161*VLOOKUP('Données projet'!$B$13,Paramètres!$A$1:$I$89,3,0)*0.475*44/12</f>
        <v>9.613308392930342E-2</v>
      </c>
      <c r="DH161" s="23">
        <f>EXP(-LN(2)/2)*DH160+(1-EXP(-LN(2)/2))/(LN(2)/2)*DB161*DE161*VLOOKUP('Données projet'!$B$13,Paramètres!$A$1:$I$89,3,0)*0.475*44/12</f>
        <v>5.9713445054996605E-17</v>
      </c>
      <c r="DI161" s="24">
        <f t="shared" si="175"/>
        <v>8.7670995086431276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188.31046827337082</v>
      </c>
      <c r="T162" s="62">
        <f t="shared" si="142"/>
        <v>207.32535726327728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310.95287409903602</v>
      </c>
      <c r="AO162" s="62">
        <f t="shared" si="144"/>
        <v>224.10083380795163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-1.2710188457276673E-13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382.55387448074327</v>
      </c>
      <c r="BJ162" s="62">
        <f t="shared" si="146"/>
        <v>476.29465646955543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0.66041082870656354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1.1794361446357482E-18</v>
      </c>
      <c r="BS162" s="24">
        <f t="shared" si="169"/>
        <v>0.66041082870656354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287.69656598881124</v>
      </c>
      <c r="CE162" s="62">
        <f t="shared" si="148"/>
        <v>221.9773436301067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0.46271491312785318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6.1780997971391646E-19</v>
      </c>
      <c r="CN162" s="24">
        <f t="shared" si="172"/>
        <v>0.46271491312785318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3.3992364478763198E-14</v>
      </c>
      <c r="CV162" s="14">
        <f t="shared" si="173"/>
        <v>5.790027782444094E-13</v>
      </c>
      <c r="CW162" s="22">
        <f t="shared" si="174"/>
        <v>1.0676332069095257E-12</v>
      </c>
      <c r="CX162" s="62">
        <f t="shared" si="122"/>
        <v>293.33333333333439</v>
      </c>
      <c r="CY162" s="62">
        <f ca="1">AVERAGE(OFFSET($CX$3,0,0,'Données projet'!$E$13+1,1))-AVERAGE(OFFSET($H$3,0,0,'Données projet'!$E$13+1,1))</f>
        <v>163.03280205647224</v>
      </c>
      <c r="CZ162" s="62">
        <f t="shared" si="150"/>
        <v>277.12388047243826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8.5009340618924831</v>
      </c>
      <c r="DG162" s="23">
        <f>EXP(-LN(2)/25)*DG161+(1-EXP(-LN(2)/25))/(LN(2)/25)*Calculateur!DB162*Calculateur!DD162*VLOOKUP('Données projet'!$B$13,Paramètres!$A$1:$I$89,3,0)*0.475*44/12</f>
        <v>9.3504319693837448E-2</v>
      </c>
      <c r="DH162" s="23">
        <f>EXP(-LN(2)/2)*DH161+(1-EXP(-LN(2)/2))/(LN(2)/2)*DB162*DE162*VLOOKUP('Données projet'!$B$13,Paramètres!$A$1:$I$89,3,0)*0.475*44/12</f>
        <v>4.2223781926398413E-17</v>
      </c>
      <c r="DI162" s="24">
        <f t="shared" si="175"/>
        <v>8.5944383815863201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188.31046827337082</v>
      </c>
      <c r="T163" s="62">
        <f t="shared" si="142"/>
        <v>207.32535726327728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310.95287409903602</v>
      </c>
      <c r="AO163" s="62">
        <f t="shared" si="144"/>
        <v>224.10083380795163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-1.2710188457276673E-13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382.55387448074327</v>
      </c>
      <c r="BJ163" s="62">
        <f t="shared" si="146"/>
        <v>476.29465646955543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0.64746057516645905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8.3398729584845523E-19</v>
      </c>
      <c r="BS163" s="24">
        <f t="shared" si="169"/>
        <v>0.64746057516645905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287.69656598881124</v>
      </c>
      <c r="CE163" s="62">
        <f t="shared" si="148"/>
        <v>221.9773436301067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0.45364135590964527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4.3685762614043368E-19</v>
      </c>
      <c r="CN163" s="24">
        <f t="shared" si="172"/>
        <v>0.45364135590964527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3.3992364478763198E-14</v>
      </c>
      <c r="CV163" s="14">
        <f t="shared" si="173"/>
        <v>5.790027782444094E-13</v>
      </c>
      <c r="CW163" s="22">
        <f t="shared" si="174"/>
        <v>1.0676332069095257E-12</v>
      </c>
      <c r="CX163" s="62">
        <f t="shared" si="122"/>
        <v>293.33333333333439</v>
      </c>
      <c r="CY163" s="62">
        <f ca="1">AVERAGE(OFFSET($CX$3,0,0,'Données projet'!$E$13+1,1))-AVERAGE(OFFSET($H$3,0,0,'Données projet'!$E$13+1,1))</f>
        <v>163.03280205647224</v>
      </c>
      <c r="CZ163" s="62">
        <f t="shared" si="150"/>
        <v>277.12388047243826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8.3342359299965665</v>
      </c>
      <c r="DG163" s="23">
        <f>EXP(-LN(2)/25)*DG162+(1-EXP(-LN(2)/25))/(LN(2)/25)*Calculateur!DB163*Calculateur!DD163*VLOOKUP('Données projet'!$B$13,Paramètres!$A$1:$I$89,3,0)*0.475*44/12</f>
        <v>9.0947439154630993E-2</v>
      </c>
      <c r="DH163" s="23">
        <f>EXP(-LN(2)/2)*DH162+(1-EXP(-LN(2)/2))/(LN(2)/2)*DB163*DE163*VLOOKUP('Données projet'!$B$13,Paramètres!$A$1:$I$89,3,0)*0.475*44/12</f>
        <v>2.9856722527498303E-17</v>
      </c>
      <c r="DI163" s="24">
        <f t="shared" si="175"/>
        <v>8.4251833691511973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188.31046827337082</v>
      </c>
      <c r="T164" s="62">
        <f t="shared" si="142"/>
        <v>207.32535726327728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310.95287409903602</v>
      </c>
      <c r="AO164" s="62">
        <f t="shared" si="144"/>
        <v>224.10083380795163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-1.2710188457276673E-13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382.55387448074327</v>
      </c>
      <c r="BJ164" s="62">
        <f t="shared" si="146"/>
        <v>476.29465646955543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0.63476426819940135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5.897180723178741E-19</v>
      </c>
      <c r="BS164" s="24">
        <f t="shared" si="169"/>
        <v>0.63476426819940135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287.69656598881124</v>
      </c>
      <c r="CE164" s="62">
        <f t="shared" si="148"/>
        <v>221.9773436301067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0.44474572561416298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3.0890498985695823E-19</v>
      </c>
      <c r="CN164" s="24">
        <f t="shared" si="172"/>
        <v>0.44474572561416298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3.3992364478763198E-14</v>
      </c>
      <c r="CV164" s="14">
        <f t="shared" si="173"/>
        <v>5.790027782444094E-13</v>
      </c>
      <c r="CW164" s="22">
        <f t="shared" si="174"/>
        <v>1.0676332069095257E-12</v>
      </c>
      <c r="CX164" s="62">
        <f t="shared" si="122"/>
        <v>293.33333333333439</v>
      </c>
      <c r="CY164" s="62">
        <f ca="1">AVERAGE(OFFSET($CX$3,0,0,'Données projet'!$E$13+1,1))-AVERAGE(OFFSET($H$3,0,0,'Données projet'!$E$13+1,1))</f>
        <v>163.03280205647224</v>
      </c>
      <c r="CZ164" s="62">
        <f t="shared" si="150"/>
        <v>277.12388047243826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8.1708066467913092</v>
      </c>
      <c r="DG164" s="23">
        <f>EXP(-LN(2)/25)*DG163+(1-EXP(-LN(2)/25))/(LN(2)/25)*Calculateur!DB164*Calculateur!DD164*VLOOKUP('Données projet'!$B$13,Paramètres!$A$1:$I$89,3,0)*0.475*44/12</f>
        <v>8.8460476648229647E-2</v>
      </c>
      <c r="DH164" s="23">
        <f>EXP(-LN(2)/2)*DH163+(1-EXP(-LN(2)/2))/(LN(2)/2)*DB164*DE164*VLOOKUP('Données projet'!$B$13,Paramètres!$A$1:$I$89,3,0)*0.475*44/12</f>
        <v>2.1111890963199206E-17</v>
      </c>
      <c r="DI164" s="24">
        <f t="shared" si="175"/>
        <v>8.2592671234395389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188.31046827337082</v>
      </c>
      <c r="T165" s="62">
        <f t="shared" si="142"/>
        <v>207.32535726327728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310.95287409903602</v>
      </c>
      <c r="AO165" s="62">
        <f t="shared" si="144"/>
        <v>224.10083380795163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-1.2710188457276673E-13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382.55387448074327</v>
      </c>
      <c r="BJ165" s="62">
        <f t="shared" si="146"/>
        <v>476.29465646955543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0.622316928067985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4.1699364792422762E-19</v>
      </c>
      <c r="BS165" s="24">
        <f t="shared" si="169"/>
        <v>0.622316928067985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287.69656598881124</v>
      </c>
      <c r="CE165" s="62">
        <f t="shared" si="148"/>
        <v>221.9773436301067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0.43602453320297635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2.1842881307021684E-19</v>
      </c>
      <c r="CN165" s="24">
        <f t="shared" si="172"/>
        <v>0.43602453320297635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3.3992364478763198E-14</v>
      </c>
      <c r="CV165" s="14">
        <f t="shared" si="173"/>
        <v>5.790027782444094E-13</v>
      </c>
      <c r="CW165" s="22">
        <f t="shared" si="174"/>
        <v>1.0676332069095257E-12</v>
      </c>
      <c r="CX165" s="62">
        <f t="shared" si="122"/>
        <v>293.33333333333439</v>
      </c>
      <c r="CY165" s="62">
        <f ca="1">AVERAGE(OFFSET($CX$3,0,0,'Données projet'!$E$13+1,1))-AVERAGE(OFFSET($H$3,0,0,'Données projet'!$E$13+1,1))</f>
        <v>163.03280205647224</v>
      </c>
      <c r="CZ165" s="62">
        <f t="shared" si="150"/>
        <v>277.12388047243826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8.0105821121476861</v>
      </c>
      <c r="DG165" s="23">
        <f>EXP(-LN(2)/25)*DG164+(1-EXP(-LN(2)/25))/(LN(2)/25)*Calculateur!DB165*Calculateur!DD165*VLOOKUP('Données projet'!$B$13,Paramètres!$A$1:$I$89,3,0)*0.475*44/12</f>
        <v>8.6041520262349513E-2</v>
      </c>
      <c r="DH165" s="23">
        <f>EXP(-LN(2)/2)*DH164+(1-EXP(-LN(2)/2))/(LN(2)/2)*DB165*DE165*VLOOKUP('Données projet'!$B$13,Paramètres!$A$1:$I$89,3,0)*0.475*44/12</f>
        <v>1.4928361263749151E-17</v>
      </c>
      <c r="DI165" s="24">
        <f t="shared" si="175"/>
        <v>8.0966236324100365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188.31046827337082</v>
      </c>
      <c r="T166" s="62">
        <f t="shared" si="142"/>
        <v>207.32535726327728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310.95287409903602</v>
      </c>
      <c r="AO166" s="62">
        <f t="shared" si="144"/>
        <v>224.10083380795163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-1.2710188457276673E-13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382.55387448074327</v>
      </c>
      <c r="BJ166" s="62">
        <f t="shared" si="146"/>
        <v>476.29465646955543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0.61011367268441796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2.9485903615893705E-19</v>
      </c>
      <c r="BS166" s="24">
        <f t="shared" si="169"/>
        <v>0.61011367268441796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287.69656598881124</v>
      </c>
      <c r="CE166" s="62">
        <f t="shared" si="148"/>
        <v>221.9773436301067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0.42747435805557099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1.5445249492847911E-19</v>
      </c>
      <c r="CN166" s="24">
        <f t="shared" si="172"/>
        <v>0.42747435805557099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3.3992364478763198E-14</v>
      </c>
      <c r="CV166" s="14">
        <f t="shared" si="173"/>
        <v>5.790027782444094E-13</v>
      </c>
      <c r="CW166" s="22">
        <f t="shared" si="174"/>
        <v>1.0676332069095257E-12</v>
      </c>
      <c r="CX166" s="62">
        <f t="shared" si="122"/>
        <v>293.33333333333439</v>
      </c>
      <c r="CY166" s="62">
        <f ca="1">AVERAGE(OFFSET($CX$3,0,0,'Données projet'!$E$13+1,1))-AVERAGE(OFFSET($H$3,0,0,'Données projet'!$E$13+1,1))</f>
        <v>163.03280205647224</v>
      </c>
      <c r="CZ166" s="62">
        <f t="shared" si="150"/>
        <v>277.12388047243826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7.8534994829011087</v>
      </c>
      <c r="DG166" s="23">
        <f>EXP(-LN(2)/25)*DG165+(1-EXP(-LN(2)/25))/(LN(2)/25)*Calculateur!DB166*Calculateur!DD166*VLOOKUP('Données projet'!$B$13,Paramètres!$A$1:$I$89,3,0)*0.475*44/12</f>
        <v>8.3688710366048663E-2</v>
      </c>
      <c r="DH166" s="23">
        <f>EXP(-LN(2)/2)*DH165+(1-EXP(-LN(2)/2))/(LN(2)/2)*DB166*DE166*VLOOKUP('Données projet'!$B$13,Paramètres!$A$1:$I$89,3,0)*0.475*44/12</f>
        <v>1.0555945481599603E-17</v>
      </c>
      <c r="DI166" s="24">
        <f t="shared" si="175"/>
        <v>7.9371881932671577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188.31046827337082</v>
      </c>
      <c r="T167" s="62">
        <f t="shared" si="142"/>
        <v>207.32535726327728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310.95287409903602</v>
      </c>
      <c r="AO167" s="62">
        <f t="shared" si="144"/>
        <v>224.10083380795163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-1.2710188457276673E-13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382.55387448074327</v>
      </c>
      <c r="BJ167" s="62">
        <f t="shared" si="146"/>
        <v>476.29465646955543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0.59814971569567177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2.0849682396211381E-19</v>
      </c>
      <c r="BS167" s="24">
        <f t="shared" si="169"/>
        <v>0.59814971569567177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287.69656598881124</v>
      </c>
      <c r="CE167" s="62">
        <f t="shared" si="148"/>
        <v>221.9773436301067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0.41909184662771437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1.0921440653510842E-19</v>
      </c>
      <c r="CN167" s="24">
        <f t="shared" si="172"/>
        <v>0.41909184662771437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3.3992364478763198E-14</v>
      </c>
      <c r="CV167" s="14">
        <f t="shared" si="173"/>
        <v>5.790027782444094E-13</v>
      </c>
      <c r="CW167" s="22">
        <f t="shared" si="174"/>
        <v>1.0676332069095257E-12</v>
      </c>
      <c r="CX167" s="62">
        <f t="shared" si="122"/>
        <v>293.33333333333439</v>
      </c>
      <c r="CY167" s="62">
        <f ca="1">AVERAGE(OFFSET($CX$3,0,0,'Données projet'!$E$13+1,1))-AVERAGE(OFFSET($H$3,0,0,'Données projet'!$E$13+1,1))</f>
        <v>163.03280205647224</v>
      </c>
      <c r="CZ167" s="62">
        <f t="shared" si="150"/>
        <v>277.12388047243826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7.6994971482031129</v>
      </c>
      <c r="DG167" s="23">
        <f>EXP(-LN(2)/25)*DG166+(1-EXP(-LN(2)/25))/(LN(2)/25)*Calculateur!DB167*Calculateur!DD167*VLOOKUP('Données projet'!$B$13,Paramètres!$A$1:$I$89,3,0)*0.475*44/12</f>
        <v>8.1400238180091053E-2</v>
      </c>
      <c r="DH167" s="23">
        <f>EXP(-LN(2)/2)*DH166+(1-EXP(-LN(2)/2))/(LN(2)/2)*DB167*DE167*VLOOKUP('Données projet'!$B$13,Paramètres!$A$1:$I$89,3,0)*0.475*44/12</f>
        <v>7.4641806318745757E-18</v>
      </c>
      <c r="DI167" s="24">
        <f t="shared" si="175"/>
        <v>7.7808973863832041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188.31046827337082</v>
      </c>
      <c r="T168" s="62">
        <f t="shared" si="142"/>
        <v>207.32535726327728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310.95287409903602</v>
      </c>
      <c r="AO168" s="62">
        <f t="shared" si="144"/>
        <v>224.10083380795163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-1.2710188457276673E-13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382.55387448074327</v>
      </c>
      <c r="BJ168" s="62">
        <f t="shared" si="146"/>
        <v>476.29465646955543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0.58642036460618174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1.4742951807946853E-19</v>
      </c>
      <c r="BS168" s="24">
        <f t="shared" si="169"/>
        <v>0.58642036460618174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287.69656598881124</v>
      </c>
      <c r="CE168" s="62">
        <f t="shared" si="148"/>
        <v>221.9773436301067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0.41087371113613086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7.7226247464239557E-20</v>
      </c>
      <c r="CN168" s="24">
        <f t="shared" si="172"/>
        <v>0.41087371113613086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3.3992364478763198E-14</v>
      </c>
      <c r="CV168" s="14">
        <f t="shared" si="173"/>
        <v>5.790027782444094E-13</v>
      </c>
      <c r="CW168" s="22">
        <f t="shared" si="174"/>
        <v>1.0676332069095257E-12</v>
      </c>
      <c r="CX168" s="62">
        <f t="shared" si="122"/>
        <v>293.33333333333439</v>
      </c>
      <c r="CY168" s="62">
        <f ca="1">AVERAGE(OFFSET($CX$3,0,0,'Données projet'!$E$13+1,1))-AVERAGE(OFFSET($H$3,0,0,'Données projet'!$E$13+1,1))</f>
        <v>163.03280205647224</v>
      </c>
      <c r="CZ168" s="62">
        <f t="shared" si="150"/>
        <v>277.12388047243826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7.5485147053563963</v>
      </c>
      <c r="DG168" s="23">
        <f>EXP(-LN(2)/25)*DG167+(1-EXP(-LN(2)/25))/(LN(2)/25)*Calculateur!DB168*Calculateur!DD168*VLOOKUP('Données projet'!$B$13,Paramètres!$A$1:$I$89,3,0)*0.475*44/12</f>
        <v>7.9174344386403986E-2</v>
      </c>
      <c r="DH168" s="23">
        <f>EXP(-LN(2)/2)*DH167+(1-EXP(-LN(2)/2))/(LN(2)/2)*DB168*DE168*VLOOKUP('Données projet'!$B$13,Paramètres!$A$1:$I$89,3,0)*0.475*44/12</f>
        <v>5.2779727407998016E-18</v>
      </c>
      <c r="DI168" s="24">
        <f t="shared" si="175"/>
        <v>7.6276890497428003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188.31046827337082</v>
      </c>
      <c r="T169" s="62">
        <f t="shared" si="142"/>
        <v>207.32535726327728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310.95287409903602</v>
      </c>
      <c r="AO169" s="62">
        <f t="shared" si="144"/>
        <v>224.10083380795163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-1.2710188457276673E-13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382.55387448074327</v>
      </c>
      <c r="BJ169" s="62">
        <f t="shared" si="146"/>
        <v>476.29465646955543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0.57492101893735881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1.042484119810569E-19</v>
      </c>
      <c r="BS169" s="24">
        <f t="shared" si="169"/>
        <v>0.57492101893735881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287.69656598881124</v>
      </c>
      <c r="CE169" s="62">
        <f t="shared" si="148"/>
        <v>221.9773436301067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0.40281672826896964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5.460720326755421E-20</v>
      </c>
      <c r="CN169" s="24">
        <f t="shared" si="172"/>
        <v>0.40281672826896964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3.3992364478763198E-14</v>
      </c>
      <c r="CV169" s="14">
        <f t="shared" si="173"/>
        <v>5.790027782444094E-13</v>
      </c>
      <c r="CW169" s="22">
        <f t="shared" si="174"/>
        <v>1.0676332069095257E-12</v>
      </c>
      <c r="CX169" s="62">
        <f t="shared" si="122"/>
        <v>293.33333333333439</v>
      </c>
      <c r="CY169" s="62">
        <f ca="1">AVERAGE(OFFSET($CX$3,0,0,'Données projet'!$E$13+1,1))-AVERAGE(OFFSET($H$3,0,0,'Données projet'!$E$13+1,1))</f>
        <v>163.03280205647224</v>
      </c>
      <c r="CZ169" s="62">
        <f t="shared" si="150"/>
        <v>277.12388047243826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7.4004929361237064</v>
      </c>
      <c r="DG169" s="23">
        <f>EXP(-LN(2)/25)*DG168+(1-EXP(-LN(2)/25))/(LN(2)/25)*Calculateur!DB169*Calculateur!DD169*VLOOKUP('Données projet'!$B$13,Paramètres!$A$1:$I$89,3,0)*0.475*44/12</f>
        <v>7.7009317775559957E-2</v>
      </c>
      <c r="DH169" s="23">
        <f>EXP(-LN(2)/2)*DH168+(1-EXP(-LN(2)/2))/(LN(2)/2)*DB169*DE169*VLOOKUP('Données projet'!$B$13,Paramètres!$A$1:$I$89,3,0)*0.475*44/12</f>
        <v>3.7320903159372878E-18</v>
      </c>
      <c r="DI169" s="24">
        <f t="shared" si="175"/>
        <v>7.4775022538992664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188.31046827337082</v>
      </c>
      <c r="T170" s="62">
        <f t="shared" si="142"/>
        <v>207.32535726327728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310.95287409903602</v>
      </c>
      <c r="AO170" s="62">
        <f t="shared" si="144"/>
        <v>224.10083380795163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-1.2710188457276673E-13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382.55387448074327</v>
      </c>
      <c r="BJ170" s="62">
        <f t="shared" si="146"/>
        <v>476.29465646955543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0.56364716842319329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7.3714759039734263E-20</v>
      </c>
      <c r="BS170" s="24">
        <f t="shared" si="169"/>
        <v>0.56364716842319329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287.69656598881124</v>
      </c>
      <c r="CE170" s="62">
        <f t="shared" si="148"/>
        <v>221.9773436301067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0.3949177379215591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3.8613123732119779E-20</v>
      </c>
      <c r="CN170" s="24">
        <f t="shared" si="172"/>
        <v>0.3949177379215591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3.3992364478763198E-14</v>
      </c>
      <c r="CV170" s="14">
        <f t="shared" si="173"/>
        <v>5.790027782444094E-13</v>
      </c>
      <c r="CW170" s="22">
        <f t="shared" si="174"/>
        <v>1.0676332069095257E-12</v>
      </c>
      <c r="CX170" s="62">
        <f t="shared" si="122"/>
        <v>293.33333333333439</v>
      </c>
      <c r="CY170" s="62">
        <f ca="1">AVERAGE(OFFSET($CX$3,0,0,'Données projet'!$E$13+1,1))-AVERAGE(OFFSET($H$3,0,0,'Données projet'!$E$13+1,1))</f>
        <v>163.03280205647224</v>
      </c>
      <c r="CZ170" s="62">
        <f t="shared" si="150"/>
        <v>277.12388047243826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7.2553737835013052</v>
      </c>
      <c r="DG170" s="23">
        <f>EXP(-LN(2)/25)*DG169+(1-EXP(-LN(2)/25))/(LN(2)/25)*Calculateur!DB170*Calculateur!DD170*VLOOKUP('Données projet'!$B$13,Paramètres!$A$1:$I$89,3,0)*0.475*44/12</f>
        <v>7.4903493931243251E-2</v>
      </c>
      <c r="DH170" s="23">
        <f>EXP(-LN(2)/2)*DH169+(1-EXP(-LN(2)/2))/(LN(2)/2)*DB170*DE170*VLOOKUP('Données projet'!$B$13,Paramètres!$A$1:$I$89,3,0)*0.475*44/12</f>
        <v>2.6389863703999008E-18</v>
      </c>
      <c r="DI170" s="24">
        <f t="shared" si="175"/>
        <v>7.3302772774325486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188.31046827337082</v>
      </c>
      <c r="T171" s="62">
        <f t="shared" si="142"/>
        <v>207.32535726327728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310.95287409903602</v>
      </c>
      <c r="AO171" s="62">
        <f t="shared" si="144"/>
        <v>224.10083380795163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-1.2710188457276673E-13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382.55387448074327</v>
      </c>
      <c r="BJ171" s="62">
        <f t="shared" si="146"/>
        <v>476.29465646955543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0.55259439124124066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5.2124205990528452E-20</v>
      </c>
      <c r="BS171" s="24">
        <f t="shared" si="169"/>
        <v>0.55259439124124066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287.69656598881124</v>
      </c>
      <c r="CE171" s="62">
        <f t="shared" si="148"/>
        <v>221.9773436301067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0.38717364195695292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2.7303601633777105E-20</v>
      </c>
      <c r="CN171" s="24">
        <f t="shared" si="172"/>
        <v>0.38717364195695292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3.3992364478763198E-14</v>
      </c>
      <c r="CV171" s="14">
        <f t="shared" si="173"/>
        <v>5.790027782444094E-13</v>
      </c>
      <c r="CW171" s="22">
        <f t="shared" si="174"/>
        <v>1.0676332069095257E-12</v>
      </c>
      <c r="CX171" s="62">
        <f t="shared" si="122"/>
        <v>293.33333333333439</v>
      </c>
      <c r="CY171" s="62">
        <f ca="1">AVERAGE(OFFSET($CX$3,0,0,'Données projet'!$E$13+1,1))-AVERAGE(OFFSET($H$3,0,0,'Données projet'!$E$13+1,1))</f>
        <v>163.03280205647224</v>
      </c>
      <c r="CZ171" s="62">
        <f t="shared" si="150"/>
        <v>277.12388047243826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7.113100328947886</v>
      </c>
      <c r="DG171" s="23">
        <f>EXP(-LN(2)/25)*DG170+(1-EXP(-LN(2)/25))/(LN(2)/25)*Calculateur!DB171*Calculateur!DD171*VLOOKUP('Données projet'!$B$13,Paramètres!$A$1:$I$89,3,0)*0.475*44/12</f>
        <v>7.2855253950689855E-2</v>
      </c>
      <c r="DH171" s="23">
        <f>EXP(-LN(2)/2)*DH170+(1-EXP(-LN(2)/2))/(LN(2)/2)*DB171*DE171*VLOOKUP('Données projet'!$B$13,Paramètres!$A$1:$I$89,3,0)*0.475*44/12</f>
        <v>1.8660451579686439E-18</v>
      </c>
      <c r="DI171" s="24">
        <f t="shared" si="175"/>
        <v>7.1859555828985755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188.31046827337082</v>
      </c>
      <c r="T172" s="62">
        <f t="shared" si="142"/>
        <v>207.32535726327728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310.95287409903602</v>
      </c>
      <c r="AO172" s="62">
        <f t="shared" si="144"/>
        <v>224.10083380795163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-1.2710188457276673E-13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382.55387448074327</v>
      </c>
      <c r="BJ172" s="62">
        <f t="shared" si="146"/>
        <v>476.29465646955543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0.54175835227829772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3.6857379519867131E-20</v>
      </c>
      <c r="BS172" s="24">
        <f t="shared" si="169"/>
        <v>0.54175835227829772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287.69656598881124</v>
      </c>
      <c r="CE172" s="62">
        <f t="shared" si="148"/>
        <v>221.9773436301067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0.37958140299078053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1.9306561866059889E-20</v>
      </c>
      <c r="CN172" s="24">
        <f t="shared" si="172"/>
        <v>0.37958140299078053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3.3992364478763198E-14</v>
      </c>
      <c r="CV172" s="14">
        <f t="shared" si="173"/>
        <v>5.790027782444094E-13</v>
      </c>
      <c r="CW172" s="22">
        <f t="shared" si="174"/>
        <v>1.0676332069095257E-12</v>
      </c>
      <c r="CX172" s="62">
        <f t="shared" si="122"/>
        <v>293.33333333333439</v>
      </c>
      <c r="CY172" s="62">
        <f ca="1">AVERAGE(OFFSET($CX$3,0,0,'Données projet'!$E$13+1,1))-AVERAGE(OFFSET($H$3,0,0,'Données projet'!$E$13+1,1))</f>
        <v>163.03280205647224</v>
      </c>
      <c r="CZ172" s="62">
        <f t="shared" si="150"/>
        <v>277.12388047243826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6.9736167700600209</v>
      </c>
      <c r="DG172" s="23">
        <f>EXP(-LN(2)/25)*DG171+(1-EXP(-LN(2)/25))/(LN(2)/25)*Calculateur!DB172*Calculateur!DD172*VLOOKUP('Données projet'!$B$13,Paramètres!$A$1:$I$89,3,0)*0.475*44/12</f>
        <v>7.0863023200116948E-2</v>
      </c>
      <c r="DH172" s="23">
        <f>EXP(-LN(2)/2)*DH171+(1-EXP(-LN(2)/2))/(LN(2)/2)*DB172*DE172*VLOOKUP('Données projet'!$B$13,Paramètres!$A$1:$I$89,3,0)*0.475*44/12</f>
        <v>1.3194931851999504E-18</v>
      </c>
      <c r="DI172" s="24">
        <f t="shared" si="175"/>
        <v>7.0444797932601375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188.31046827337082</v>
      </c>
      <c r="T173" s="62">
        <f t="shared" si="142"/>
        <v>207.32535726327728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310.95287409903602</v>
      </c>
      <c r="AO173" s="62">
        <f t="shared" si="144"/>
        <v>224.10083380795163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-1.2710188457276673E-13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382.55387448074327</v>
      </c>
      <c r="BJ173" s="62">
        <f t="shared" si="146"/>
        <v>476.29465646955543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0.53113480143008696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2.6062102995264226E-20</v>
      </c>
      <c r="BS173" s="24">
        <f t="shared" si="169"/>
        <v>0.53113480143008696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287.69656598881124</v>
      </c>
      <c r="CE173" s="62">
        <f t="shared" si="148"/>
        <v>221.9773436301067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0.37213804319992627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1.3651800816888553E-20</v>
      </c>
      <c r="CN173" s="24">
        <f t="shared" si="172"/>
        <v>0.37213804319992627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3.3992364478763198E-14</v>
      </c>
      <c r="CV173" s="14">
        <f t="shared" si="173"/>
        <v>5.790027782444094E-13</v>
      </c>
      <c r="CW173" s="22">
        <f t="shared" si="174"/>
        <v>1.0676332069095257E-12</v>
      </c>
      <c r="CX173" s="62">
        <f t="shared" si="122"/>
        <v>293.33333333333439</v>
      </c>
      <c r="CY173" s="62">
        <f ca="1">AVERAGE(OFFSET($CX$3,0,0,'Données projet'!$E$13+1,1))-AVERAGE(OFFSET($H$3,0,0,'Données projet'!$E$13+1,1))</f>
        <v>163.03280205647224</v>
      </c>
      <c r="CZ173" s="62">
        <f t="shared" si="150"/>
        <v>277.12388047243826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6.8368683986853771</v>
      </c>
      <c r="DG173" s="23">
        <f>EXP(-LN(2)/25)*DG172+(1-EXP(-LN(2)/25))/(LN(2)/25)*Calculateur!DB173*Calculateur!DD173*VLOOKUP('Données projet'!$B$13,Paramètres!$A$1:$I$89,3,0)*0.475*44/12</f>
        <v>6.8925270104185324E-2</v>
      </c>
      <c r="DH173" s="23">
        <f>EXP(-LN(2)/2)*DH172+(1-EXP(-LN(2)/2))/(LN(2)/2)*DB173*DE173*VLOOKUP('Données projet'!$B$13,Paramètres!$A$1:$I$89,3,0)*0.475*44/12</f>
        <v>9.3302257898432196E-19</v>
      </c>
      <c r="DI173" s="24">
        <f t="shared" si="175"/>
        <v>6.9057936687895625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188.31046827337082</v>
      </c>
      <c r="T174" s="62">
        <f t="shared" si="142"/>
        <v>207.32535726327728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310.95287409903602</v>
      </c>
      <c r="AO174" s="62">
        <f t="shared" si="144"/>
        <v>224.10083380795163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-1.2710188457276673E-13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382.55387448074327</v>
      </c>
      <c r="BJ174" s="62">
        <f t="shared" si="146"/>
        <v>476.29465646955543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0.52071957193428342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1.8428689759933566E-20</v>
      </c>
      <c r="BS174" s="24">
        <f t="shared" si="169"/>
        <v>0.52071957193428342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287.69656598881124</v>
      </c>
      <c r="CE174" s="62">
        <f t="shared" si="148"/>
        <v>221.9773436301067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0.36484064315456949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9.6532809330299446E-21</v>
      </c>
      <c r="CN174" s="24">
        <f t="shared" si="172"/>
        <v>0.36484064315456949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3.3992364478763198E-14</v>
      </c>
      <c r="CV174" s="14">
        <f t="shared" si="173"/>
        <v>5.790027782444094E-13</v>
      </c>
      <c r="CW174" s="22">
        <f t="shared" si="174"/>
        <v>1.0676332069095257E-12</v>
      </c>
      <c r="CX174" s="62">
        <f t="shared" si="122"/>
        <v>293.33333333333439</v>
      </c>
      <c r="CY174" s="62">
        <f ca="1">AVERAGE(OFFSET($CX$3,0,0,'Données projet'!$E$13+1,1))-AVERAGE(OFFSET($H$3,0,0,'Données projet'!$E$13+1,1))</f>
        <v>163.03280205647224</v>
      </c>
      <c r="CZ174" s="62">
        <f t="shared" si="150"/>
        <v>277.12388047243826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6.7028015794651195</v>
      </c>
      <c r="DG174" s="23">
        <f>EXP(-LN(2)/25)*DG173+(1-EXP(-LN(2)/25))/(LN(2)/25)*Calculateur!DB174*Calculateur!DD174*VLOOKUP('Données projet'!$B$13,Paramètres!$A$1:$I$89,3,0)*0.475*44/12</f>
        <v>6.7040504968563952E-2</v>
      </c>
      <c r="DH174" s="23">
        <f>EXP(-LN(2)/2)*DH173+(1-EXP(-LN(2)/2))/(LN(2)/2)*DB174*DE174*VLOOKUP('Données projet'!$B$13,Paramètres!$A$1:$I$89,3,0)*0.475*44/12</f>
        <v>6.597465925999752E-19</v>
      </c>
      <c r="DI174" s="24">
        <f t="shared" si="175"/>
        <v>6.7698420844336837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188.31046827337082</v>
      </c>
      <c r="T175" s="62">
        <f t="shared" si="142"/>
        <v>207.32535726327728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310.95287409903602</v>
      </c>
      <c r="AO175" s="62">
        <f t="shared" si="144"/>
        <v>224.10083380795163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-1.2710188457276673E-13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382.55387448074327</v>
      </c>
      <c r="BJ175" s="62">
        <f t="shared" si="146"/>
        <v>476.29465646955543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0.5105085787362299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1.3031051497632113E-20</v>
      </c>
      <c r="BS175" s="24">
        <f t="shared" si="169"/>
        <v>0.5105085787362299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287.69656598881124</v>
      </c>
      <c r="CE175" s="62">
        <f t="shared" si="148"/>
        <v>221.9773436301067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0.3576863406731276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6.8259004084442763E-21</v>
      </c>
      <c r="CN175" s="24">
        <f t="shared" si="172"/>
        <v>0.3576863406731276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3.3992364478763198E-14</v>
      </c>
      <c r="CV175" s="14">
        <f t="shared" si="173"/>
        <v>5.790027782444094E-13</v>
      </c>
      <c r="CW175" s="22">
        <f t="shared" si="174"/>
        <v>1.0676332069095257E-12</v>
      </c>
      <c r="CX175" s="62">
        <f t="shared" si="122"/>
        <v>293.33333333333439</v>
      </c>
      <c r="CY175" s="62">
        <f ca="1">AVERAGE(OFFSET($CX$3,0,0,'Données projet'!$E$13+1,1))-AVERAGE(OFFSET($H$3,0,0,'Données projet'!$E$13+1,1))</f>
        <v>163.03280205647224</v>
      </c>
      <c r="CZ175" s="62">
        <f t="shared" si="150"/>
        <v>277.12388047243826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6.5713637287970856</v>
      </c>
      <c r="DG175" s="23">
        <f>EXP(-LN(2)/25)*DG174+(1-EXP(-LN(2)/25))/(LN(2)/25)*Calculateur!DB175*Calculateur!DD175*VLOOKUP('Données projet'!$B$13,Paramètres!$A$1:$I$89,3,0)*0.475*44/12</f>
        <v>6.5207278834691643E-2</v>
      </c>
      <c r="DH175" s="23">
        <f>EXP(-LN(2)/2)*DH174+(1-EXP(-LN(2)/2))/(LN(2)/2)*DB175*DE175*VLOOKUP('Données projet'!$B$13,Paramètres!$A$1:$I$89,3,0)*0.475*44/12</f>
        <v>4.6651128949216098E-19</v>
      </c>
      <c r="DI175" s="24">
        <f t="shared" si="175"/>
        <v>6.636571007631777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188.31046827337082</v>
      </c>
      <c r="T176" s="62">
        <f t="shared" si="142"/>
        <v>207.32535726327728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310.95287409903602</v>
      </c>
      <c r="AO176" s="62">
        <f t="shared" si="144"/>
        <v>224.10083380795163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-1.2710188457276673E-13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382.55387448074327</v>
      </c>
      <c r="BJ176" s="62">
        <f t="shared" si="146"/>
        <v>476.29465646955543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0.50049781688669925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9.2143448799667829E-21</v>
      </c>
      <c r="BS176" s="24">
        <f t="shared" si="169"/>
        <v>0.50049781688669925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287.69656598881124</v>
      </c>
      <c r="CE176" s="62">
        <f t="shared" si="148"/>
        <v>221.9773436301067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0.35067232969965317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4.8266404665149723E-21</v>
      </c>
      <c r="CN176" s="24">
        <f t="shared" si="172"/>
        <v>0.35067232969965317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3.3992364478763198E-14</v>
      </c>
      <c r="CV176" s="14">
        <f t="shared" si="173"/>
        <v>5.790027782444094E-13</v>
      </c>
      <c r="CW176" s="22">
        <f t="shared" si="174"/>
        <v>1.0676332069095257E-12</v>
      </c>
      <c r="CX176" s="62">
        <f t="shared" si="122"/>
        <v>293.33333333333439</v>
      </c>
      <c r="CY176" s="62">
        <f ca="1">AVERAGE(OFFSET($CX$3,0,0,'Données projet'!$E$13+1,1))-AVERAGE(OFFSET($H$3,0,0,'Données projet'!$E$13+1,1))</f>
        <v>163.03280205647224</v>
      </c>
      <c r="CZ176" s="62">
        <f t="shared" si="150"/>
        <v>277.12388047243826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6.4425032942114786</v>
      </c>
      <c r="DG176" s="23">
        <f>EXP(-LN(2)/25)*DG175+(1-EXP(-LN(2)/25))/(LN(2)/25)*Calculateur!DB176*Calculateur!DD176*VLOOKUP('Données projet'!$B$13,Paramètres!$A$1:$I$89,3,0)*0.475*44/12</f>
        <v>6.3424182365855244E-2</v>
      </c>
      <c r="DH176" s="23">
        <f>EXP(-LN(2)/2)*DH175+(1-EXP(-LN(2)/2))/(LN(2)/2)*DB176*DE176*VLOOKUP('Données projet'!$B$13,Paramètres!$A$1:$I$89,3,0)*0.475*44/12</f>
        <v>3.298732962999876E-19</v>
      </c>
      <c r="DI176" s="24">
        <f t="shared" si="175"/>
        <v>6.5059274765773338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188.31046827337082</v>
      </c>
      <c r="T177" s="62">
        <f t="shared" si="142"/>
        <v>207.32535726327728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310.95287409903602</v>
      </c>
      <c r="AO177" s="62">
        <f t="shared" si="144"/>
        <v>224.10083380795163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-1.2710188457276673E-13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382.55387448074327</v>
      </c>
      <c r="BJ177" s="62">
        <f t="shared" si="146"/>
        <v>476.29465646955543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0.49068335997107615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6.5155257488160565E-21</v>
      </c>
      <c r="BS177" s="24">
        <f t="shared" si="169"/>
        <v>0.49068335997107615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287.69656598881124</v>
      </c>
      <c r="CE177" s="62">
        <f t="shared" si="148"/>
        <v>221.9773436301067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0.34379585920324429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3.4129502042221381E-21</v>
      </c>
      <c r="CN177" s="24">
        <f t="shared" si="172"/>
        <v>0.34379585920324429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3.3992364478763198E-14</v>
      </c>
      <c r="CV177" s="14">
        <f t="shared" si="173"/>
        <v>5.790027782444094E-13</v>
      </c>
      <c r="CW177" s="22">
        <f t="shared" si="174"/>
        <v>1.0676332069095257E-12</v>
      </c>
      <c r="CX177" s="62">
        <f t="shared" si="122"/>
        <v>293.33333333333439</v>
      </c>
      <c r="CY177" s="62">
        <f ca="1">AVERAGE(OFFSET($CX$3,0,0,'Données projet'!$E$13+1,1))-AVERAGE(OFFSET($H$3,0,0,'Données projet'!$E$13+1,1))</f>
        <v>163.03280205647224</v>
      </c>
      <c r="CZ177" s="62">
        <f t="shared" si="150"/>
        <v>277.12388047243826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6.316169734150991</v>
      </c>
      <c r="DG177" s="23">
        <f>EXP(-LN(2)/25)*DG176+(1-EXP(-LN(2)/25))/(LN(2)/25)*Calculateur!DB177*Calculateur!DD177*VLOOKUP('Données projet'!$B$13,Paramètres!$A$1:$I$89,3,0)*0.475*44/12</f>
        <v>6.1689844763728137E-2</v>
      </c>
      <c r="DH177" s="23">
        <f>EXP(-LN(2)/2)*DH176+(1-EXP(-LN(2)/2))/(LN(2)/2)*DB177*DE177*VLOOKUP('Données projet'!$B$13,Paramètres!$A$1:$I$89,3,0)*0.475*44/12</f>
        <v>2.3325564474608049E-19</v>
      </c>
      <c r="DI177" s="24">
        <f t="shared" si="175"/>
        <v>6.3778595789147188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188.31046827337082</v>
      </c>
      <c r="T178" s="62">
        <f t="shared" si="142"/>
        <v>207.32535726327728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310.95287409903602</v>
      </c>
      <c r="AO178" s="62">
        <f t="shared" si="144"/>
        <v>224.10083380795163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-1.2710188457276673E-13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382.55387448074327</v>
      </c>
      <c r="BJ178" s="62">
        <f t="shared" si="146"/>
        <v>476.29465646955543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0.48106135856934074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4.6071724399833914E-21</v>
      </c>
      <c r="BS178" s="24">
        <f t="shared" si="169"/>
        <v>0.48106135856934074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287.69656598881124</v>
      </c>
      <c r="CE178" s="62">
        <f t="shared" si="148"/>
        <v>221.9773436301067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0.33705423209903712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2.4133202332574862E-21</v>
      </c>
      <c r="CN178" s="24">
        <f t="shared" si="172"/>
        <v>0.33705423209903712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3.3992364478763198E-14</v>
      </c>
      <c r="CV178" s="14">
        <f t="shared" si="173"/>
        <v>5.790027782444094E-13</v>
      </c>
      <c r="CW178" s="22">
        <f t="shared" si="174"/>
        <v>1.0676332069095257E-12</v>
      </c>
      <c r="CX178" s="62">
        <f t="shared" si="122"/>
        <v>293.33333333333439</v>
      </c>
      <c r="CY178" s="62">
        <f ca="1">AVERAGE(OFFSET($CX$3,0,0,'Données projet'!$E$13+1,1))-AVERAGE(OFFSET($H$3,0,0,'Données projet'!$E$13+1,1))</f>
        <v>163.03280205647224</v>
      </c>
      <c r="CZ178" s="62">
        <f t="shared" si="150"/>
        <v>277.12388047243826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6.1923134981474268</v>
      </c>
      <c r="DG178" s="23">
        <f>EXP(-LN(2)/25)*DG177+(1-EXP(-LN(2)/25))/(LN(2)/25)*Calculateur!DB178*Calculateur!DD178*VLOOKUP('Données projet'!$B$13,Paramètres!$A$1:$I$89,3,0)*0.475*44/12</f>
        <v>6.000293271453605E-2</v>
      </c>
      <c r="DH178" s="23">
        <f>EXP(-LN(2)/2)*DH177+(1-EXP(-LN(2)/2))/(LN(2)/2)*DB178*DE178*VLOOKUP('Données projet'!$B$13,Paramètres!$A$1:$I$89,3,0)*0.475*44/12</f>
        <v>1.649366481499938E-19</v>
      </c>
      <c r="DI178" s="24">
        <f t="shared" si="175"/>
        <v>6.2523164308619625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188.31046827337082</v>
      </c>
      <c r="T179" s="62">
        <f t="shared" si="142"/>
        <v>207.32535726327728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310.95287409903602</v>
      </c>
      <c r="AO179" s="62">
        <f t="shared" si="144"/>
        <v>224.10083380795163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-1.2710188457276673E-13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382.55387448074327</v>
      </c>
      <c r="BJ179" s="62">
        <f t="shared" si="146"/>
        <v>476.29465646955543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0.47162803874625203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3.2577628744080283E-21</v>
      </c>
      <c r="BS179" s="24">
        <f t="shared" si="169"/>
        <v>0.47162803874625203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287.69656598881124</v>
      </c>
      <c r="CE179" s="62">
        <f t="shared" si="148"/>
        <v>221.9773436301067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0.33044480419035699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1.7064751021110691E-21</v>
      </c>
      <c r="CN179" s="24">
        <f t="shared" si="172"/>
        <v>0.33044480419035699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3.3992364478763198E-14</v>
      </c>
      <c r="CV179" s="14">
        <f t="shared" si="173"/>
        <v>5.790027782444094E-13</v>
      </c>
      <c r="CW179" s="22">
        <f t="shared" si="174"/>
        <v>1.0676332069095257E-12</v>
      </c>
      <c r="CX179" s="62">
        <f t="shared" si="122"/>
        <v>293.33333333333439</v>
      </c>
      <c r="CY179" s="62">
        <f ca="1">AVERAGE(OFFSET($CX$3,0,0,'Données projet'!$E$13+1,1))-AVERAGE(OFFSET($H$3,0,0,'Données projet'!$E$13+1,1))</f>
        <v>163.03280205647224</v>
      </c>
      <c r="CZ179" s="62">
        <f t="shared" si="150"/>
        <v>277.12388047243826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6.0708860073870481</v>
      </c>
      <c r="DG179" s="23">
        <f>EXP(-LN(2)/25)*DG178+(1-EXP(-LN(2)/25))/(LN(2)/25)*Calculateur!DB179*Calculateur!DD179*VLOOKUP('Données projet'!$B$13,Paramètres!$A$1:$I$89,3,0)*0.475*44/12</f>
        <v>5.8362149364039967E-2</v>
      </c>
      <c r="DH179" s="23">
        <f>EXP(-LN(2)/2)*DH178+(1-EXP(-LN(2)/2))/(LN(2)/2)*DB179*DE179*VLOOKUP('Données projet'!$B$13,Paramètres!$A$1:$I$89,3,0)*0.475*44/12</f>
        <v>1.1662782237304025E-19</v>
      </c>
      <c r="DI179" s="24">
        <f t="shared" si="175"/>
        <v>6.1292481567510881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188.31046827337082</v>
      </c>
      <c r="T180" s="62">
        <f t="shared" si="142"/>
        <v>207.32535726327728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310.95287409903602</v>
      </c>
      <c r="AO180" s="62">
        <f t="shared" si="144"/>
        <v>224.10083380795163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-1.2710188457276673E-13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382.55387448074327</v>
      </c>
      <c r="BJ180" s="62">
        <f t="shared" si="146"/>
        <v>476.29465646955543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0.46237970057113714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2.3035862199916957E-21</v>
      </c>
      <c r="BS180" s="24">
        <f t="shared" si="169"/>
        <v>0.46237970057113714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287.69656598881124</v>
      </c>
      <c r="CE180" s="62">
        <f t="shared" si="148"/>
        <v>221.9773436301067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0.32396498313161309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1.2066601166287431E-21</v>
      </c>
      <c r="CN180" s="24">
        <f t="shared" si="172"/>
        <v>0.32396498313161309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3.3992364478763198E-14</v>
      </c>
      <c r="CV180" s="14">
        <f t="shared" si="173"/>
        <v>5.790027782444094E-13</v>
      </c>
      <c r="CW180" s="22">
        <f t="shared" si="174"/>
        <v>1.0676332069095257E-12</v>
      </c>
      <c r="CX180" s="62">
        <f t="shared" si="122"/>
        <v>293.33333333333439</v>
      </c>
      <c r="CY180" s="62">
        <f ca="1">AVERAGE(OFFSET($CX$3,0,0,'Données projet'!$E$13+1,1))-AVERAGE(OFFSET($H$3,0,0,'Données projet'!$E$13+1,1))</f>
        <v>163.03280205647224</v>
      </c>
      <c r="CZ180" s="62">
        <f t="shared" si="150"/>
        <v>277.12388047243826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5.9518396356570245</v>
      </c>
      <c r="DG180" s="23">
        <f>EXP(-LN(2)/25)*DG179+(1-EXP(-LN(2)/25))/(LN(2)/25)*Calculateur!DB180*Calculateur!DD180*VLOOKUP('Données projet'!$B$13,Paramètres!$A$1:$I$89,3,0)*0.475*44/12</f>
        <v>5.6766233320548247E-2</v>
      </c>
      <c r="DH180" s="23">
        <f>EXP(-LN(2)/2)*DH179+(1-EXP(-LN(2)/2))/(LN(2)/2)*DB180*DE180*VLOOKUP('Données projet'!$B$13,Paramètres!$A$1:$I$89,3,0)*0.475*44/12</f>
        <v>8.24683240749969E-20</v>
      </c>
      <c r="DI180" s="24">
        <f t="shared" si="175"/>
        <v>6.0086058689775728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188.31046827337082</v>
      </c>
      <c r="T181" s="62">
        <f t="shared" si="142"/>
        <v>207.32535726327728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310.95287409903602</v>
      </c>
      <c r="AO181" s="62">
        <f t="shared" si="144"/>
        <v>224.10083380795163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-1.2710188457276673E-13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382.55387448074327</v>
      </c>
      <c r="BJ181" s="62">
        <f t="shared" si="146"/>
        <v>476.29465646955543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0.45331271666670697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1.6288814372040141E-21</v>
      </c>
      <c r="BS181" s="24">
        <f t="shared" si="169"/>
        <v>0.45331271666670697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287.69656598881124</v>
      </c>
      <c r="CE181" s="62">
        <f t="shared" si="148"/>
        <v>221.9773436301067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0.31761222741153056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8.5323755105553453E-22</v>
      </c>
      <c r="CN181" s="24">
        <f t="shared" si="172"/>
        <v>0.31761222741153056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3.3992364478763198E-14</v>
      </c>
      <c r="CV181" s="14">
        <f t="shared" si="173"/>
        <v>5.790027782444094E-13</v>
      </c>
      <c r="CW181" s="22">
        <f t="shared" si="174"/>
        <v>1.0676332069095257E-12</v>
      </c>
      <c r="CX181" s="62">
        <f t="shared" si="122"/>
        <v>293.33333333333439</v>
      </c>
      <c r="CY181" s="62">
        <f ca="1">AVERAGE(OFFSET($CX$3,0,0,'Données projet'!$E$13+1,1))-AVERAGE(OFFSET($H$3,0,0,'Données projet'!$E$13+1,1))</f>
        <v>163.03280205647224</v>
      </c>
      <c r="CZ181" s="62">
        <f t="shared" si="150"/>
        <v>277.12388047243826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5.8351276906655096</v>
      </c>
      <c r="DG181" s="23">
        <f>EXP(-LN(2)/25)*DG180+(1-EXP(-LN(2)/25))/(LN(2)/25)*Calculateur!DB181*Calculateur!DD181*VLOOKUP('Données projet'!$B$13,Paramètres!$A$1:$I$89,3,0)*0.475*44/12</f>
        <v>5.5213957685191384E-2</v>
      </c>
      <c r="DH181" s="23">
        <f>EXP(-LN(2)/2)*DH180+(1-EXP(-LN(2)/2))/(LN(2)/2)*DB181*DE181*VLOOKUP('Données projet'!$B$13,Paramètres!$A$1:$I$89,3,0)*0.475*44/12</f>
        <v>5.8313911186520123E-20</v>
      </c>
      <c r="DI181" s="24">
        <f t="shared" si="175"/>
        <v>5.8903416483507014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188.31046827337082</v>
      </c>
      <c r="T182" s="62">
        <f t="shared" si="142"/>
        <v>207.32535726327728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310.95287409903602</v>
      </c>
      <c r="AO182" s="62">
        <f t="shared" si="144"/>
        <v>224.10083380795163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-1.2710188457276673E-13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382.55387448074327</v>
      </c>
      <c r="BJ182" s="62">
        <f t="shared" si="146"/>
        <v>476.29465646955543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0.44442353078632857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1.1517931099958479E-21</v>
      </c>
      <c r="BS182" s="24">
        <f t="shared" si="169"/>
        <v>0.44442353078632857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287.69656598881124</v>
      </c>
      <c r="CE182" s="62">
        <f t="shared" si="148"/>
        <v>221.9773436301067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0.31138404535632047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6.0333005831437154E-22</v>
      </c>
      <c r="CN182" s="24">
        <f t="shared" si="172"/>
        <v>0.31138404535632047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3.3992364478763198E-14</v>
      </c>
      <c r="CV182" s="14">
        <f t="shared" si="173"/>
        <v>5.790027782444094E-13</v>
      </c>
      <c r="CW182" s="22">
        <f t="shared" si="174"/>
        <v>1.0676332069095257E-12</v>
      </c>
      <c r="CX182" s="62">
        <f t="shared" si="122"/>
        <v>293.33333333333439</v>
      </c>
      <c r="CY182" s="62">
        <f ca="1">AVERAGE(OFFSET($CX$3,0,0,'Données projet'!$E$13+1,1))-AVERAGE(OFFSET($H$3,0,0,'Données projet'!$E$13+1,1))</f>
        <v>163.03280205647224</v>
      </c>
      <c r="CZ182" s="62">
        <f t="shared" si="150"/>
        <v>277.12388047243826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5.7207043957280206</v>
      </c>
      <c r="DG182" s="23">
        <f>EXP(-LN(2)/25)*DG181+(1-EXP(-LN(2)/25))/(LN(2)/25)*Calculateur!DB182*Calculateur!DD182*VLOOKUP('Données projet'!$B$13,Paramètres!$A$1:$I$89,3,0)*0.475*44/12</f>
        <v>5.3704129108713985E-2</v>
      </c>
      <c r="DH182" s="23">
        <f>EXP(-LN(2)/2)*DH181+(1-EXP(-LN(2)/2))/(LN(2)/2)*DB182*DE182*VLOOKUP('Données projet'!$B$13,Paramètres!$A$1:$I$89,3,0)*0.475*44/12</f>
        <v>4.123416203749845E-20</v>
      </c>
      <c r="DI182" s="24">
        <f t="shared" si="175"/>
        <v>5.7744085248367343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188.31046827337082</v>
      </c>
      <c r="T183" s="62">
        <f t="shared" si="142"/>
        <v>207.32535726327728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310.95287409903602</v>
      </c>
      <c r="AO183" s="62">
        <f t="shared" si="144"/>
        <v>224.10083380795163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-1.2710188457276673E-13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382.55387448074327</v>
      </c>
      <c r="BJ183" s="62">
        <f t="shared" si="146"/>
        <v>476.29465646955543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0.43570865641919637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8.1444071860200706E-22</v>
      </c>
      <c r="BS183" s="24">
        <f t="shared" si="169"/>
        <v>0.43570865641919637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287.69656598881124</v>
      </c>
      <c r="CE183" s="62">
        <f t="shared" si="148"/>
        <v>221.9773436301067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0.30527799415239709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4.2661877552776727E-22</v>
      </c>
      <c r="CN183" s="24">
        <f t="shared" si="172"/>
        <v>0.30527799415239709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3.3992364478763198E-14</v>
      </c>
      <c r="CV183" s="14">
        <f t="shared" si="173"/>
        <v>5.790027782444094E-13</v>
      </c>
      <c r="CW183" s="22">
        <f t="shared" si="174"/>
        <v>1.0676332069095257E-12</v>
      </c>
      <c r="CX183" s="62">
        <f t="shared" si="122"/>
        <v>293.33333333333439</v>
      </c>
      <c r="CY183" s="62">
        <f ca="1">AVERAGE(OFFSET($CX$3,0,0,'Données projet'!$E$13+1,1))-AVERAGE(OFFSET($H$3,0,0,'Données projet'!$E$13+1,1))</f>
        <v>163.03280205647224</v>
      </c>
      <c r="CZ183" s="62">
        <f t="shared" si="150"/>
        <v>277.12388047243826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5.6085248718129375</v>
      </c>
      <c r="DG183" s="23">
        <f>EXP(-LN(2)/25)*DG182+(1-EXP(-LN(2)/25))/(LN(2)/25)*Calculateur!DB183*Calculateur!DD183*VLOOKUP('Données projet'!$B$13,Paramètres!$A$1:$I$89,3,0)*0.475*44/12</f>
        <v>5.2235586874058791E-2</v>
      </c>
      <c r="DH183" s="23">
        <f>EXP(-LN(2)/2)*DH182+(1-EXP(-LN(2)/2))/(LN(2)/2)*DB183*DE183*VLOOKUP('Données projet'!$B$13,Paramètres!$A$1:$I$89,3,0)*0.475*44/12</f>
        <v>2.9156955593260061E-20</v>
      </c>
      <c r="DI183" s="24">
        <f t="shared" si="175"/>
        <v>5.6607604586869966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188.31046827337082</v>
      </c>
      <c r="T184" s="62">
        <f t="shared" si="142"/>
        <v>207.32535726327728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310.95287409903602</v>
      </c>
      <c r="AO184" s="62">
        <f t="shared" si="144"/>
        <v>224.10083380795163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-1.2710188457276673E-13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382.55387448074327</v>
      </c>
      <c r="BJ184" s="62">
        <f t="shared" si="146"/>
        <v>476.29465646955543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0.42716467542285513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5.7589655499792393E-22</v>
      </c>
      <c r="BS184" s="24">
        <f t="shared" si="169"/>
        <v>0.42716467542285513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287.69656598881124</v>
      </c>
      <c r="CE184" s="62">
        <f t="shared" si="148"/>
        <v>221.9773436301067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0.29929167888825919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3.0166502915718577E-22</v>
      </c>
      <c r="CN184" s="24">
        <f t="shared" si="172"/>
        <v>0.29929167888825919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3.3992364478763198E-14</v>
      </c>
      <c r="CV184" s="14">
        <f t="shared" si="173"/>
        <v>5.790027782444094E-13</v>
      </c>
      <c r="CW184" s="22">
        <f t="shared" si="174"/>
        <v>1.0676332069095257E-12</v>
      </c>
      <c r="CX184" s="62">
        <f t="shared" si="122"/>
        <v>293.33333333333439</v>
      </c>
      <c r="CY184" s="62">
        <f ca="1">AVERAGE(OFFSET($CX$3,0,0,'Données projet'!$E$13+1,1))-AVERAGE(OFFSET($H$3,0,0,'Données projet'!$E$13+1,1))</f>
        <v>163.03280205647224</v>
      </c>
      <c r="CZ184" s="62">
        <f t="shared" si="150"/>
        <v>277.12388047243826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5.4985451199390756</v>
      </c>
      <c r="DG184" s="23">
        <f>EXP(-LN(2)/25)*DG183+(1-EXP(-LN(2)/25))/(LN(2)/25)*Calculateur!DB184*Calculateur!DD184*VLOOKUP('Données projet'!$B$13,Paramètres!$A$1:$I$89,3,0)*0.475*44/12</f>
        <v>5.0807202004037523E-2</v>
      </c>
      <c r="DH184" s="23">
        <f>EXP(-LN(2)/2)*DH183+(1-EXP(-LN(2)/2))/(LN(2)/2)*DB184*DE184*VLOOKUP('Données projet'!$B$13,Paramètres!$A$1:$I$89,3,0)*0.475*44/12</f>
        <v>2.0617081018749225E-20</v>
      </c>
      <c r="DI184" s="24">
        <f t="shared" si="175"/>
        <v>5.5493523219431129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188.31046827337082</v>
      </c>
      <c r="T185" s="62">
        <f t="shared" si="142"/>
        <v>207.32535726327728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310.95287409903602</v>
      </c>
      <c r="AO185" s="62">
        <f t="shared" si="144"/>
        <v>224.10083380795163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-1.2710188457276673E-13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382.55387448074327</v>
      </c>
      <c r="BJ185" s="62">
        <f t="shared" si="146"/>
        <v>476.29465646955543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0.41878823668253828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4.0722035930100353E-22</v>
      </c>
      <c r="BS185" s="24">
        <f t="shared" si="169"/>
        <v>0.41878823668253828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287.69656598881124</v>
      </c>
      <c r="CE185" s="62">
        <f t="shared" si="148"/>
        <v>221.9773436301067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0.29342275161515924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2.1330938776388363E-22</v>
      </c>
      <c r="CN185" s="24">
        <f t="shared" si="172"/>
        <v>0.29342275161515924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3.3992364478763198E-14</v>
      </c>
      <c r="CV185" s="14">
        <f t="shared" si="173"/>
        <v>5.790027782444094E-13</v>
      </c>
      <c r="CW185" s="22">
        <f t="shared" si="174"/>
        <v>1.0676332069095257E-12</v>
      </c>
      <c r="CX185" s="62">
        <f t="shared" si="122"/>
        <v>293.33333333333439</v>
      </c>
      <c r="CY185" s="62">
        <f ca="1">AVERAGE(OFFSET($CX$3,0,0,'Données projet'!$E$13+1,1))-AVERAGE(OFFSET($H$3,0,0,'Données projet'!$E$13+1,1))</f>
        <v>163.03280205647224</v>
      </c>
      <c r="CZ185" s="62">
        <f t="shared" si="150"/>
        <v>277.12388047243826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5.3907220039184347</v>
      </c>
      <c r="DG185" s="23">
        <f>EXP(-LN(2)/25)*DG184+(1-EXP(-LN(2)/25))/(LN(2)/25)*Calculateur!DB185*Calculateur!DD185*VLOOKUP('Données projet'!$B$13,Paramètres!$A$1:$I$89,3,0)*0.475*44/12</f>
        <v>4.9417876393402484E-2</v>
      </c>
      <c r="DH185" s="23">
        <f>EXP(-LN(2)/2)*DH184+(1-EXP(-LN(2)/2))/(LN(2)/2)*DB185*DE185*VLOOKUP('Données projet'!$B$13,Paramètres!$A$1:$I$89,3,0)*0.475*44/12</f>
        <v>1.4578477796630031E-20</v>
      </c>
      <c r="DI185" s="24">
        <f t="shared" si="175"/>
        <v>5.440139880311837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188.31046827337082</v>
      </c>
      <c r="T186" s="62">
        <f t="shared" si="142"/>
        <v>207.32535726327728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310.95287409903602</v>
      </c>
      <c r="AO186" s="62">
        <f t="shared" si="144"/>
        <v>224.10083380795163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-1.2710188457276673E-13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382.55387448074327</v>
      </c>
      <c r="BJ186" s="62">
        <f t="shared" si="146"/>
        <v>476.29465646955543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0.41057605479679593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2.8794827749896196E-22</v>
      </c>
      <c r="BS186" s="24">
        <f t="shared" si="169"/>
        <v>0.41057605479679593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287.69656598881124</v>
      </c>
      <c r="CE186" s="62">
        <f t="shared" si="148"/>
        <v>221.9773436301067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0.28766891042619264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1.5083251457859288E-22</v>
      </c>
      <c r="CN186" s="24">
        <f t="shared" si="172"/>
        <v>0.28766891042619264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3.3992364478763198E-14</v>
      </c>
      <c r="CV186" s="14">
        <f t="shared" si="173"/>
        <v>5.790027782444094E-13</v>
      </c>
      <c r="CW186" s="22">
        <f t="shared" si="174"/>
        <v>1.0676332069095257E-12</v>
      </c>
      <c r="CX186" s="62">
        <f t="shared" si="122"/>
        <v>293.33333333333439</v>
      </c>
      <c r="CY186" s="62">
        <f ca="1">AVERAGE(OFFSET($CX$3,0,0,'Données projet'!$E$13+1,1))-AVERAGE(OFFSET($H$3,0,0,'Données projet'!$E$13+1,1))</f>
        <v>163.03280205647224</v>
      </c>
      <c r="CZ186" s="62">
        <f t="shared" si="150"/>
        <v>277.12388047243826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5.2850132334373523</v>
      </c>
      <c r="DG186" s="23">
        <f>EXP(-LN(2)/25)*DG185+(1-EXP(-LN(2)/25))/(LN(2)/25)*Calculateur!DB186*Calculateur!DD186*VLOOKUP('Données projet'!$B$13,Paramètres!$A$1:$I$89,3,0)*0.475*44/12</f>
        <v>4.8066541964651717E-2</v>
      </c>
      <c r="DH186" s="23">
        <f>EXP(-LN(2)/2)*DH185+(1-EXP(-LN(2)/2))/(LN(2)/2)*DB186*DE186*VLOOKUP('Données projet'!$B$13,Paramètres!$A$1:$I$89,3,0)*0.475*44/12</f>
        <v>1.0308540509374613E-20</v>
      </c>
      <c r="DI186" s="24">
        <f t="shared" si="175"/>
        <v>5.3330797754020036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188.31046827337082</v>
      </c>
      <c r="T187" s="62">
        <f t="shared" si="142"/>
        <v>207.32535726327728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310.95287409903602</v>
      </c>
      <c r="AO187" s="62">
        <f t="shared" si="144"/>
        <v>224.10083380795163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-1.2710188457276673E-13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382.55387448074327</v>
      </c>
      <c r="BJ187" s="62">
        <f t="shared" si="146"/>
        <v>476.29465646955543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0.40252490878889663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2.0361017965050177E-22</v>
      </c>
      <c r="BS187" s="24">
        <f t="shared" si="169"/>
        <v>0.40252490878889663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287.69656598881124</v>
      </c>
      <c r="CE187" s="62">
        <f t="shared" si="148"/>
        <v>221.9773436301067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0.28202789855344507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1.0665469388194182E-22</v>
      </c>
      <c r="CN187" s="24">
        <f t="shared" si="172"/>
        <v>0.28202789855344507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3.3992364478763198E-14</v>
      </c>
      <c r="CV187" s="14">
        <f t="shared" si="173"/>
        <v>5.790027782444094E-13</v>
      </c>
      <c r="CW187" s="22">
        <f t="shared" si="174"/>
        <v>1.0676332069095257E-12</v>
      </c>
      <c r="CX187" s="62">
        <f t="shared" si="122"/>
        <v>293.33333333333439</v>
      </c>
      <c r="CY187" s="62">
        <f ca="1">AVERAGE(OFFSET($CX$3,0,0,'Données projet'!$E$13+1,1))-AVERAGE(OFFSET($H$3,0,0,'Données projet'!$E$13+1,1))</f>
        <v>163.03280205647224</v>
      </c>
      <c r="CZ187" s="62">
        <f t="shared" si="150"/>
        <v>277.12388047243826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5.1813773474694198</v>
      </c>
      <c r="DG187" s="23">
        <f>EXP(-LN(2)/25)*DG186+(1-EXP(-LN(2)/25))/(LN(2)/25)*Calculateur!DB187*Calculateur!DD187*VLOOKUP('Données projet'!$B$13,Paramètres!$A$1:$I$89,3,0)*0.475*44/12</f>
        <v>4.6752159846918731E-2</v>
      </c>
      <c r="DH187" s="23">
        <f>EXP(-LN(2)/2)*DH186+(1-EXP(-LN(2)/2))/(LN(2)/2)*DB187*DE187*VLOOKUP('Données projet'!$B$13,Paramètres!$A$1:$I$89,3,0)*0.475*44/12</f>
        <v>7.2892388983150153E-21</v>
      </c>
      <c r="DI187" s="24">
        <f t="shared" si="175"/>
        <v>5.2281295073163383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188.31046827337082</v>
      </c>
      <c r="T188" s="62">
        <f t="shared" si="142"/>
        <v>207.32535726327728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310.95287409903602</v>
      </c>
      <c r="AO188" s="62">
        <f t="shared" si="144"/>
        <v>224.10083380795163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-1.2710188457276673E-13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382.55387448074327</v>
      </c>
      <c r="BJ188" s="62">
        <f t="shared" si="146"/>
        <v>476.29465646955543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0.39463164084349805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1.4397413874948098E-22</v>
      </c>
      <c r="BS188" s="24">
        <f t="shared" si="169"/>
        <v>0.39463164084349805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287.69656598881124</v>
      </c>
      <c r="CE188" s="62">
        <f t="shared" si="148"/>
        <v>221.9773436301067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0.27649750348284458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7.5416257289296442E-23</v>
      </c>
      <c r="CN188" s="24">
        <f t="shared" si="172"/>
        <v>0.27649750348284458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3.3992364478763198E-14</v>
      </c>
      <c r="CV188" s="14">
        <f t="shared" si="173"/>
        <v>5.790027782444094E-13</v>
      </c>
      <c r="CW188" s="22">
        <f t="shared" si="174"/>
        <v>1.0676332069095257E-12</v>
      </c>
      <c r="CX188" s="62">
        <f t="shared" si="122"/>
        <v>293.33333333333439</v>
      </c>
      <c r="CY188" s="62">
        <f ca="1">AVERAGE(OFFSET($CX$3,0,0,'Données projet'!$E$13+1,1))-AVERAGE(OFFSET($H$3,0,0,'Données projet'!$E$13+1,1))</f>
        <v>163.03280205647224</v>
      </c>
      <c r="CZ188" s="62">
        <f t="shared" si="150"/>
        <v>277.12388047243826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5.0797736980136703</v>
      </c>
      <c r="DG188" s="23">
        <f>EXP(-LN(2)/25)*DG187+(1-EXP(-LN(2)/25))/(LN(2)/25)*Calculateur!DB188*Calculateur!DD188*VLOOKUP('Données projet'!$B$13,Paramètres!$A$1:$I$89,3,0)*0.475*44/12</f>
        <v>4.5473719577315504E-2</v>
      </c>
      <c r="DH188" s="23">
        <f>EXP(-LN(2)/2)*DH187+(1-EXP(-LN(2)/2))/(LN(2)/2)*DB188*DE188*VLOOKUP('Données projet'!$B$13,Paramètres!$A$1:$I$89,3,0)*0.475*44/12</f>
        <v>5.1542702546873063E-21</v>
      </c>
      <c r="DI188" s="24">
        <f t="shared" si="175"/>
        <v>5.1252474175909857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188.31046827337082</v>
      </c>
      <c r="T189" s="62">
        <f t="shared" si="142"/>
        <v>207.32535726327728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310.95287409903602</v>
      </c>
      <c r="AO189" s="62">
        <f t="shared" si="144"/>
        <v>224.10083380795163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-1.2710188457276673E-13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382.55387448074327</v>
      </c>
      <c r="BJ189" s="62">
        <f t="shared" si="146"/>
        <v>476.29465646955543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0.38689315506809069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1.0180508982525088E-22</v>
      </c>
      <c r="BS189" s="24">
        <f t="shared" si="169"/>
        <v>0.38689315506809069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287.69656598881124</v>
      </c>
      <c r="CE189" s="62">
        <f t="shared" si="148"/>
        <v>221.9773436301067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0.27107555608637063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5.3327346940970908E-23</v>
      </c>
      <c r="CN189" s="24">
        <f t="shared" si="172"/>
        <v>0.27107555608637063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3.3992364478763198E-14</v>
      </c>
      <c r="CV189" s="14">
        <f t="shared" si="173"/>
        <v>5.790027782444094E-13</v>
      </c>
      <c r="CW189" s="22">
        <f t="shared" si="174"/>
        <v>1.0676332069095257E-12</v>
      </c>
      <c r="CX189" s="62">
        <f t="shared" si="122"/>
        <v>293.33333333333439</v>
      </c>
      <c r="CY189" s="62">
        <f ca="1">AVERAGE(OFFSET($CX$3,0,0,'Données projet'!$E$13+1,1))-AVERAGE(OFFSET($H$3,0,0,'Données projet'!$E$13+1,1))</f>
        <v>163.03280205647224</v>
      </c>
      <c r="CZ189" s="62">
        <f t="shared" si="150"/>
        <v>277.12388047243826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4.9801624341516408</v>
      </c>
      <c r="DG189" s="23">
        <f>EXP(-LN(2)/25)*DG188+(1-EXP(-LN(2)/25))/(LN(2)/25)*Calculateur!DB189*Calculateur!DD189*VLOOKUP('Données projet'!$B$13,Paramètres!$A$1:$I$89,3,0)*0.475*44/12</f>
        <v>4.423023832411483E-2</v>
      </c>
      <c r="DH189" s="23">
        <f>EXP(-LN(2)/2)*DH188+(1-EXP(-LN(2)/2))/(LN(2)/2)*DB189*DE189*VLOOKUP('Données projet'!$B$13,Paramètres!$A$1:$I$89,3,0)*0.475*44/12</f>
        <v>3.6446194491575077E-21</v>
      </c>
      <c r="DI189" s="24">
        <f t="shared" si="175"/>
        <v>5.0243926724757557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188.31046827337082</v>
      </c>
      <c r="T190" s="62">
        <f t="shared" si="142"/>
        <v>207.32535726327728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310.95287409903602</v>
      </c>
      <c r="AO190" s="62">
        <f t="shared" si="144"/>
        <v>224.10083380795163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-1.2710188457276673E-13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382.55387448074327</v>
      </c>
      <c r="BJ190" s="62">
        <f t="shared" si="146"/>
        <v>476.29465646955543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0.3793064162787288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7.1987069374740491E-23</v>
      </c>
      <c r="BS190" s="24">
        <f t="shared" si="169"/>
        <v>0.3793064162787288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287.69656598881124</v>
      </c>
      <c r="CE190" s="62">
        <f t="shared" si="148"/>
        <v>221.9773436301067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0.26575992977128016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3.7708128644648221E-23</v>
      </c>
      <c r="CN190" s="24">
        <f t="shared" si="172"/>
        <v>0.26575992977128016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3.3992364478763198E-14</v>
      </c>
      <c r="CV190" s="14">
        <f t="shared" si="173"/>
        <v>5.790027782444094E-13</v>
      </c>
      <c r="CW190" s="22">
        <f t="shared" si="174"/>
        <v>1.0676332069095257E-12</v>
      </c>
      <c r="CX190" s="62">
        <f t="shared" si="122"/>
        <v>293.33333333333439</v>
      </c>
      <c r="CY190" s="62">
        <f ca="1">AVERAGE(OFFSET($CX$3,0,0,'Données projet'!$E$13+1,1))-AVERAGE(OFFSET($H$3,0,0,'Données projet'!$E$13+1,1))</f>
        <v>163.03280205647224</v>
      </c>
      <c r="CZ190" s="62">
        <f t="shared" si="150"/>
        <v>277.12388047243826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4.8825044864170737</v>
      </c>
      <c r="DG190" s="23">
        <f>EXP(-LN(2)/25)*DG189+(1-EXP(-LN(2)/25))/(LN(2)/25)*Calculateur!DB190*Calculateur!DD190*VLOOKUP('Données projet'!$B$13,Paramètres!$A$1:$I$89,3,0)*0.475*44/12</f>
        <v>4.3020760131174764E-2</v>
      </c>
      <c r="DH190" s="23">
        <f>EXP(-LN(2)/2)*DH189+(1-EXP(-LN(2)/2))/(LN(2)/2)*DB190*DE190*VLOOKUP('Données projet'!$B$13,Paramètres!$A$1:$I$89,3,0)*0.475*44/12</f>
        <v>2.5771351273436531E-21</v>
      </c>
      <c r="DI190" s="24">
        <f t="shared" si="175"/>
        <v>4.9255252465482489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188.31046827337082</v>
      </c>
      <c r="T191" s="62">
        <f t="shared" si="142"/>
        <v>207.32535726327728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310.95287409903602</v>
      </c>
      <c r="AO191" s="62">
        <f t="shared" si="144"/>
        <v>224.10083380795163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-1.2710188457276673E-13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382.55387448074327</v>
      </c>
      <c r="BJ191" s="62">
        <f t="shared" si="146"/>
        <v>476.29465646955543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0.37186844880957254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5.0902544912625441E-23</v>
      </c>
      <c r="BS191" s="24">
        <f t="shared" si="169"/>
        <v>0.37186844880957254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287.69656598881124</v>
      </c>
      <c r="CE191" s="62">
        <f t="shared" si="148"/>
        <v>221.9773436301067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0.26054853964601671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2.6663673470485454E-23</v>
      </c>
      <c r="CN191" s="24">
        <f t="shared" si="172"/>
        <v>0.26054853964601671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3.3992364478763198E-14</v>
      </c>
      <c r="CV191" s="14">
        <f t="shared" si="173"/>
        <v>5.790027782444094E-13</v>
      </c>
      <c r="CW191" s="22">
        <f t="shared" si="174"/>
        <v>1.0676332069095257E-12</v>
      </c>
      <c r="CX191" s="62">
        <f t="shared" si="122"/>
        <v>293.33333333333439</v>
      </c>
      <c r="CY191" s="62">
        <f ca="1">AVERAGE(OFFSET($CX$3,0,0,'Données projet'!$E$13+1,1))-AVERAGE(OFFSET($H$3,0,0,'Données projet'!$E$13+1,1))</f>
        <v>163.03280205647224</v>
      </c>
      <c r="CZ191" s="62">
        <f t="shared" si="150"/>
        <v>277.12388047243826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4.7867615514721154</v>
      </c>
      <c r="DG191" s="23">
        <f>EXP(-LN(2)/25)*DG190+(1-EXP(-LN(2)/25))/(LN(2)/25)*Calculateur!DB191*Calculateur!DD191*VLOOKUP('Données projet'!$B$13,Paramètres!$A$1:$I$89,3,0)*0.475*44/12</f>
        <v>4.1844355183024338E-2</v>
      </c>
      <c r="DH191" s="23">
        <f>EXP(-LN(2)/2)*DH190+(1-EXP(-LN(2)/2))/(LN(2)/2)*DB191*DE191*VLOOKUP('Données projet'!$B$13,Paramètres!$A$1:$I$89,3,0)*0.475*44/12</f>
        <v>1.8223097245787538E-21</v>
      </c>
      <c r="DI191" s="24">
        <f t="shared" si="175"/>
        <v>4.8286059066551399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188.31046827337082</v>
      </c>
      <c r="T192" s="62">
        <f t="shared" si="142"/>
        <v>207.32535726327728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310.95287409903602</v>
      </c>
      <c r="AO192" s="62">
        <f t="shared" si="144"/>
        <v>224.10083380795163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-1.2710188457276673E-13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382.55387448074327</v>
      </c>
      <c r="BJ192" s="62">
        <f t="shared" si="146"/>
        <v>476.29465646955543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0.36457633534577422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3.5993534687370246E-23</v>
      </c>
      <c r="BS192" s="24">
        <f t="shared" si="169"/>
        <v>0.36457633534577422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287.69656598881124</v>
      </c>
      <c r="CE192" s="62">
        <f t="shared" si="148"/>
        <v>221.9773436301067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0.25543934170247556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1.8854064322324111E-23</v>
      </c>
      <c r="CN192" s="24">
        <f t="shared" si="172"/>
        <v>0.25543934170247556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3.3992364478763198E-14</v>
      </c>
      <c r="CV192" s="14">
        <f t="shared" si="173"/>
        <v>5.790027782444094E-13</v>
      </c>
      <c r="CW192" s="22">
        <f t="shared" si="174"/>
        <v>1.0676332069095257E-12</v>
      </c>
      <c r="CX192" s="62">
        <f t="shared" si="122"/>
        <v>293.33333333333439</v>
      </c>
      <c r="CY192" s="62">
        <f ca="1">AVERAGE(OFFSET($CX$3,0,0,'Données projet'!$E$13+1,1))-AVERAGE(OFFSET($H$3,0,0,'Données projet'!$E$13+1,1))</f>
        <v>163.03280205647224</v>
      </c>
      <c r="CZ192" s="62">
        <f t="shared" si="150"/>
        <v>277.12388047243826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4.6928960770840034</v>
      </c>
      <c r="DG192" s="23">
        <f>EXP(-LN(2)/25)*DG191+(1-EXP(-LN(2)/25))/(LN(2)/25)*Calculateur!DB192*Calculateur!DD192*VLOOKUP('Données projet'!$B$13,Paramètres!$A$1:$I$89,3,0)*0.475*44/12</f>
        <v>4.0700119090045533E-2</v>
      </c>
      <c r="DH192" s="23">
        <f>EXP(-LN(2)/2)*DH191+(1-EXP(-LN(2)/2))/(LN(2)/2)*DB192*DE192*VLOOKUP('Données projet'!$B$13,Paramètres!$A$1:$I$89,3,0)*0.475*44/12</f>
        <v>1.2885675636718266E-21</v>
      </c>
      <c r="DI192" s="24">
        <f t="shared" si="175"/>
        <v>4.7335961961740489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188.31046827337082</v>
      </c>
      <c r="T193" s="62">
        <f t="shared" si="142"/>
        <v>207.32535726327728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310.95287409903602</v>
      </c>
      <c r="AO193" s="62">
        <f t="shared" si="144"/>
        <v>224.10083380795163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-1.2710188457276673E-13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382.55387448074327</v>
      </c>
      <c r="BJ193" s="62">
        <f t="shared" si="146"/>
        <v>476.29465646955543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0.35742721577925096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2.5451272456312721E-23</v>
      </c>
      <c r="BS193" s="24">
        <f t="shared" si="169"/>
        <v>0.35742721577925096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287.69656598881124</v>
      </c>
      <c r="CE193" s="62">
        <f t="shared" si="148"/>
        <v>221.9773436301067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0.2504303320143042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1.3331836735242727E-23</v>
      </c>
      <c r="CN193" s="24">
        <f t="shared" si="172"/>
        <v>0.2504303320143042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3.3992364478763198E-14</v>
      </c>
      <c r="CV193" s="14">
        <f t="shared" si="173"/>
        <v>5.790027782444094E-13</v>
      </c>
      <c r="CW193" s="22">
        <f t="shared" si="174"/>
        <v>1.0676332069095257E-12</v>
      </c>
      <c r="CX193" s="62">
        <f t="shared" si="122"/>
        <v>293.33333333333439</v>
      </c>
      <c r="CY193" s="62">
        <f ca="1">AVERAGE(OFFSET($CX$3,0,0,'Données projet'!$E$13+1,1))-AVERAGE(OFFSET($H$3,0,0,'Données projet'!$E$13+1,1))</f>
        <v>163.03280205647224</v>
      </c>
      <c r="CZ193" s="62">
        <f t="shared" si="150"/>
        <v>277.12388047243826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4.6008712473963564</v>
      </c>
      <c r="DG193" s="23">
        <f>EXP(-LN(2)/25)*DG192+(1-EXP(-LN(2)/25))/(LN(2)/25)*Calculateur!DB193*Calculateur!DD193*VLOOKUP('Données projet'!$B$13,Paramètres!$A$1:$I$89,3,0)*0.475*44/12</f>
        <v>3.9587172193202E-2</v>
      </c>
      <c r="DH193" s="23">
        <f>EXP(-LN(2)/2)*DH192+(1-EXP(-LN(2)/2))/(LN(2)/2)*DB193*DE193*VLOOKUP('Données projet'!$B$13,Paramètres!$A$1:$I$89,3,0)*0.475*44/12</f>
        <v>9.1115486228937691E-22</v>
      </c>
      <c r="DI193" s="24">
        <f t="shared" si="175"/>
        <v>4.6404584195895584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188.31046827337082</v>
      </c>
      <c r="T194" s="62">
        <f t="shared" si="142"/>
        <v>207.32535726327728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310.95287409903602</v>
      </c>
      <c r="AO194" s="62">
        <f t="shared" si="144"/>
        <v>224.10083380795163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-1.2710188457276673E-13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382.55387448074327</v>
      </c>
      <c r="BJ194" s="62">
        <f t="shared" si="146"/>
        <v>476.29465646955543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0.35041828608689485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1.7996767343685123E-23</v>
      </c>
      <c r="BS194" s="24">
        <f t="shared" si="169"/>
        <v>0.35041828608689485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287.69656598881124</v>
      </c>
      <c r="CE194" s="62">
        <f t="shared" si="148"/>
        <v>221.9773436301067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0.24551954595092368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9.4270321611620553E-24</v>
      </c>
      <c r="CN194" s="24">
        <f t="shared" si="172"/>
        <v>0.24551954595092368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3.3992364478763198E-14</v>
      </c>
      <c r="CV194" s="14">
        <f t="shared" si="173"/>
        <v>5.790027782444094E-13</v>
      </c>
      <c r="CW194" s="22">
        <f t="shared" si="174"/>
        <v>1.0676332069095257E-12</v>
      </c>
      <c r="CX194" s="62">
        <f t="shared" si="122"/>
        <v>293.33333333333439</v>
      </c>
      <c r="CY194" s="62">
        <f ca="1">AVERAGE(OFFSET($CX$3,0,0,'Données projet'!$E$13+1,1))-AVERAGE(OFFSET($H$3,0,0,'Données projet'!$E$13+1,1))</f>
        <v>163.03280205647224</v>
      </c>
      <c r="CZ194" s="62">
        <f t="shared" si="150"/>
        <v>277.12388047243826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4.5106509684892799</v>
      </c>
      <c r="DG194" s="23">
        <f>EXP(-LN(2)/25)*DG193+(1-EXP(-LN(2)/25))/(LN(2)/25)*Calculateur!DB194*Calculateur!DD194*VLOOKUP('Données projet'!$B$13,Paramètres!$A$1:$I$89,3,0)*0.475*44/12</f>
        <v>3.8504658887779986E-2</v>
      </c>
      <c r="DH194" s="23">
        <f>EXP(-LN(2)/2)*DH193+(1-EXP(-LN(2)/2))/(LN(2)/2)*DB194*DE194*VLOOKUP('Données projet'!$B$13,Paramètres!$A$1:$I$89,3,0)*0.475*44/12</f>
        <v>6.4428378183591328E-22</v>
      </c>
      <c r="DI194" s="24">
        <f t="shared" si="175"/>
        <v>4.5491556273770595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188.31046827337082</v>
      </c>
      <c r="T195" s="62">
        <f t="shared" si="142"/>
        <v>207.32535726327728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310.95287409903602</v>
      </c>
      <c r="AO195" s="62">
        <f t="shared" si="144"/>
        <v>224.10083380795163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-1.2710188457276673E-13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382.55387448074327</v>
      </c>
      <c r="BJ195" s="62">
        <f t="shared" si="146"/>
        <v>476.29465646955543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0.34354679723078085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1.272563622815636E-23</v>
      </c>
      <c r="BS195" s="24">
        <f t="shared" si="169"/>
        <v>0.34354679723078085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287.69656598881124</v>
      </c>
      <c r="CE195" s="62">
        <f t="shared" si="148"/>
        <v>221.9773436301067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0.2407050574069623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6.6659183676213636E-24</v>
      </c>
      <c r="CN195" s="24">
        <f t="shared" si="172"/>
        <v>0.2407050574069623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3.3992364478763198E-14</v>
      </c>
      <c r="CV195" s="14">
        <f t="shared" si="173"/>
        <v>5.790027782444094E-13</v>
      </c>
      <c r="CW195" s="22">
        <f t="shared" si="174"/>
        <v>1.0676332069095257E-12</v>
      </c>
      <c r="CX195" s="62">
        <f t="shared" si="122"/>
        <v>293.33333333333439</v>
      </c>
      <c r="CY195" s="62">
        <f ca="1">AVERAGE(OFFSET($CX$3,0,0,'Données projet'!$E$13+1,1))-AVERAGE(OFFSET($H$3,0,0,'Données projet'!$E$13+1,1))</f>
        <v>163.03280205647224</v>
      </c>
      <c r="CZ195" s="62">
        <f t="shared" si="150"/>
        <v>277.12388047243826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4.4221998542226348</v>
      </c>
      <c r="DG195" s="23">
        <f>EXP(-LN(2)/25)*DG194+(1-EXP(-LN(2)/25))/(LN(2)/25)*Calculateur!DB195*Calculateur!DD195*VLOOKUP('Données projet'!$B$13,Paramètres!$A$1:$I$89,3,0)*0.475*44/12</f>
        <v>3.7451746965621632E-2</v>
      </c>
      <c r="DH195" s="23">
        <f>EXP(-LN(2)/2)*DH194+(1-EXP(-LN(2)/2))/(LN(2)/2)*DB195*DE195*VLOOKUP('Données projet'!$B$13,Paramètres!$A$1:$I$89,3,0)*0.475*44/12</f>
        <v>4.5557743114468846E-22</v>
      </c>
      <c r="DI195" s="24">
        <f t="shared" si="175"/>
        <v>4.4596516011882565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188.31046827337082</v>
      </c>
      <c r="T196" s="62">
        <f t="shared" si="142"/>
        <v>207.32535726327728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310.95287409903602</v>
      </c>
      <c r="AO196" s="62">
        <f t="shared" si="144"/>
        <v>224.10083380795163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-1.2710188457276673E-13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382.55387448074327</v>
      </c>
      <c r="BJ196" s="62">
        <f t="shared" si="146"/>
        <v>476.29465646955543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0.33681005407994091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8.9983836718425614E-24</v>
      </c>
      <c r="BS196" s="24">
        <f t="shared" si="169"/>
        <v>0.33681005407994091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287.69656598881124</v>
      </c>
      <c r="CE196" s="62">
        <f t="shared" si="148"/>
        <v>221.9773436301067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0.23598497804679994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4.7135160805810276E-24</v>
      </c>
      <c r="CN196" s="24">
        <f t="shared" si="172"/>
        <v>0.23598497804679994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3.3992364478763198E-14</v>
      </c>
      <c r="CV196" s="14">
        <f t="shared" si="173"/>
        <v>5.790027782444094E-13</v>
      </c>
      <c r="CW196" s="22">
        <f t="shared" si="174"/>
        <v>1.0676332069095257E-12</v>
      </c>
      <c r="CX196" s="62">
        <f t="shared" ref="CX196:CX203" si="196">CW196+(CO196+CP196)*44/12</f>
        <v>293.33333333333439</v>
      </c>
      <c r="CY196" s="62">
        <f ca="1">AVERAGE(OFFSET($CX$3,0,0,'Données projet'!$E$13+1,1))-AVERAGE(OFFSET($H$3,0,0,'Données projet'!$E$13+1,1))</f>
        <v>163.03280205647224</v>
      </c>
      <c r="CZ196" s="62">
        <f t="shared" si="150"/>
        <v>277.12388047243826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4.3354832123569063</v>
      </c>
      <c r="DG196" s="23">
        <f>EXP(-LN(2)/25)*DG195+(1-EXP(-LN(2)/25))/(LN(2)/25)*Calculateur!DB196*Calculateur!DD196*VLOOKUP('Données projet'!$B$13,Paramètres!$A$1:$I$89,3,0)*0.475*44/12</f>
        <v>3.6427626975344934E-2</v>
      </c>
      <c r="DH196" s="23">
        <f>EXP(-LN(2)/2)*DH195+(1-EXP(-LN(2)/2))/(LN(2)/2)*DB196*DE196*VLOOKUP('Données projet'!$B$13,Paramètres!$A$1:$I$89,3,0)*0.475*44/12</f>
        <v>3.2214189091795664E-22</v>
      </c>
      <c r="DI196" s="24">
        <f t="shared" si="175"/>
        <v>4.3719108393322514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188.31046827337082</v>
      </c>
      <c r="T197" s="62">
        <f t="shared" ref="T197:T203" si="204">$T$3</f>
        <v>207.32535726327728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310.95287409903602</v>
      </c>
      <c r="AO197" s="62">
        <f t="shared" ref="AO197:AO203" si="205">$AO$3</f>
        <v>224.10083380795163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-1.2710188457276673E-13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382.55387448074327</v>
      </c>
      <c r="BJ197" s="62">
        <f t="shared" ref="BJ197:BJ203" si="206">$BJ$3</f>
        <v>476.29465646955543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0.33020541435328138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6.3628181140781802E-24</v>
      </c>
      <c r="BS197" s="24">
        <f t="shared" si="169"/>
        <v>0.33020541435328138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287.69656598881124</v>
      </c>
      <c r="CE197" s="62">
        <f t="shared" ref="CE197:CE203" si="207">$CE$3</f>
        <v>221.9773436301067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0.23135745656392623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3.3329591838106818E-24</v>
      </c>
      <c r="CN197" s="24">
        <f t="shared" si="172"/>
        <v>0.23135745656392623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3.3992364478763198E-14</v>
      </c>
      <c r="CV197" s="14">
        <f t="shared" si="173"/>
        <v>5.790027782444094E-13</v>
      </c>
      <c r="CW197" s="22">
        <f t="shared" si="174"/>
        <v>1.0676332069095257E-12</v>
      </c>
      <c r="CX197" s="62">
        <f t="shared" si="196"/>
        <v>293.33333333333439</v>
      </c>
      <c r="CY197" s="62">
        <f ca="1">AVERAGE(OFFSET($CX$3,0,0,'Données projet'!$E$13+1,1))-AVERAGE(OFFSET($H$3,0,0,'Données projet'!$E$13+1,1))</f>
        <v>163.03280205647224</v>
      </c>
      <c r="CZ197" s="62">
        <f t="shared" ref="CZ197:CZ203" si="208">$CZ$3</f>
        <v>277.12388047243826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4.2504670309462353</v>
      </c>
      <c r="DG197" s="23">
        <f>EXP(-LN(2)/25)*DG196+(1-EXP(-LN(2)/25))/(LN(2)/25)*Calculateur!DB197*Calculateur!DD197*VLOOKUP('Données projet'!$B$13,Paramètres!$A$1:$I$89,3,0)*0.475*44/12</f>
        <v>3.5431511600058481E-2</v>
      </c>
      <c r="DH197" s="23">
        <f>EXP(-LN(2)/2)*DH196+(1-EXP(-LN(2)/2))/(LN(2)/2)*DB197*DE197*VLOOKUP('Données projet'!$B$13,Paramètres!$A$1:$I$89,3,0)*0.475*44/12</f>
        <v>2.2778871557234423E-22</v>
      </c>
      <c r="DI197" s="24">
        <f t="shared" si="175"/>
        <v>4.2858985425462937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188.31046827337082</v>
      </c>
      <c r="T198" s="62">
        <f t="shared" si="204"/>
        <v>207.32535726327728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310.95287409903602</v>
      </c>
      <c r="AO198" s="62">
        <f t="shared" si="205"/>
        <v>224.10083380795163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-1.2710188457276673E-13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382.55387448074327</v>
      </c>
      <c r="BJ198" s="62">
        <f t="shared" si="206"/>
        <v>476.29465646955543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0.32373028758322914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4.4991918359212807E-24</v>
      </c>
      <c r="BS198" s="24">
        <f t="shared" si="169"/>
        <v>0.32373028758322914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287.69656598881124</v>
      </c>
      <c r="CE198" s="62">
        <f t="shared" si="207"/>
        <v>221.9773436301067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0.22682067795482228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2.3567580402905138E-24</v>
      </c>
      <c r="CN198" s="24">
        <f t="shared" si="172"/>
        <v>0.22682067795482228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3.3992364478763198E-14</v>
      </c>
      <c r="CV198" s="14">
        <f t="shared" si="173"/>
        <v>5.790027782444094E-13</v>
      </c>
      <c r="CW198" s="22">
        <f t="shared" si="174"/>
        <v>1.0676332069095257E-12</v>
      </c>
      <c r="CX198" s="62">
        <f t="shared" si="196"/>
        <v>293.33333333333439</v>
      </c>
      <c r="CY198" s="62">
        <f ca="1">AVERAGE(OFFSET($CX$3,0,0,'Données projet'!$E$13+1,1))-AVERAGE(OFFSET($H$3,0,0,'Données projet'!$E$13+1,1))</f>
        <v>163.03280205647224</v>
      </c>
      <c r="CZ198" s="62">
        <f t="shared" si="208"/>
        <v>277.12388047243826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4.1671179649982779</v>
      </c>
      <c r="DG198" s="23">
        <f>EXP(-LN(2)/25)*DG197+(1-EXP(-LN(2)/25))/(LN(2)/25)*Calculateur!DB198*Calculateur!DD198*VLOOKUP('Données projet'!$B$13,Paramètres!$A$1:$I$89,3,0)*0.475*44/12</f>
        <v>3.4462635052092669E-2</v>
      </c>
      <c r="DH198" s="23">
        <f>EXP(-LN(2)/2)*DH197+(1-EXP(-LN(2)/2))/(LN(2)/2)*DB198*DE198*VLOOKUP('Données projet'!$B$13,Paramètres!$A$1:$I$89,3,0)*0.475*44/12</f>
        <v>1.6107094545897832E-22</v>
      </c>
      <c r="DI198" s="24">
        <f t="shared" si="175"/>
        <v>4.2015806000503702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188.31046827337082</v>
      </c>
      <c r="T199" s="62">
        <f t="shared" si="204"/>
        <v>207.32535726327728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310.95287409903602</v>
      </c>
      <c r="AO199" s="62">
        <f t="shared" si="205"/>
        <v>224.10083380795163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-1.2710188457276673E-13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382.55387448074327</v>
      </c>
      <c r="BJ199" s="62">
        <f t="shared" si="206"/>
        <v>476.29465646955543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0.31738213409970029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3.1814090570390901E-24</v>
      </c>
      <c r="BS199" s="24">
        <f t="shared" si="169"/>
        <v>0.31738213409970029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287.69656598881124</v>
      </c>
      <c r="CE199" s="62">
        <f t="shared" si="207"/>
        <v>221.9773436301067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0.22237286280708113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1.6664795919053409E-24</v>
      </c>
      <c r="CN199" s="24">
        <f t="shared" si="172"/>
        <v>0.22237286280708113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3.3992364478763198E-14</v>
      </c>
      <c r="CV199" s="14">
        <f t="shared" si="173"/>
        <v>5.790027782444094E-13</v>
      </c>
      <c r="CW199" s="22">
        <f t="shared" si="174"/>
        <v>1.0676332069095257E-12</v>
      </c>
      <c r="CX199" s="62">
        <f t="shared" si="196"/>
        <v>293.33333333333439</v>
      </c>
      <c r="CY199" s="62">
        <f ca="1">AVERAGE(OFFSET($CX$3,0,0,'Données projet'!$E$13+1,1))-AVERAGE(OFFSET($H$3,0,0,'Données projet'!$E$13+1,1))</f>
        <v>163.03280205647224</v>
      </c>
      <c r="CZ199" s="62">
        <f t="shared" si="208"/>
        <v>277.12388047243826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4.0854033233956493</v>
      </c>
      <c r="DG199" s="23">
        <f>EXP(-LN(2)/25)*DG198+(1-EXP(-LN(2)/25))/(LN(2)/25)*Calculateur!DB199*Calculateur!DD199*VLOOKUP('Données projet'!$B$13,Paramètres!$A$1:$I$89,3,0)*0.475*44/12</f>
        <v>3.3520252484281983E-2</v>
      </c>
      <c r="DH199" s="23">
        <f>EXP(-LN(2)/2)*DH198+(1-EXP(-LN(2)/2))/(LN(2)/2)*DB199*DE199*VLOOKUP('Données projet'!$B$13,Paramètres!$A$1:$I$89,3,0)*0.475*44/12</f>
        <v>1.1389435778617211E-22</v>
      </c>
      <c r="DI199" s="24">
        <f t="shared" si="175"/>
        <v>4.118923575879931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188.31046827337082</v>
      </c>
      <c r="T200" s="62">
        <f t="shared" si="204"/>
        <v>207.32535726327728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310.95287409903602</v>
      </c>
      <c r="AO200" s="62">
        <f t="shared" si="205"/>
        <v>224.10083380795163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-1.2710188457276673E-13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382.55387448074327</v>
      </c>
      <c r="BJ200" s="62">
        <f t="shared" si="206"/>
        <v>476.29465646955543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0.31115846403399211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2.2495959179606403E-24</v>
      </c>
      <c r="BS200" s="24">
        <f t="shared" si="169"/>
        <v>0.31115846403399211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287.69656598881124</v>
      </c>
      <c r="CE200" s="62">
        <f t="shared" si="207"/>
        <v>221.9773436301067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0.21801226660148784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1.1783790201452569E-24</v>
      </c>
      <c r="CN200" s="24">
        <f t="shared" si="172"/>
        <v>0.21801226660148784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3.3992364478763198E-14</v>
      </c>
      <c r="CV200" s="14">
        <f t="shared" si="173"/>
        <v>5.790027782444094E-13</v>
      </c>
      <c r="CW200" s="22">
        <f t="shared" si="174"/>
        <v>1.0676332069095257E-12</v>
      </c>
      <c r="CX200" s="62">
        <f t="shared" si="196"/>
        <v>293.33333333333439</v>
      </c>
      <c r="CY200" s="62">
        <f ca="1">AVERAGE(OFFSET($CX$3,0,0,'Données projet'!$E$13+1,1))-AVERAGE(OFFSET($H$3,0,0,'Données projet'!$E$13+1,1))</f>
        <v>163.03280205647224</v>
      </c>
      <c r="CZ200" s="62">
        <f t="shared" si="208"/>
        <v>277.12388047243826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4.0052910560738377</v>
      </c>
      <c r="DG200" s="23">
        <f>EXP(-LN(2)/25)*DG199+(1-EXP(-LN(2)/25))/(LN(2)/25)*Calculateur!DB200*Calculateur!DD200*VLOOKUP('Données projet'!$B$13,Paramètres!$A$1:$I$89,3,0)*0.475*44/12</f>
        <v>3.2603639417345828E-2</v>
      </c>
      <c r="DH200" s="23">
        <f>EXP(-LN(2)/2)*DH199+(1-EXP(-LN(2)/2))/(LN(2)/2)*DB200*DE200*VLOOKUP('Données projet'!$B$13,Paramètres!$A$1:$I$89,3,0)*0.475*44/12</f>
        <v>8.053547272948916E-23</v>
      </c>
      <c r="DI200" s="24">
        <f t="shared" si="175"/>
        <v>4.0378946954911834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188.31046827337082</v>
      </c>
      <c r="T201" s="62">
        <f t="shared" si="204"/>
        <v>207.32535726327728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310.95287409903602</v>
      </c>
      <c r="AO201" s="62">
        <f t="shared" si="205"/>
        <v>224.10083380795163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-1.2710188457276673E-13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382.55387448074327</v>
      </c>
      <c r="BJ201" s="62">
        <f t="shared" si="206"/>
        <v>476.29465646955543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0.30505683634220859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1.590704528519545E-24</v>
      </c>
      <c r="BS201" s="24">
        <f t="shared" si="169"/>
        <v>0.30505683634220859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287.69656598881124</v>
      </c>
      <c r="CE201" s="62">
        <f t="shared" si="207"/>
        <v>221.9773436301067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0.21373717902778516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8.3323979595267044E-25</v>
      </c>
      <c r="CN201" s="24">
        <f t="shared" si="172"/>
        <v>0.21373717902778516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3.3992364478763198E-14</v>
      </c>
      <c r="CV201" s="14">
        <f t="shared" si="173"/>
        <v>5.790027782444094E-13</v>
      </c>
      <c r="CW201" s="22">
        <f t="shared" si="174"/>
        <v>1.0676332069095257E-12</v>
      </c>
      <c r="CX201" s="62">
        <f t="shared" si="196"/>
        <v>293.33333333333439</v>
      </c>
      <c r="CY201" s="62">
        <f ca="1">AVERAGE(OFFSET($CX$3,0,0,'Données projet'!$E$13+1,1))-AVERAGE(OFFSET($H$3,0,0,'Données projet'!$E$13+1,1))</f>
        <v>163.03280205647224</v>
      </c>
      <c r="CZ201" s="62">
        <f t="shared" si="208"/>
        <v>277.12388047243826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3.926749741450549</v>
      </c>
      <c r="DG201" s="23">
        <f>EXP(-LN(2)/25)*DG200+(1-EXP(-LN(2)/25))/(LN(2)/25)*Calculateur!DB201*Calculateur!DD201*VLOOKUP('Données projet'!$B$13,Paramètres!$A$1:$I$89,3,0)*0.475*44/12</f>
        <v>3.1712091182927629E-2</v>
      </c>
      <c r="DH201" s="23">
        <f>EXP(-LN(2)/2)*DH200+(1-EXP(-LN(2)/2))/(LN(2)/2)*DB201*DE201*VLOOKUP('Données projet'!$B$13,Paramètres!$A$1:$I$89,3,0)*0.475*44/12</f>
        <v>5.6947178893086057E-23</v>
      </c>
      <c r="DI201" s="24">
        <f t="shared" si="175"/>
        <v>3.9584618326334766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188.31046827337082</v>
      </c>
      <c r="T202" s="62">
        <f t="shared" si="204"/>
        <v>207.32535726327728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310.95287409903602</v>
      </c>
      <c r="AO202" s="62">
        <f t="shared" si="205"/>
        <v>224.10083380795163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-1.2710188457276673E-13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382.55387448074327</v>
      </c>
      <c r="BJ202" s="62">
        <f t="shared" si="206"/>
        <v>476.29465646955543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0.29907485784783555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1.1247979589803202E-24</v>
      </c>
      <c r="BS202" s="24">
        <f t="shared" si="169"/>
        <v>0.29907485784783555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287.69656598881124</v>
      </c>
      <c r="CE202" s="62">
        <f t="shared" si="207"/>
        <v>221.9773436301067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0.20954592331385685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5.8918951007262846E-25</v>
      </c>
      <c r="CN202" s="24">
        <f t="shared" si="172"/>
        <v>0.20954592331385685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3.3992364478763198E-14</v>
      </c>
      <c r="CV202" s="14">
        <f t="shared" si="173"/>
        <v>5.790027782444094E-13</v>
      </c>
      <c r="CW202" s="22">
        <f t="shared" si="174"/>
        <v>1.0676332069095257E-12</v>
      </c>
      <c r="CX202" s="62">
        <f t="shared" si="196"/>
        <v>293.33333333333439</v>
      </c>
      <c r="CY202" s="62">
        <f ca="1">AVERAGE(OFFSET($CX$3,0,0,'Données projet'!$E$13+1,1))-AVERAGE(OFFSET($H$3,0,0,'Données projet'!$E$13+1,1))</f>
        <v>163.03280205647224</v>
      </c>
      <c r="CZ202" s="62">
        <f t="shared" si="208"/>
        <v>277.12388047243826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3.8497485741015516</v>
      </c>
      <c r="DG202" s="23">
        <f>EXP(-LN(2)/25)*DG201+(1-EXP(-LN(2)/25))/(LN(2)/25)*Calculateur!DB202*Calculateur!DD202*VLOOKUP('Données projet'!$B$13,Paramètres!$A$1:$I$89,3,0)*0.475*44/12</f>
        <v>3.0844922381864075E-2</v>
      </c>
      <c r="DH202" s="23">
        <f>EXP(-LN(2)/2)*DH201+(1-EXP(-LN(2)/2))/(LN(2)/2)*DB202*DE202*VLOOKUP('Données projet'!$B$13,Paramètres!$A$1:$I$89,3,0)*0.475*44/12</f>
        <v>4.026773636474458E-23</v>
      </c>
      <c r="DI202" s="24">
        <f t="shared" si="175"/>
        <v>3.8805934964834154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188.31046827337082</v>
      </c>
      <c r="T203" s="62">
        <f t="shared" si="204"/>
        <v>207.32535726327728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310.95287409903602</v>
      </c>
      <c r="AO203" s="62">
        <f t="shared" si="205"/>
        <v>224.10083380795163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-1.2710188457276673E-13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382.55387448074327</v>
      </c>
      <c r="BJ203" s="62">
        <f t="shared" si="206"/>
        <v>476.29465646955543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0.29321018230309054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7.9535226425977252E-25</v>
      </c>
      <c r="BS203" s="24">
        <f t="shared" si="169"/>
        <v>0.29321018230309054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287.69656598881124</v>
      </c>
      <c r="CE203" s="62">
        <f t="shared" si="207"/>
        <v>221.9773436301067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0.20543685556806512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4.1661989797633522E-25</v>
      </c>
      <c r="CN203" s="24">
        <f t="shared" si="172"/>
        <v>0.20543685556806512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3.3992364478763198E-14</v>
      </c>
      <c r="CV203" s="14">
        <f t="shared" si="173"/>
        <v>5.790027782444094E-13</v>
      </c>
      <c r="CW203" s="22">
        <f t="shared" si="174"/>
        <v>1.0676332069095257E-12</v>
      </c>
      <c r="CX203" s="62">
        <f t="shared" si="196"/>
        <v>293.33333333333439</v>
      </c>
      <c r="CY203" s="62">
        <f ca="1">AVERAGE(OFFSET($CX$3,0,0,'Données projet'!$E$13+1,1))-AVERAGE(OFFSET($H$3,0,0,'Données projet'!$E$13+1,1))</f>
        <v>163.03280205647224</v>
      </c>
      <c r="CZ203" s="62">
        <f t="shared" si="208"/>
        <v>277.12388047243826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3.7742573526781933</v>
      </c>
      <c r="DG203" s="23">
        <f>EXP(-LN(2)/25)*DG202+(1-EXP(-LN(2)/25))/(LN(2)/25)*Calculateur!DB203*Calculateur!DD203*VLOOKUP('Données projet'!$B$13,Paramètres!$A$1:$I$89,3,0)*0.475*44/12</f>
        <v>3.0001466357268032E-2</v>
      </c>
      <c r="DH203" s="23">
        <f>EXP(-LN(2)/2)*DH202+(1-EXP(-LN(2)/2))/(LN(2)/2)*DB203*DE203*VLOOKUP('Données projet'!$B$13,Paramètres!$A$1:$I$89,3,0)*0.475*44/12</f>
        <v>2.8473589446543029E-23</v>
      </c>
      <c r="DI203" s="24">
        <f t="shared" si="175"/>
        <v>3.8042588190354611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1.2441746677543575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1.3070441688874561</v>
      </c>
      <c r="BV205" s="88">
        <f>EXP(LN('Données projet'!B114)/'Données projet'!A114)</f>
        <v>1.244502252163008</v>
      </c>
      <c r="CQ205" s="88">
        <f>EXP(LN('Données projet'!B140)/'Données projet'!A140)</f>
        <v>1.3939124009120489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N13" sqref="N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2.754</v>
      </c>
      <c r="C6" s="156">
        <f ca="1">IF(OR('Données projet'!B9="",'Données projet'!C9="",'Données projet'!C9=0%),0,Calculateur!S3)</f>
        <v>188.31046827337082</v>
      </c>
      <c r="D6" s="156">
        <f>IF(OR('Données projet'!B9="",'Données projet'!C9="",'Données projet'!C9=0%),0,Calculateur!T3)</f>
        <v>207.32535726327728</v>
      </c>
      <c r="E6" s="156">
        <f ca="1">MIN(C6,D6)</f>
        <v>188.31046827337082</v>
      </c>
      <c r="F6" s="156">
        <f ca="1">E6*B6</f>
        <v>518.60702962486323</v>
      </c>
      <c r="G6" s="156">
        <f ca="1">F6*(100%-'Données projet'!$C$24)*(100%-'Données projet'!$C$25)*(100%-'Données projet'!$C$26)*(100%-'Données projet'!$C$27)</f>
        <v>396.73437766302038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47.506500000000003</v>
      </c>
      <c r="K6" s="160">
        <f>J6*(100%-'Données projet'!$C$24)*(100%-'Données projet'!$C$25)*(100%-'Données projet'!$C$26)*(100%-'Données projet'!$C$27)</f>
        <v>36.3424725</v>
      </c>
      <c r="L6" s="161">
        <f ca="1">G6+I6+K6</f>
        <v>433.07685016302037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3.5640000000000001</v>
      </c>
      <c r="C7" s="156">
        <f ca="1">IF(OR('Données projet'!B10="",'Données projet'!C10="",'Données projet'!C10=0%),0,Calculateur!AN3)</f>
        <v>310.95287409903602</v>
      </c>
      <c r="D7" s="156">
        <f>IF(OR('Données projet'!B10="",'Données projet'!C10="",'Données projet'!C10=0%),0,Calculateur!AO3)</f>
        <v>224.10083380795163</v>
      </c>
      <c r="E7" s="156">
        <f t="shared" ref="E7:E15" ca="1" si="0">MIN(C7,D7)</f>
        <v>224.10083380795163</v>
      </c>
      <c r="F7" s="156">
        <f t="shared" ref="F7:F15" ca="1" si="1">E7*B7</f>
        <v>798.69537169153966</v>
      </c>
      <c r="G7" s="156">
        <f ca="1">F7*(100%-'Données projet'!$C$24)*(100%-'Données projet'!$C$25)*(100%-'Données projet'!$C$26)*(100%-'Données projet'!$C$27)</f>
        <v>611.0019593440278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611.0019593440278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5.0219999999999994</v>
      </c>
      <c r="C8" s="156">
        <f ca="1">IF(OR('Données projet'!B11="",'Données projet'!C11="",'Données projet'!C11=0%),0,Calculateur!BI3)</f>
        <v>382.55387448074327</v>
      </c>
      <c r="D8" s="156">
        <f>IF(OR('Données projet'!B11="",'Données projet'!C11="",'Données projet'!C11=0%),0,Calculateur!BJ3)</f>
        <v>476.29465646955543</v>
      </c>
      <c r="E8" s="156">
        <f t="shared" ca="1" si="0"/>
        <v>382.55387448074327</v>
      </c>
      <c r="F8" s="156">
        <f t="shared" ca="1" si="1"/>
        <v>1921.1855576422925</v>
      </c>
      <c r="G8" s="156">
        <f ca="1">F8*(100%-'Données projet'!$C$24)*(100%-'Données projet'!$C$25)*(100%-'Données projet'!$C$26)*(100%-'Données projet'!$C$27)</f>
        <v>1469.7069515963535</v>
      </c>
      <c r="H8" s="164">
        <f>IF(OR('Données projet'!B11="",'Données projet'!C11="",'Données projet'!C11=0%),0,AVERAGE(Calculateur!$BS$3:$BS$33)*B8)</f>
        <v>22.161912070214896</v>
      </c>
      <c r="I8" s="158">
        <f>H8*(100%-'Données projet'!$C$24)*(100%-'Données projet'!$C$25)*(100%-'Données projet'!$C$26)*(100%-'Données projet'!$C$27)</f>
        <v>16.953862733714395</v>
      </c>
      <c r="J8" s="159">
        <f>IF(OR('Données projet'!B11="",'Données projet'!C11="",'Données projet'!C11=0%),0,SUM(Calculateur!$BL$3:$BL$33)*VLOOKUP('Données projet'!$B$11,Paramètres!$A$1:$I$89,9,0)*B8)</f>
        <v>233.22167999999996</v>
      </c>
      <c r="K8" s="160">
        <f>J8*(100%-'Données projet'!$C$24)*(100%-'Données projet'!$C$25)*(100%-'Données projet'!$C$26)*(100%-'Données projet'!$C$27)</f>
        <v>178.41458519999995</v>
      </c>
      <c r="L8" s="161">
        <f t="shared" ca="1" si="2"/>
        <v>1665.0753995300679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2.1059999999999999</v>
      </c>
      <c r="C9" s="156">
        <f ca="1">IF(OR('Données projet'!B12="",'Données projet'!C12="",'Données projet'!C12=0%),0,Calculateur!CD3)</f>
        <v>287.69656598881124</v>
      </c>
      <c r="D9" s="156">
        <f>IF(OR('Données projet'!B12="",'Données projet'!C12="",'Données projet'!C12=0%),0,Calculateur!CE3)</f>
        <v>221.9773436301067</v>
      </c>
      <c r="E9" s="156">
        <f t="shared" ca="1" si="0"/>
        <v>221.9773436301067</v>
      </c>
      <c r="F9" s="156">
        <f t="shared" ca="1" si="1"/>
        <v>467.48428568500469</v>
      </c>
      <c r="G9" s="156">
        <f ca="1">F9*(100%-'Données projet'!$C$24)*(100%-'Données projet'!$C$25)*(100%-'Données projet'!$C$26)*(100%-'Données projet'!$C$27)</f>
        <v>357.62547854902857</v>
      </c>
      <c r="H9" s="164">
        <f>IF(OR('Données projet'!B12="",'Données projet'!C12="",'Données projet'!C12=0%),0,AVERAGE(Calculateur!$CN$3:$CN$33)*B9)</f>
        <v>6.0097774627357685</v>
      </c>
      <c r="I9" s="158">
        <f>H9*(100%-'Données projet'!$C$24)*(100%-'Données projet'!$C$25)*(100%-'Données projet'!$C$26)*(100%-'Données projet'!$C$27)</f>
        <v>4.5974797589928631</v>
      </c>
      <c r="J9" s="159">
        <f>IF(OR('Données projet'!B12="",'Données projet'!C12="",'Données projet'!C12=0%),0,SUM(Calculateur!$CG$3:$CG$33)*VLOOKUP('Données projet'!$B$12,Paramètres!$A$1:$I$89,9,0)*B9)</f>
        <v>60.673859999999991</v>
      </c>
      <c r="K9" s="160">
        <f>J9*(100%-'Données projet'!$C$24)*(100%-'Données projet'!$C$25)*(100%-'Données projet'!$C$26)*(100%-'Données projet'!$C$27)</f>
        <v>46.415502899999993</v>
      </c>
      <c r="L9" s="161">
        <f t="shared" ca="1" si="2"/>
        <v>408.6384612080214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maritime</v>
      </c>
      <c r="B10" s="163">
        <f>'Données projet'!D13</f>
        <v>2.754</v>
      </c>
      <c r="C10" s="156">
        <f ca="1">IF(OR('Données projet'!B13="",'Données projet'!C13="",'Données projet'!C13=0%),0,Calculateur!CY3)</f>
        <v>163.03280205647224</v>
      </c>
      <c r="D10" s="156">
        <f>IF(OR('Données projet'!B13="",'Données projet'!C13="",'Données projet'!C13=0%),0,Calculateur!CZ3)</f>
        <v>277.12388047243826</v>
      </c>
      <c r="E10" s="156">
        <f t="shared" ca="1" si="0"/>
        <v>163.03280205647224</v>
      </c>
      <c r="F10" s="156">
        <f t="shared" ca="1" si="1"/>
        <v>448.99233686352454</v>
      </c>
      <c r="G10" s="156">
        <f ca="1">F10*(100%-'Données projet'!$C$24)*(100%-'Données projet'!$C$25)*(100%-'Données projet'!$C$26)*(100%-'Données projet'!$C$27)</f>
        <v>343.47913770059631</v>
      </c>
      <c r="H10" s="164">
        <f>IF(OR('Données projet'!B13="",'Données projet'!C13="",'Données projet'!C13=0%),0,AVERAGE(Calculateur!$DI$3:$DI$33)*B10)</f>
        <v>22.547134808706677</v>
      </c>
      <c r="I10" s="158">
        <f>H10*(100%-'Données projet'!$C$24)*(100%-'Données projet'!$C$25)*(100%-'Données projet'!$C$26)*(100%-'Données projet'!$C$27)</f>
        <v>17.248558128660608</v>
      </c>
      <c r="J10" s="159">
        <f>IF(OR('Données projet'!B13="",'Données projet'!C13="",'Données projet'!C13=0%),0,SUM(Calculateur!$DB$3:$DB$33)*VLOOKUP('Données projet'!$B$13,Paramètres!$A$1:$I$89,9,0)*B10)</f>
        <v>177.10974000000002</v>
      </c>
      <c r="K10" s="160">
        <f>J10*(100%-'Données projet'!$C$24)*(100%-'Données projet'!$C$25)*(100%-'Données projet'!$C$26)*(100%-'Données projet'!$C$27)</f>
        <v>135.48895110000001</v>
      </c>
      <c r="L10" s="161">
        <f t="shared" ca="1" si="2"/>
        <v>496.21664692925691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4154.9645815072245</v>
      </c>
      <c r="G16" s="175">
        <f t="shared" ca="1" si="3"/>
        <v>3178.5479048530269</v>
      </c>
      <c r="H16" s="176">
        <f t="shared" si="3"/>
        <v>50.718824341657339</v>
      </c>
      <c r="I16" s="176">
        <f t="shared" si="3"/>
        <v>38.799900621367868</v>
      </c>
      <c r="J16" s="177">
        <f t="shared" si="3"/>
        <v>518.51177999999993</v>
      </c>
      <c r="K16" s="177">
        <f t="shared" si="3"/>
        <v>396.66151169999995</v>
      </c>
      <c r="L16" s="178">
        <f t="shared" ca="1" si="3"/>
        <v>3614.0093171743943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maritime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3" zoomScale="90" zoomScaleNormal="90" workbookViewId="0">
      <selection activeCell="V32" sqref="V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691.17932606810473</v>
      </c>
      <c r="U10" s="190">
        <f>'Données projet'!D9</f>
        <v>2.754</v>
      </c>
      <c r="V10" s="189">
        <f>U10*T10</f>
        <v>1903.5078639915605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2286.9218691238189</v>
      </c>
      <c r="U11" s="190">
        <f>'Données projet'!D10</f>
        <v>3.5640000000000001</v>
      </c>
      <c r="V11" s="189">
        <f t="shared" ref="V11" si="0">U11*T11</f>
        <v>8150.5895415572904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6951.9788983529234</v>
      </c>
      <c r="U12" s="190">
        <f>'Données projet'!D11</f>
        <v>5.0219999999999994</v>
      </c>
      <c r="V12" s="189">
        <f t="shared" ref="V12:V19" si="1">U12*T12</f>
        <v>34912.838027528378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2300.2476247668906</v>
      </c>
      <c r="U13" s="190">
        <f>'Données projet'!D12</f>
        <v>2.1059999999999999</v>
      </c>
      <c r="V13" s="189">
        <f t="shared" si="1"/>
        <v>4844.3214977590715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maritime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4143.2881761716862</v>
      </c>
      <c r="U14" s="190">
        <f>'Données projet'!D13</f>
        <v>2.754</v>
      </c>
      <c r="V14" s="189">
        <f t="shared" si="1"/>
        <v>11410.615637176825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3730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932.5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932.5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17</v>
      </c>
      <c r="C23" s="206">
        <v>5</v>
      </c>
      <c r="D23" s="194">
        <f>B23*C23</f>
        <v>85</v>
      </c>
      <c r="E23" s="206"/>
      <c r="F23" s="261"/>
      <c r="H23" s="203">
        <v>3</v>
      </c>
      <c r="I23" s="204">
        <v>932.5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-53399.084387744755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26</v>
      </c>
      <c r="C24" s="206">
        <v>7</v>
      </c>
      <c r="D24" s="194">
        <f t="shared" ref="D24:D42" si="2">B24*C24</f>
        <v>182</v>
      </c>
      <c r="E24" s="206"/>
      <c r="F24" s="264"/>
      <c r="H24" s="203">
        <v>4</v>
      </c>
      <c r="I24" s="204">
        <v>932.5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2082.249251248003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26</v>
      </c>
      <c r="C25" s="206">
        <v>9</v>
      </c>
      <c r="D25" s="194">
        <f t="shared" si="2"/>
        <v>234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-55481.333638992757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25</v>
      </c>
      <c r="C26" s="206">
        <v>9</v>
      </c>
      <c r="D26" s="194">
        <f t="shared" si="2"/>
        <v>225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23</v>
      </c>
      <c r="C27" s="206">
        <v>9</v>
      </c>
      <c r="D27" s="194">
        <f t="shared" si="2"/>
        <v>207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206">
        <v>14</v>
      </c>
      <c r="D28" s="194">
        <f t="shared" si="2"/>
        <v>294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19</v>
      </c>
      <c r="C29" s="206">
        <v>14</v>
      </c>
      <c r="D29" s="194">
        <f t="shared" si="2"/>
        <v>266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18</v>
      </c>
      <c r="C30" s="206">
        <v>14</v>
      </c>
      <c r="D30" s="194">
        <f t="shared" si="2"/>
        <v>252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16</v>
      </c>
      <c r="C31" s="206">
        <v>17</v>
      </c>
      <c r="D31" s="194">
        <f t="shared" si="2"/>
        <v>272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14</v>
      </c>
      <c r="C32" s="206">
        <v>17</v>
      </c>
      <c r="D32" s="194">
        <f t="shared" si="2"/>
        <v>238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12</v>
      </c>
      <c r="C33" s="206">
        <v>17</v>
      </c>
      <c r="D33" s="194">
        <f t="shared" si="2"/>
        <v>204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11</v>
      </c>
      <c r="C34" s="206">
        <v>20</v>
      </c>
      <c r="D34" s="194">
        <f t="shared" si="2"/>
        <v>220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9</v>
      </c>
      <c r="C35" s="206">
        <v>25</v>
      </c>
      <c r="D35" s="194">
        <f t="shared" si="2"/>
        <v>225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8</v>
      </c>
      <c r="C36" s="206">
        <v>30</v>
      </c>
      <c r="D36" s="194">
        <f t="shared" si="2"/>
        <v>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193</v>
      </c>
      <c r="C37" s="206">
        <v>80</v>
      </c>
      <c r="D37" s="194">
        <f t="shared" si="2"/>
        <v>15440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10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20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>
        <v>30</v>
      </c>
      <c r="D56" s="191">
        <f t="shared" si="4"/>
        <v>2640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40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>
        <v>50</v>
      </c>
      <c r="D58" s="191">
        <f t="shared" si="4"/>
        <v>5100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>
        <v>60</v>
      </c>
      <c r="D59" s="191">
        <f t="shared" si="4"/>
        <v>6780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>
        <v>70</v>
      </c>
      <c r="D60" s="191">
        <f t="shared" si="4"/>
        <v>8680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>
        <v>75</v>
      </c>
      <c r="D61" s="191">
        <f t="shared" si="4"/>
        <v>10125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>
        <v>80</v>
      </c>
      <c r="D62" s="191">
        <f t="shared" si="4"/>
        <v>57840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19</v>
      </c>
      <c r="B85" s="193">
        <f>'Données projet'!D88</f>
        <v>0</v>
      </c>
      <c r="C85" s="204">
        <v>10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54</v>
      </c>
      <c r="C86" s="204">
        <v>20</v>
      </c>
      <c r="D86" s="191">
        <f t="shared" ref="D86:D104" si="6">B86*C86</f>
        <v>1080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54</v>
      </c>
      <c r="C87" s="204">
        <v>30</v>
      </c>
      <c r="D87" s="191">
        <f t="shared" si="6"/>
        <v>1620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69</v>
      </c>
      <c r="C88" s="204">
        <v>40</v>
      </c>
      <c r="D88" s="191">
        <f t="shared" si="6"/>
        <v>2760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72</v>
      </c>
      <c r="C89" s="204">
        <v>50</v>
      </c>
      <c r="D89" s="191">
        <f t="shared" si="6"/>
        <v>3600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66</v>
      </c>
      <c r="C90" s="204">
        <v>60</v>
      </c>
      <c r="D90" s="191">
        <f t="shared" si="6"/>
        <v>3960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48</v>
      </c>
      <c r="C91" s="204">
        <v>70</v>
      </c>
      <c r="D91" s="191">
        <f t="shared" si="6"/>
        <v>3360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35</v>
      </c>
      <c r="C92" s="204">
        <v>75</v>
      </c>
      <c r="D92" s="191">
        <f t="shared" si="6"/>
        <v>2625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666</v>
      </c>
      <c r="C93" s="204">
        <v>80</v>
      </c>
      <c r="D93" s="191">
        <f t="shared" si="6"/>
        <v>53280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22</v>
      </c>
      <c r="B116" s="193">
        <f>'Données projet'!D114</f>
        <v>16</v>
      </c>
      <c r="C116" s="204">
        <v>5</v>
      </c>
      <c r="D116" s="191">
        <f>B116*C116</f>
        <v>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17</v>
      </c>
      <c r="C117" s="204">
        <v>10</v>
      </c>
      <c r="D117" s="191">
        <f t="shared" ref="D117:D135" si="8">B117*C117</f>
        <v>170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34</v>
      </c>
      <c r="C118" s="204">
        <v>15</v>
      </c>
      <c r="D118" s="191">
        <f t="shared" si="8"/>
        <v>510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41</v>
      </c>
      <c r="C119" s="204">
        <v>20</v>
      </c>
      <c r="D119" s="191">
        <f t="shared" si="8"/>
        <v>820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41</v>
      </c>
      <c r="C120" s="204">
        <v>25</v>
      </c>
      <c r="D120" s="191">
        <f t="shared" si="8"/>
        <v>1025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53</v>
      </c>
      <c r="C121" s="204">
        <v>30</v>
      </c>
      <c r="D121" s="191">
        <f t="shared" si="8"/>
        <v>1590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53</v>
      </c>
      <c r="C122" s="204">
        <v>35</v>
      </c>
      <c r="D122" s="191">
        <f t="shared" si="8"/>
        <v>1855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58</v>
      </c>
      <c r="B123" s="193">
        <f>'Données projet'!D121</f>
        <v>78</v>
      </c>
      <c r="C123" s="204">
        <v>40</v>
      </c>
      <c r="D123" s="191">
        <f t="shared" si="8"/>
        <v>3120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66</v>
      </c>
      <c r="B124" s="193">
        <f>'Données projet'!D122</f>
        <v>65</v>
      </c>
      <c r="C124" s="204">
        <v>45</v>
      </c>
      <c r="D124" s="191">
        <f t="shared" si="8"/>
        <v>2925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74</v>
      </c>
      <c r="B125" s="193">
        <f>'Données projet'!D123</f>
        <v>37</v>
      </c>
      <c r="C125" s="204">
        <v>50</v>
      </c>
      <c r="D125" s="191">
        <f t="shared" si="8"/>
        <v>1850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82</v>
      </c>
      <c r="B126" s="193">
        <f>'Données projet'!D124</f>
        <v>555</v>
      </c>
      <c r="C126" s="204">
        <v>55</v>
      </c>
      <c r="D126" s="191">
        <f t="shared" si="8"/>
        <v>30525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maritime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13</v>
      </c>
      <c r="B147" s="187">
        <f>'Données projet'!D140</f>
        <v>15</v>
      </c>
      <c r="C147" s="204">
        <v>10</v>
      </c>
      <c r="D147" s="194">
        <f>B147*C147</f>
        <v>150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19</v>
      </c>
      <c r="B148" s="187">
        <f>'Données projet'!D141</f>
        <v>40</v>
      </c>
      <c r="C148" s="204">
        <v>20</v>
      </c>
      <c r="D148" s="194">
        <f t="shared" ref="D148:D166" si="10">B148*C148</f>
        <v>800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54</v>
      </c>
      <c r="C149" s="204">
        <v>30</v>
      </c>
      <c r="D149" s="194">
        <f t="shared" si="10"/>
        <v>1620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0</v>
      </c>
      <c r="C150" s="204">
        <v>40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38</v>
      </c>
      <c r="B151" s="187">
        <f>'Données projet'!D144</f>
        <v>338</v>
      </c>
      <c r="C151" s="204">
        <v>50</v>
      </c>
      <c r="D151" s="194">
        <f t="shared" si="10"/>
        <v>16900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2024-02-16T12:54:25Z</dcterms:modified>
</cp:coreProperties>
</file>