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Bureautique\agences et bureaux\AGENCE LIMOUSIN\_TIERS\_PROPRIETAIRES_\GF DE BEAUVAIS--AD815\23 THAURON--AD815P3\LBC reboisement--2023-CCA-47\LBC 1-Montage dossier\Documents techniques\"/>
    </mc:Choice>
  </mc:AlternateContent>
  <xr:revisionPtr revIDLastSave="0" documentId="13_ncr:1_{8A704E67-D5B1-41F8-B956-B9613AFF0D92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<sst xmlns="http://schemas.openxmlformats.org/spreadsheetml/2006/main" count="1173" uniqueCount="325">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</sst>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1.798593949207703</c:v>
                </c:pt>
                <c:pt idx="2">
                  <c:v>2.2256540279235608</c:v>
                </c:pt>
                <c:pt idx="3">
                  <c:v>2.7545128358231423</c:v>
                </c:pt>
                <c:pt idx="4">
                  <c:v>3.4095257388585782</c:v>
                </c:pt>
                <c:pt idx="5">
                  <c:v>4.2208952223887648</c:v>
                </c:pt>
                <c:pt idx="6">
                  <c:v>5.2260791338936876</c:v>
                </c:pt>
                <c:pt idx="7">
                  <c:v>6.4715390940870243</c:v>
                </c:pt>
                <c:pt idx="8">
                  <c:v>8.0149114684794363</c:v>
                </c:pt>
                <c:pt idx="9">
                  <c:v>9.927703296904788</c:v>
                </c:pt>
                <c:pt idx="10">
                  <c:v>12.298640452364912</c:v>
                </c:pt>
                <c:pt idx="11">
                  <c:v>15.237826229911176</c:v>
                </c:pt>
                <c:pt idx="12">
                  <c:v>18.88190702830537</c:v>
                </c:pt>
                <c:pt idx="13">
                  <c:v>23.400489619998314</c:v>
                </c:pt>
                <c:pt idx="14">
                  <c:v>29.004113995961465</c:v>
                </c:pt>
                <c:pt idx="15">
                  <c:v>35.954159767859231</c:v>
                </c:pt>
                <c:pt idx="16">
                  <c:v>44.575156154015268</c:v>
                </c:pt>
                <c:pt idx="17">
                  <c:v>55.270080077532498</c:v>
                </c:pt>
                <c:pt idx="18">
                  <c:v>68.539369353982067</c:v>
                </c:pt>
                <c:pt idx="19">
                  <c:v>85.004555175285915</c:v>
                </c:pt>
                <c:pt idx="20">
                  <c:v>105.43763861202622</c:v>
                </c:pt>
                <c:pt idx="21">
                  <c:v>130.79761024819999</c:v>
                </c:pt>
                <c:pt idx="22">
                  <c:v>162.27585351475153</c:v>
                </c:pt>
                <c:pt idx="23">
                  <c:v>201.35259721650723</c:v>
                </c:pt>
                <c:pt idx="24">
                  <c:v>249.86711159083032</c:v>
                </c:pt>
                <c:pt idx="25">
                  <c:v>310.10500044645312</c:v>
                </c:pt>
                <c:pt idx="26">
                  <c:v>263.02087901561271</c:v>
                </c:pt>
                <c:pt idx="27">
                  <c:v>286.67021485790582</c:v>
                </c:pt>
                <c:pt idx="28">
                  <c:v>310.27590864650665</c:v>
                </c:pt>
                <c:pt idx="29">
                  <c:v>333.84174556627698</c:v>
                </c:pt>
                <c:pt idx="30">
                  <c:v>357.37093282892039</c:v>
                </c:pt>
                <c:pt idx="31">
                  <c:v>380.86622096643327</c:v>
                </c:pt>
                <c:pt idx="32">
                  <c:v>404.32999360363414</c:v>
                </c:pt>
                <c:pt idx="33">
                  <c:v>326.41748112711605</c:v>
                </c:pt>
                <c:pt idx="34">
                  <c:v>342.71196210314361</c:v>
                </c:pt>
                <c:pt idx="35">
                  <c:v>358.98941951205092</c:v>
                </c:pt>
                <c:pt idx="36">
                  <c:v>375.25073375414127</c:v>
                </c:pt>
                <c:pt idx="37">
                  <c:v>391.49670271051724</c:v>
                </c:pt>
                <c:pt idx="38">
                  <c:v>407.72805265215624</c:v>
                </c:pt>
                <c:pt idx="39">
                  <c:v>423.94544732107471</c:v>
                </c:pt>
                <c:pt idx="40">
                  <c:v>440.14949554946821</c:v>
                </c:pt>
                <c:pt idx="41">
                  <c:v>456.3407576984373</c:v>
                </c:pt>
                <c:pt idx="42">
                  <c:v>472.51975113540533</c:v>
                </c:pt>
                <c:pt idx="43">
                  <c:v>488.68695492240795</c:v>
                </c:pt>
                <c:pt idx="44">
                  <c:v>504.84281385180907</c:v>
                </c:pt>
                <c:pt idx="45">
                  <c:v>520.98774193866586</c:v>
                </c:pt>
                <c:pt idx="46">
                  <c:v>537.12212545780744</c:v>
                </c:pt>
                <c:pt idx="47">
                  <c:v>448.71292632384802</c:v>
                </c:pt>
                <c:pt idx="48">
                  <c:v>462.18691460745214</c:v>
                </c:pt>
                <c:pt idx="49">
                  <c:v>475.65252427587865</c:v>
                </c:pt>
                <c:pt idx="50">
                  <c:v>489.11002590378774</c:v>
                </c:pt>
                <c:pt idx="51">
                  <c:v>502.55967396496516</c:v>
                </c:pt>
                <c:pt idx="52">
                  <c:v>516.00170820470555</c:v>
                </c:pt>
                <c:pt idx="53">
                  <c:v>529.43635486178152</c:v>
                </c:pt>
                <c:pt idx="54">
                  <c:v>542.86382775995639</c:v>
                </c:pt>
                <c:pt idx="55">
                  <c:v>556.28432928591565</c:v>
                </c:pt>
                <c:pt idx="56">
                  <c:v>569.69805126794893</c:v>
                </c:pt>
                <c:pt idx="57">
                  <c:v>583.10517576760083</c:v>
                </c:pt>
                <c:pt idx="58">
                  <c:v>596.50587579475143</c:v>
                </c:pt>
                <c:pt idx="59">
                  <c:v>609.90031595512721</c:v>
                </c:pt>
                <c:pt idx="60">
                  <c:v>623.28865303799364</c:v>
                </c:pt>
                <c:pt idx="61">
                  <c:v>1.8635787380168604E-12</c:v>
                </c:pt>
                <c:pt idx="62">
                  <c:v>1.8635787380168604E-12</c:v>
                </c:pt>
                <c:pt idx="63">
                  <c:v>1.8635787380168604E-12</c:v>
                </c:pt>
                <c:pt idx="64">
                  <c:v>1.8635787380168604E-12</c:v>
                </c:pt>
                <c:pt idx="65">
                  <c:v>1.8635787380168604E-12</c:v>
                </c:pt>
                <c:pt idx="66">
                  <c:v>1.8635787380168604E-12</c:v>
                </c:pt>
                <c:pt idx="67">
                  <c:v>1.8635787380168604E-12</c:v>
                </c:pt>
                <c:pt idx="68">
                  <c:v>1.8635787380168604E-12</c:v>
                </c:pt>
                <c:pt idx="69">
                  <c:v>1.8635787380168604E-12</c:v>
                </c:pt>
                <c:pt idx="70">
                  <c:v>1.8635787380168604E-12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2.7044948086007783</c:v>
                </c:pt>
                <c:pt idx="2">
                  <c:v>3.2747240200194341</c:v>
                </c:pt>
                <c:pt idx="3">
                  <c:v>3.9656352143384903</c:v>
                </c:pt>
                <c:pt idx="4">
                  <c:v>4.8028595025955818</c:v>
                </c:pt>
                <c:pt idx="5">
                  <c:v>5.817489629031404</c:v>
                </c:pt>
                <c:pt idx="6">
                  <c:v>7.0472473284765442</c:v>
                </c:pt>
                <c:pt idx="7">
                  <c:v>8.537900895380405</c:v>
                </c:pt>
                <c:pt idx="8">
                  <c:v>10.344986733428893</c:v>
                </c:pt>
                <c:pt idx="9">
                  <c:v>12.53590023652473</c:v>
                </c:pt>
                <c:pt idx="10">
                  <c:v>15.192435433787097</c:v>
                </c:pt>
                <c:pt idx="11">
                  <c:v>18.413869953870755</c:v>
                </c:pt>
                <c:pt idx="12">
                  <c:v>22.320712685158096</c:v>
                </c:pt>
                <c:pt idx="13">
                  <c:v>27.059256828655844</c:v>
                </c:pt>
                <c:pt idx="14">
                  <c:v>32.807111833652627</c:v>
                </c:pt>
                <c:pt idx="15">
                  <c:v>39.779925157462337</c:v>
                </c:pt>
                <c:pt idx="16">
                  <c:v>48.239550342020614</c:v>
                </c:pt>
                <c:pt idx="17">
                  <c:v>58.503973306706911</c:v>
                </c:pt>
                <c:pt idx="18">
                  <c:v>70.959376154350679</c:v>
                </c:pt>
                <c:pt idx="19">
                  <c:v>86.074799775346719</c:v>
                </c:pt>
                <c:pt idx="20">
                  <c:v>104.41996627689372</c:v>
                </c:pt>
                <c:pt idx="21">
                  <c:v>126.68694361134514</c:v>
                </c:pt>
                <c:pt idx="22">
                  <c:v>153.71648241670471</c:v>
                </c:pt>
                <c:pt idx="23">
                  <c:v>186.53003471890693</c:v>
                </c:pt>
                <c:pt idx="24">
                  <c:v>226.36868272503435</c:v>
                </c:pt>
                <c:pt idx="25">
                  <c:v>274.74047191396772</c:v>
                </c:pt>
                <c:pt idx="26">
                  <c:v>218.92308429129238</c:v>
                </c:pt>
                <c:pt idx="27">
                  <c:v>232.66975188863589</c:v>
                </c:pt>
                <c:pt idx="28">
                  <c:v>246.39787508109467</c:v>
                </c:pt>
                <c:pt idx="29">
                  <c:v>260.10863290775893</c:v>
                </c:pt>
                <c:pt idx="30">
                  <c:v>273.80306989453726</c:v>
                </c:pt>
                <c:pt idx="31">
                  <c:v>287.48211750444813</c:v>
                </c:pt>
                <c:pt idx="32">
                  <c:v>301.14661128805164</c:v>
                </c:pt>
                <c:pt idx="33">
                  <c:v>314.79730475594653</c:v>
                </c:pt>
                <c:pt idx="34">
                  <c:v>328.43488071771395</c:v>
                </c:pt>
                <c:pt idx="35">
                  <c:v>342.0599606381441</c:v>
                </c:pt>
                <c:pt idx="36">
                  <c:v>285.6091534570935</c:v>
                </c:pt>
                <c:pt idx="37">
                  <c:v>296.46858031425904</c:v>
                </c:pt>
                <c:pt idx="38">
                  <c:v>307.31913943961342</c:v>
                </c:pt>
                <c:pt idx="39">
                  <c:v>318.16118821698848</c:v>
                </c:pt>
                <c:pt idx="40">
                  <c:v>328.99505767197479</c:v>
                </c:pt>
                <c:pt idx="41">
                  <c:v>339.82105523856967</c:v>
                </c:pt>
                <c:pt idx="42">
                  <c:v>350.63946715468222</c:v>
                </c:pt>
                <c:pt idx="43">
                  <c:v>361.45056054643493</c:v>
                </c:pt>
                <c:pt idx="44">
                  <c:v>372.25458524998112</c:v>
                </c:pt>
                <c:pt idx="45">
                  <c:v>383.05177541071254</c:v>
                </c:pt>
                <c:pt idx="46">
                  <c:v>331.48447884420892</c:v>
                </c:pt>
                <c:pt idx="47">
                  <c:v>337.70623541940313</c:v>
                </c:pt>
                <c:pt idx="48">
                  <c:v>343.92546889640766</c:v>
                </c:pt>
                <c:pt idx="49">
                  <c:v>350.14223138776919</c:v>
                </c:pt>
                <c:pt idx="50">
                  <c:v>356.35657300253359</c:v>
                </c:pt>
                <c:pt idx="51">
                  <c:v>362.56854195764845</c:v>
                </c:pt>
                <c:pt idx="52">
                  <c:v>368.77818468132688</c:v>
                </c:pt>
                <c:pt idx="53">
                  <c:v>374.98554590908066</c:v>
                </c:pt>
                <c:pt idx="54">
                  <c:v>381.19066877305755</c:v>
                </c:pt>
                <c:pt idx="55">
                  <c:v>387.39359488525542</c:v>
                </c:pt>
                <c:pt idx="56">
                  <c:v>393.59436441512406</c:v>
                </c:pt>
                <c:pt idx="57">
                  <c:v>399.7930161620182</c:v>
                </c:pt>
                <c:pt idx="58">
                  <c:v>405.98958762292091</c:v>
                </c:pt>
                <c:pt idx="59">
                  <c:v>412.18411505581298</c:v>
                </c:pt>
                <c:pt idx="60">
                  <c:v>418.37663353903304</c:v>
                </c:pt>
                <c:pt idx="61">
                  <c:v>7.384408744560063E-12</c:v>
                </c:pt>
                <c:pt idx="62">
                  <c:v>7.384408744560063E-12</c:v>
                </c:pt>
                <c:pt idx="63">
                  <c:v>7.384408744560063E-12</c:v>
                </c:pt>
                <c:pt idx="64">
                  <c:v>7.384408744560063E-12</c:v>
                </c:pt>
                <c:pt idx="65">
                  <c:v>7.384408744560063E-12</c:v>
                </c:pt>
                <c:pt idx="66">
                  <c:v>7.384408744560063E-12</c:v>
                </c:pt>
                <c:pt idx="67">
                  <c:v>7.384408744560063E-12</c:v>
                </c:pt>
                <c:pt idx="68">
                  <c:v>7.384408744560063E-12</c:v>
                </c:pt>
                <c:pt idx="69">
                  <c:v>7.384408744560063E-12</c:v>
                </c:pt>
                <c:pt idx="70">
                  <c:v>7.384408744560063E-12</c:v>
                </c:pt>
                <c:pt idx="71">
                  <c:v>7.384408744560063E-12</c:v>
                </c:pt>
                <c:pt idx="72">
                  <c:v>7.384408744560063E-12</c:v>
                </c:pt>
                <c:pt idx="73">
                  <c:v>7.384408744560063E-12</c:v>
                </c:pt>
                <c:pt idx="74">
                  <c:v>7.384408744560063E-12</c:v>
                </c:pt>
                <c:pt idx="75">
                  <c:v>7.384408744560063E-12</c:v>
                </c:pt>
                <c:pt idx="76">
                  <c:v>7.384408744560063E-12</c:v>
                </c:pt>
                <c:pt idx="77">
                  <c:v>7.384408744560063E-12</c:v>
                </c:pt>
                <c:pt idx="78">
                  <c:v>7.384408744560063E-12</c:v>
                </c:pt>
                <c:pt idx="79">
                  <c:v>7.384408744560063E-12</c:v>
                </c:pt>
                <c:pt idx="80">
                  <c:v>7.384408744560063E-12</c:v>
                </c:pt>
                <c:pt idx="81">
                  <c:v>7.384408744560063E-12</c:v>
                </c:pt>
                <c:pt idx="82">
                  <c:v>7.384408744560063E-12</c:v>
                </c:pt>
                <c:pt idx="83">
                  <c:v>7.384408744560063E-12</c:v>
                </c:pt>
                <c:pt idx="84">
                  <c:v>7.384408744560063E-12</c:v>
                </c:pt>
                <c:pt idx="85">
                  <c:v>7.384408744560063E-12</c:v>
                </c:pt>
                <c:pt idx="86">
                  <c:v>7.384408744560063E-12</c:v>
                </c:pt>
                <c:pt idx="87">
                  <c:v>7.384408744560063E-12</c:v>
                </c:pt>
                <c:pt idx="88">
                  <c:v>7.384408744560063E-12</c:v>
                </c:pt>
                <c:pt idx="89">
                  <c:v>7.384408744560063E-12</c:v>
                </c:pt>
                <c:pt idx="90">
                  <c:v>7.384408744560063E-12</c:v>
                </c:pt>
                <c:pt idx="91">
                  <c:v>7.384408744560063E-12</c:v>
                </c:pt>
                <c:pt idx="92">
                  <c:v>7.384408744560063E-12</c:v>
                </c:pt>
                <c:pt idx="93">
                  <c:v>7.384408744560063E-12</c:v>
                </c:pt>
                <c:pt idx="94">
                  <c:v>7.384408744560063E-12</c:v>
                </c:pt>
                <c:pt idx="95">
                  <c:v>7.384408744560063E-12</c:v>
                </c:pt>
                <c:pt idx="96">
                  <c:v>7.384408744560063E-12</c:v>
                </c:pt>
                <c:pt idx="97">
                  <c:v>7.384408744560063E-12</c:v>
                </c:pt>
                <c:pt idx="98">
                  <c:v>7.384408744560063E-12</c:v>
                </c:pt>
                <c:pt idx="99">
                  <c:v>7.384408744560063E-12</c:v>
                </c:pt>
                <c:pt idx="100">
                  <c:v>7.384408744560063E-12</c:v>
                </c:pt>
                <c:pt idx="101">
                  <c:v>7.384408744560063E-12</c:v>
                </c:pt>
                <c:pt idx="102">
                  <c:v>7.384408744560063E-12</c:v>
                </c:pt>
                <c:pt idx="103">
                  <c:v>7.384408744560063E-12</c:v>
                </c:pt>
                <c:pt idx="104">
                  <c:v>7.384408744560063E-12</c:v>
                </c:pt>
                <c:pt idx="105">
                  <c:v>7.384408744560063E-12</c:v>
                </c:pt>
                <c:pt idx="106">
                  <c:v>7.384408744560063E-12</c:v>
                </c:pt>
                <c:pt idx="107">
                  <c:v>7.384408744560063E-12</c:v>
                </c:pt>
                <c:pt idx="108">
                  <c:v>7.384408744560063E-12</c:v>
                </c:pt>
                <c:pt idx="109">
                  <c:v>7.384408744560063E-12</c:v>
                </c:pt>
                <c:pt idx="110">
                  <c:v>7.384408744560063E-12</c:v>
                </c:pt>
                <c:pt idx="111">
                  <c:v>7.384408744560063E-12</c:v>
                </c:pt>
                <c:pt idx="112">
                  <c:v>7.384408744560063E-12</c:v>
                </c:pt>
                <c:pt idx="113">
                  <c:v>7.384408744560063E-12</c:v>
                </c:pt>
                <c:pt idx="114">
                  <c:v>7.384408744560063E-12</c:v>
                </c:pt>
                <c:pt idx="115">
                  <c:v>7.384408744560063E-12</c:v>
                </c:pt>
                <c:pt idx="116">
                  <c:v>7.384408744560063E-12</c:v>
                </c:pt>
                <c:pt idx="117">
                  <c:v>7.384408744560063E-12</c:v>
                </c:pt>
                <c:pt idx="118">
                  <c:v>7.384408744560063E-12</c:v>
                </c:pt>
                <c:pt idx="119">
                  <c:v>7.384408744560063E-12</c:v>
                </c:pt>
                <c:pt idx="120">
                  <c:v>7.384408744560063E-12</c:v>
                </c:pt>
                <c:pt idx="121">
                  <c:v>7.384408744560063E-12</c:v>
                </c:pt>
                <c:pt idx="122">
                  <c:v>7.384408744560063E-12</c:v>
                </c:pt>
                <c:pt idx="123">
                  <c:v>7.384408744560063E-12</c:v>
                </c:pt>
                <c:pt idx="124">
                  <c:v>7.384408744560063E-12</c:v>
                </c:pt>
                <c:pt idx="125">
                  <c:v>7.384408744560063E-12</c:v>
                </c:pt>
                <c:pt idx="126">
                  <c:v>7.384408744560063E-12</c:v>
                </c:pt>
                <c:pt idx="127">
                  <c:v>7.384408744560063E-12</c:v>
                </c:pt>
                <c:pt idx="128">
                  <c:v>7.384408744560063E-12</c:v>
                </c:pt>
                <c:pt idx="129">
                  <c:v>7.384408744560063E-12</c:v>
                </c:pt>
                <c:pt idx="130">
                  <c:v>7.384408744560063E-12</c:v>
                </c:pt>
                <c:pt idx="131">
                  <c:v>7.384408744560063E-12</c:v>
                </c:pt>
                <c:pt idx="132">
                  <c:v>7.384408744560063E-12</c:v>
                </c:pt>
                <c:pt idx="133">
                  <c:v>7.384408744560063E-12</c:v>
                </c:pt>
                <c:pt idx="134">
                  <c:v>7.384408744560063E-12</c:v>
                </c:pt>
                <c:pt idx="135">
                  <c:v>7.384408744560063E-12</c:v>
                </c:pt>
                <c:pt idx="136">
                  <c:v>7.384408744560063E-12</c:v>
                </c:pt>
                <c:pt idx="137">
                  <c:v>7.384408744560063E-12</c:v>
                </c:pt>
                <c:pt idx="138">
                  <c:v>7.384408744560063E-12</c:v>
                </c:pt>
                <c:pt idx="139">
                  <c:v>7.384408744560063E-12</c:v>
                </c:pt>
                <c:pt idx="140">
                  <c:v>7.384408744560063E-12</c:v>
                </c:pt>
                <c:pt idx="141">
                  <c:v>7.384408744560063E-12</c:v>
                </c:pt>
                <c:pt idx="142">
                  <c:v>7.384408744560063E-12</c:v>
                </c:pt>
                <c:pt idx="143">
                  <c:v>7.384408744560063E-12</c:v>
                </c:pt>
                <c:pt idx="144">
                  <c:v>7.384408744560063E-12</c:v>
                </c:pt>
                <c:pt idx="145">
                  <c:v>7.384408744560063E-12</c:v>
                </c:pt>
                <c:pt idx="146">
                  <c:v>7.384408744560063E-12</c:v>
                </c:pt>
                <c:pt idx="147">
                  <c:v>7.384408744560063E-12</c:v>
                </c:pt>
                <c:pt idx="148">
                  <c:v>7.384408744560063E-12</c:v>
                </c:pt>
                <c:pt idx="149">
                  <c:v>7.384408744560063E-12</c:v>
                </c:pt>
                <c:pt idx="150">
                  <c:v>7.384408744560063E-12</c:v>
                </c:pt>
                <c:pt idx="151">
                  <c:v>7.384408744560063E-12</c:v>
                </c:pt>
                <c:pt idx="152">
                  <c:v>7.384408744560063E-12</c:v>
                </c:pt>
                <c:pt idx="153">
                  <c:v>7.384408744560063E-12</c:v>
                </c:pt>
                <c:pt idx="154">
                  <c:v>7.384408744560063E-12</c:v>
                </c:pt>
                <c:pt idx="155">
                  <c:v>7.384408744560063E-12</c:v>
                </c:pt>
                <c:pt idx="156">
                  <c:v>7.384408744560063E-12</c:v>
                </c:pt>
                <c:pt idx="157">
                  <c:v>7.384408744560063E-12</c:v>
                </c:pt>
                <c:pt idx="158">
                  <c:v>7.384408744560063E-12</c:v>
                </c:pt>
                <c:pt idx="159">
                  <c:v>7.384408744560063E-12</c:v>
                </c:pt>
                <c:pt idx="160">
                  <c:v>7.384408744560063E-12</c:v>
                </c:pt>
                <c:pt idx="161">
                  <c:v>7.384408744560063E-12</c:v>
                </c:pt>
                <c:pt idx="162">
                  <c:v>7.384408744560063E-12</c:v>
                </c:pt>
                <c:pt idx="163">
                  <c:v>7.384408744560063E-12</c:v>
                </c:pt>
                <c:pt idx="164">
                  <c:v>7.384408744560063E-12</c:v>
                </c:pt>
                <c:pt idx="165">
                  <c:v>7.384408744560063E-12</c:v>
                </c:pt>
                <c:pt idx="166">
                  <c:v>7.384408744560063E-12</c:v>
                </c:pt>
                <c:pt idx="167">
                  <c:v>7.384408744560063E-12</c:v>
                </c:pt>
                <c:pt idx="168">
                  <c:v>7.384408744560063E-12</c:v>
                </c:pt>
                <c:pt idx="169">
                  <c:v>7.384408744560063E-12</c:v>
                </c:pt>
                <c:pt idx="170">
                  <c:v>7.384408744560063E-12</c:v>
                </c:pt>
                <c:pt idx="171">
                  <c:v>7.384408744560063E-12</c:v>
                </c:pt>
                <c:pt idx="172">
                  <c:v>7.384408744560063E-12</c:v>
                </c:pt>
                <c:pt idx="173">
                  <c:v>7.384408744560063E-12</c:v>
                </c:pt>
                <c:pt idx="174">
                  <c:v>7.384408744560063E-12</c:v>
                </c:pt>
                <c:pt idx="175">
                  <c:v>7.384408744560063E-12</c:v>
                </c:pt>
                <c:pt idx="176">
                  <c:v>7.384408744560063E-12</c:v>
                </c:pt>
                <c:pt idx="177">
                  <c:v>7.384408744560063E-12</c:v>
                </c:pt>
                <c:pt idx="178">
                  <c:v>7.384408744560063E-12</c:v>
                </c:pt>
                <c:pt idx="179">
                  <c:v>7.384408744560063E-12</c:v>
                </c:pt>
                <c:pt idx="180">
                  <c:v>7.384408744560063E-12</c:v>
                </c:pt>
                <c:pt idx="181">
                  <c:v>7.384408744560063E-12</c:v>
                </c:pt>
                <c:pt idx="182">
                  <c:v>7.384408744560063E-12</c:v>
                </c:pt>
                <c:pt idx="183">
                  <c:v>7.384408744560063E-12</c:v>
                </c:pt>
                <c:pt idx="184">
                  <c:v>7.384408744560063E-12</c:v>
                </c:pt>
                <c:pt idx="185">
                  <c:v>7.384408744560063E-12</c:v>
                </c:pt>
                <c:pt idx="186">
                  <c:v>7.384408744560063E-12</c:v>
                </c:pt>
                <c:pt idx="187">
                  <c:v>7.384408744560063E-12</c:v>
                </c:pt>
                <c:pt idx="188">
                  <c:v>7.384408744560063E-12</c:v>
                </c:pt>
                <c:pt idx="189">
                  <c:v>7.384408744560063E-12</c:v>
                </c:pt>
                <c:pt idx="190">
                  <c:v>7.384408744560063E-12</c:v>
                </c:pt>
                <c:pt idx="191">
                  <c:v>7.384408744560063E-12</c:v>
                </c:pt>
                <c:pt idx="192">
                  <c:v>7.384408744560063E-12</c:v>
                </c:pt>
                <c:pt idx="193">
                  <c:v>7.384408744560063E-12</c:v>
                </c:pt>
                <c:pt idx="194">
                  <c:v>7.384408744560063E-12</c:v>
                </c:pt>
                <c:pt idx="195">
                  <c:v>7.384408744560063E-12</c:v>
                </c:pt>
                <c:pt idx="196">
                  <c:v>7.384408744560063E-12</c:v>
                </c:pt>
                <c:pt idx="197">
                  <c:v>7.384408744560063E-12</c:v>
                </c:pt>
                <c:pt idx="198">
                  <c:v>7.384408744560063E-12</c:v>
                </c:pt>
                <c:pt idx="199">
                  <c:v>7.384408744560063E-12</c:v>
                </c:pt>
                <c:pt idx="200">
                  <c:v>7.384408744560063E-12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G13" sqref="G13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7.5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18</v>
      </c>
      <c r="C9" s="35">
        <v>0.5</v>
      </c>
      <c r="D9" s="36">
        <f t="shared" ref="D9:D18" si="0">C9*$C$5</f>
        <v>3.75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13</v>
      </c>
      <c r="C10" s="35">
        <v>0.5</v>
      </c>
      <c r="D10" s="36">
        <f t="shared" si="0"/>
        <v>3.75</v>
      </c>
      <c r="E10" s="37">
        <v>60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7.5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25</v>
      </c>
      <c r="B36" s="63">
        <v>253</v>
      </c>
      <c r="C36" s="63">
        <v>1</v>
      </c>
      <c r="D36" s="63">
        <v>59</v>
      </c>
      <c r="E36" s="54"/>
      <c r="F36" s="54">
        <v>0.5</v>
      </c>
      <c r="G36" s="54">
        <v>0.5</v>
      </c>
      <c r="H36" s="54"/>
      <c r="I36" s="52">
        <f>IFERROR(B36/A36,"")</f>
        <v>10.119999999999999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32</v>
      </c>
      <c r="B37" s="63">
        <v>332</v>
      </c>
      <c r="C37" s="63">
        <v>2</v>
      </c>
      <c r="D37" s="63">
        <v>79</v>
      </c>
      <c r="E37" s="54"/>
      <c r="F37" s="54"/>
      <c r="G37" s="54"/>
      <c r="H37" s="54"/>
      <c r="I37" s="56">
        <f t="shared" ref="I37:I55" si="1">IF(A37&lt;&gt;0,(B37-(B36-D36))/(A37-A36),"")</f>
        <v>19.714285714285715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46</v>
      </c>
      <c r="B38" s="63">
        <v>444</v>
      </c>
      <c r="C38" s="63">
        <v>3</v>
      </c>
      <c r="D38" s="63">
        <v>86</v>
      </c>
      <c r="E38" s="54"/>
      <c r="F38" s="54"/>
      <c r="G38" s="54"/>
      <c r="H38" s="54"/>
      <c r="I38" s="56">
        <f t="shared" si="1"/>
        <v>13.642857142857142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60</v>
      </c>
      <c r="B39" s="63">
        <v>517</v>
      </c>
      <c r="C39" s="63" t="s">
        <v>324</v>
      </c>
      <c r="D39" s="63">
        <v>517</v>
      </c>
      <c r="E39" s="54"/>
      <c r="F39" s="54"/>
      <c r="G39" s="54"/>
      <c r="H39" s="54"/>
      <c r="I39" s="52">
        <f t="shared" si="1"/>
        <v>11.357142857142858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rouge d'Amérique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25</v>
      </c>
      <c r="B62" s="63">
        <v>143</v>
      </c>
      <c r="C62" s="63">
        <v>1</v>
      </c>
      <c r="D62" s="63">
        <v>37</v>
      </c>
      <c r="E62" s="54"/>
      <c r="F62" s="54"/>
      <c r="G62" s="54">
        <v>0.5</v>
      </c>
      <c r="H62" s="54">
        <v>0.5</v>
      </c>
      <c r="I62" s="56">
        <f>IFERROR(B62/A62,"")</f>
        <v>5.72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35</v>
      </c>
      <c r="B63" s="63">
        <v>179</v>
      </c>
      <c r="C63" s="63">
        <v>2</v>
      </c>
      <c r="D63" s="63">
        <v>36</v>
      </c>
      <c r="E63" s="54"/>
      <c r="F63" s="54"/>
      <c r="G63" s="54"/>
      <c r="H63" s="54"/>
      <c r="I63" s="52">
        <f>IF(A63&lt;&gt;0,(B63-(B62-D62))/(A63-A62),"")</f>
        <v>7.3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45</v>
      </c>
      <c r="B64" s="63">
        <v>201</v>
      </c>
      <c r="C64" s="63">
        <v>3</v>
      </c>
      <c r="D64" s="63">
        <v>31</v>
      </c>
      <c r="E64" s="54"/>
      <c r="F64" s="54"/>
      <c r="G64" s="54"/>
      <c r="H64" s="54"/>
      <c r="I64" s="52">
        <f>IF(A64&lt;&gt;0,(B64-(B63-D63))/(A64-A63),"")</f>
        <v>5.8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60</v>
      </c>
      <c r="B65" s="63">
        <v>220</v>
      </c>
      <c r="C65" s="63" t="s">
        <v>324</v>
      </c>
      <c r="D65" s="63">
        <v>220</v>
      </c>
      <c r="E65" s="54"/>
      <c r="F65" s="54"/>
      <c r="G65" s="54"/>
      <c r="H65" s="54"/>
      <c r="I65" s="52">
        <f>IF(A65&lt;&gt;0,(B65-(B64-D64))/(A65-A64),"")</f>
        <v>3.3333333333333335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9" sqref="G1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rouge d'Amérique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247.87882458322304</v>
      </c>
      <c r="T3" s="62">
        <f>IF('Données projet'!E9&gt;30,$R$33-$H$33,LOOKUP('Données projet'!$E$9,$A$3:$A$203,R3:R203)-LOOKUP('Données projet'!$E$9,$A$3:$A$203,$H$3:$H$203))</f>
        <v>318.46892604922397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179.7474263412401</v>
      </c>
      <c r="AO3" s="62">
        <f>IF('Données projet'!E10&gt;30,$AM$33-$H$33,LOOKUP('Données projet'!$E$10,$A$3:$A$203,AM3:AM203)-LOOKUP('Données projet'!$E$10,$A$3:$A$203,$H$3:$H$203))</f>
        <v>234.90106311484084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0.55900000000000005</v>
      </c>
      <c r="D4" s="12">
        <f>IFERROR(EXP(-1.0587+0.8836*LN(C4)+0.284),0)</f>
        <v>0.2756545328031752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6.4429472707613522</v>
      </c>
      <c r="H4" s="70">
        <f t="shared" ref="H4:H67" si="1">(B4+E4+F4)*44/12+(C4+D4)*0.475*44/12</f>
        <v>294.78702331129887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10.119999999999999</v>
      </c>
      <c r="N4" s="14">
        <f>IF('Données projet'!$A$36&gt;35,N3+M4-V3,IF(A4&lt;'Données projet'!$A$36,$K$205^A4,IF(A4='Données projet'!$A$36,'Données projet'!$B$36,N3+M4-V3)))</f>
        <v>1.2477420770391454</v>
      </c>
      <c r="O4" s="14">
        <f>N4*VLOOKUP('Données projet'!$B$9,Paramètres!$A$1:$I$89,3,0)*VLOOKUP('Données projet'!$B$9,Paramètres!$A$1:$I$89,5,0)</f>
        <v>0.69748782106488227</v>
      </c>
      <c r="P4" s="14">
        <f>EXP(-1.0587+0.8836*LN(O4)+0.284)</f>
        <v>0.33519770001131083</v>
      </c>
      <c r="Q4" s="22">
        <f t="shared" ref="Q4:Q34" si="2">(O4+P4)*0.475*44/12</f>
        <v>1.798593949207703</v>
      </c>
      <c r="R4" s="62">
        <f t="shared" si="0"/>
        <v>295.13192728254103</v>
      </c>
      <c r="S4" s="62">
        <f ca="1">AVERAGE(OFFSET($R$3,0,0,'Données projet'!$E$9+1,1))-AVERAGE(OFFSET($H$3,0,0,'Données projet'!$E$9+1,1))</f>
        <v>247.87882458322304</v>
      </c>
      <c r="T4" s="62">
        <f>$T$3</f>
        <v>318.46892604922397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5.72</v>
      </c>
      <c r="AI4" s="14">
        <f>IF('Données projet'!$A$62&gt;35,AI3+AH4-AQ3,IF(A4&lt;'Données projet'!$A$62,$AF$205^A4,IF(A4='Données projet'!$A$62,'Données projet'!$B$62,AI3+AH4-AQ3)))</f>
        <v>1.2195888395871217</v>
      </c>
      <c r="AJ4" s="14">
        <f>AI4*VLOOKUP('Données projet'!$B$10,Paramètres!$A$1:$I$89,3,0)*VLOOKUP('Données projet'!$B$10,Paramètres!$A$1:$I$89,5,0)</f>
        <v>1.0654328102633097</v>
      </c>
      <c r="AK4" s="14">
        <f>EXP(-1.0587+0.8836*LN(AJ4)+0.284)</f>
        <v>0.48738717553618016</v>
      </c>
      <c r="AL4" s="22">
        <f t="shared" ref="AL4:AL67" si="4">(AJ4+AK4)*0.475*44/12</f>
        <v>2.7044948086007783</v>
      </c>
      <c r="AM4" s="62">
        <f t="shared" ref="AM4:AM67" si="5">AL4+(AD4+AE4)*44/12</f>
        <v>296.03782814193409</v>
      </c>
      <c r="AN4" s="62">
        <f ca="1">AVERAGE(OFFSET($AM$3,0,0,'Données projet'!$E$10+1,1))-AVERAGE(OFFSET($H$3,0,0,'Données projet'!$E$10+1,1))</f>
        <v>179.7474263412401</v>
      </c>
      <c r="AO4" s="62">
        <f>$AO$3</f>
        <v>234.90106311484084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1.1180000000000001</v>
      </c>
      <c r="D5" s="12">
        <f t="shared" ref="D5:D68" si="32">IFERROR(EXP(-1.0587+0.8836*LN(C5)+0.284),0)</f>
        <v>0.50857527486356202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12.556019665613462</v>
      </c>
      <c r="H5" s="70">
        <f t="shared" si="1"/>
        <v>296.16628527038733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10.119999999999999</v>
      </c>
      <c r="N5" s="14">
        <f>IF('Données projet'!$A$36&gt;35,N4+M5-V4,IF(A5&lt;'Données projet'!$A$36,$K$205^A5,IF(A5='Données projet'!$A$36,'Données projet'!$B$36,N4+M5-V4)))</f>
        <v>1.5568602908139606</v>
      </c>
      <c r="O5" s="14">
        <f>N5*VLOOKUP('Données projet'!$B$9,Paramètres!$A$1:$I$89,3,0)*VLOOKUP('Données projet'!$B$9,Paramètres!$A$1:$I$89,5,0)</f>
        <v>0.8702849025650039</v>
      </c>
      <c r="P5" s="14">
        <f t="shared" ref="P5:P68" si="33">EXP(-1.0587+0.8836*LN(O5)+0.284)</f>
        <v>0.40760257758249518</v>
      </c>
      <c r="Q5" s="22">
        <f t="shared" si="2"/>
        <v>2.2256540279235608</v>
      </c>
      <c r="R5" s="62">
        <f t="shared" si="0"/>
        <v>295.55898736125687</v>
      </c>
      <c r="S5" s="62">
        <f ca="1">AVERAGE(OFFSET($R$3,0,0,'Données projet'!$E$9+1,1))-AVERAGE(OFFSET($H$3,0,0,'Données projet'!$E$9+1,1))</f>
        <v>247.87882458322304</v>
      </c>
      <c r="T5" s="62">
        <f t="shared" ref="T5:T68" si="34">$T$3</f>
        <v>318.46892604922397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5.72</v>
      </c>
      <c r="AI5" s="14">
        <f>IF('Données projet'!$A$62&gt;35,AI4+AH5-AQ4,IF(A5&lt;'Données projet'!$A$62,$AF$205^A5,IF(A5='Données projet'!$A$62,'Données projet'!$B$62,AI4+AH5-AQ4)))</f>
        <v>1.4873969376454621</v>
      </c>
      <c r="AJ5" s="14">
        <f>AI5*VLOOKUP('Données projet'!$B$10,Paramètres!$A$1:$I$89,3,0)*VLOOKUP('Données projet'!$B$10,Paramètres!$A$1:$I$89,5,0)</f>
        <v>1.2993899647270759</v>
      </c>
      <c r="AK5" s="14">
        <f t="shared" ref="AK5:AK68" si="35">EXP(-1.0587+0.8836*LN(AJ5)+0.284)</f>
        <v>0.5808343529874318</v>
      </c>
      <c r="AL5" s="22">
        <f t="shared" si="4"/>
        <v>3.2747240200194341</v>
      </c>
      <c r="AM5" s="62">
        <f t="shared" si="5"/>
        <v>296.60805735335276</v>
      </c>
      <c r="AN5" s="62">
        <f ca="1">AVERAGE(OFFSET($AM$3,0,0,'Données projet'!$E$10+1,1))-AVERAGE(OFFSET($H$3,0,0,'Données projet'!$E$10+1,1))</f>
        <v>179.7474263412401</v>
      </c>
      <c r="AO5" s="62">
        <f t="shared" ref="AO5:AO68" si="36">$AO$3</f>
        <v>234.90106311484084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1.677</v>
      </c>
      <c r="D6" s="12">
        <f t="shared" si="32"/>
        <v>0.72769514761613419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18.56255903422981</v>
      </c>
      <c r="H6" s="70">
        <f t="shared" si="1"/>
        <v>297.52151071543142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10.119999999999999</v>
      </c>
      <c r="N6" s="14">
        <f>IF('Données projet'!$A$36&gt;35,N5+M6-V5,IF(A6&lt;'Données projet'!$A$36,$K$205^A6,IF(A6='Données projet'!$A$36,'Données projet'!$B$36,N5+M6-V5)))</f>
        <v>1.9425600929199791</v>
      </c>
      <c r="O6" s="14">
        <f>N6*VLOOKUP('Données projet'!$B$9,Paramètres!$A$1:$I$89,3,0)*VLOOKUP('Données projet'!$B$9,Paramètres!$A$1:$I$89,5,0)</f>
        <v>1.0858910919422684</v>
      </c>
      <c r="P6" s="14">
        <f t="shared" si="33"/>
        <v>0.49564737838680845</v>
      </c>
      <c r="Q6" s="22">
        <f t="shared" si="2"/>
        <v>2.7545128358231423</v>
      </c>
      <c r="R6" s="62">
        <f t="shared" si="0"/>
        <v>296.08784616915648</v>
      </c>
      <c r="S6" s="62">
        <f ca="1">AVERAGE(OFFSET($R$3,0,0,'Données projet'!$E$9+1,1))-AVERAGE(OFFSET($H$3,0,0,'Données projet'!$E$9+1,1))</f>
        <v>247.87882458322304</v>
      </c>
      <c r="T6" s="62">
        <f t="shared" si="34"/>
        <v>318.46892604922397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5.72</v>
      </c>
      <c r="AI6" s="14">
        <f>IF('Données projet'!$A$62&gt;35,AI5+AH6-AQ5,IF(A6&lt;'Données projet'!$A$62,$AF$205^A6,IF(A6='Données projet'!$A$62,'Données projet'!$B$62,AI5+AH6-AQ5)))</f>
        <v>1.8140127051884676</v>
      </c>
      <c r="AJ6" s="14">
        <f>AI6*VLOOKUP('Données projet'!$B$10,Paramètres!$A$1:$I$89,3,0)*VLOOKUP('Données projet'!$B$10,Paramètres!$A$1:$I$89,5,0)</f>
        <v>1.5847214992526455</v>
      </c>
      <c r="AK6" s="14">
        <f t="shared" si="35"/>
        <v>0.69219824103739647</v>
      </c>
      <c r="AL6" s="22">
        <f t="shared" si="4"/>
        <v>3.9656352143384903</v>
      </c>
      <c r="AM6" s="62">
        <f t="shared" si="5"/>
        <v>297.29896854767179</v>
      </c>
      <c r="AN6" s="62">
        <f ca="1">AVERAGE(OFFSET($AM$3,0,0,'Données projet'!$E$10+1,1))-AVERAGE(OFFSET($H$3,0,0,'Données projet'!$E$10+1,1))</f>
        <v>179.7474263412401</v>
      </c>
      <c r="AO6" s="62">
        <f t="shared" si="36"/>
        <v>234.90106311484084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2.2360000000000002</v>
      </c>
      <c r="D7" s="12">
        <f t="shared" si="32"/>
        <v>0.93830784341656304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24.503428966724346</v>
      </c>
      <c r="H7" s="70">
        <f t="shared" si="1"/>
        <v>298.8619194939505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10.119999999999999</v>
      </c>
      <c r="N7" s="14">
        <f>IF('Données projet'!$A$36&gt;35,N6+M7-V6,IF(A7&lt;'Données projet'!$A$36,$K$205^A7,IF(A7='Données projet'!$A$36,'Données projet'!$B$36,N6+M7-V6)))</f>
        <v>2.4238139651133301</v>
      </c>
      <c r="O7" s="14">
        <f>N7*VLOOKUP('Données projet'!$B$9,Paramètres!$A$1:$I$89,3,0)*VLOOKUP('Données projet'!$B$9,Paramètres!$A$1:$I$89,5,0)</f>
        <v>1.3549120064983515</v>
      </c>
      <c r="P7" s="14">
        <f t="shared" si="33"/>
        <v>0.60271042729604751</v>
      </c>
      <c r="Q7" s="22">
        <f t="shared" si="2"/>
        <v>3.4095257388585782</v>
      </c>
      <c r="R7" s="62">
        <f t="shared" si="0"/>
        <v>296.74285907219189</v>
      </c>
      <c r="S7" s="62">
        <f ca="1">AVERAGE(OFFSET($R$3,0,0,'Données projet'!$E$9+1,1))-AVERAGE(OFFSET($H$3,0,0,'Données projet'!$E$9+1,1))</f>
        <v>247.87882458322304</v>
      </c>
      <c r="T7" s="62">
        <f t="shared" si="34"/>
        <v>318.46892604922397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5.72</v>
      </c>
      <c r="AI7" s="14">
        <f>IF('Données projet'!$A$62&gt;35,AI6+AH7-AQ6,IF(A7&lt;'Données projet'!$A$62,$AF$205^A7,IF(A7='Données projet'!$A$62,'Données projet'!$B$62,AI6+AH7-AQ6)))</f>
        <v>2.2123496501170985</v>
      </c>
      <c r="AJ7" s="14">
        <f>AI7*VLOOKUP('Données projet'!$B$10,Paramètres!$A$1:$I$89,3,0)*VLOOKUP('Données projet'!$B$10,Paramètres!$A$1:$I$89,5,0)</f>
        <v>1.9327086543422973</v>
      </c>
      <c r="AK7" s="14">
        <f t="shared" si="35"/>
        <v>0.82491402657382606</v>
      </c>
      <c r="AL7" s="22">
        <f t="shared" si="4"/>
        <v>4.8028595025955818</v>
      </c>
      <c r="AM7" s="62">
        <f t="shared" si="5"/>
        <v>298.13619283592891</v>
      </c>
      <c r="AN7" s="62">
        <f ca="1">AVERAGE(OFFSET($AM$3,0,0,'Données projet'!$E$10+1,1))-AVERAGE(OFFSET($H$3,0,0,'Données projet'!$E$10+1,1))</f>
        <v>179.7474263412401</v>
      </c>
      <c r="AO7" s="62">
        <f t="shared" si="36"/>
        <v>234.90106311484084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2.7950000000000004</v>
      </c>
      <c r="D8" s="12">
        <f t="shared" si="32"/>
        <v>1.1428126371791492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30.397150181733792</v>
      </c>
      <c r="H8" s="70">
        <f t="shared" si="1"/>
        <v>300.19169034308698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10.119999999999999</v>
      </c>
      <c r="N8" s="14">
        <f>IF('Données projet'!$A$36&gt;35,N7+M8-V7,IF(A8&lt;'Données projet'!$A$36,$K$205^A8,IF(A8='Données projet'!$A$36,'Données projet'!$B$36,N7+M8-V7)))</f>
        <v>3.0242946711869934</v>
      </c>
      <c r="O8" s="14">
        <f>N8*VLOOKUP('Données projet'!$B$9,Paramètres!$A$1:$I$89,3,0)*VLOOKUP('Données projet'!$B$9,Paramètres!$A$1:$I$89,5,0)</f>
        <v>1.6905807211935295</v>
      </c>
      <c r="P8" s="14">
        <f t="shared" si="33"/>
        <v>0.7328997892689193</v>
      </c>
      <c r="Q8" s="22">
        <f t="shared" si="2"/>
        <v>4.2208952223887648</v>
      </c>
      <c r="R8" s="62">
        <f t="shared" si="0"/>
        <v>297.55422855572209</v>
      </c>
      <c r="S8" s="62">
        <f ca="1">AVERAGE(OFFSET($R$3,0,0,'Données projet'!$E$9+1,1))-AVERAGE(OFFSET($H$3,0,0,'Données projet'!$E$9+1,1))</f>
        <v>247.87882458322304</v>
      </c>
      <c r="T8" s="62">
        <f t="shared" si="34"/>
        <v>318.46892604922397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5.72</v>
      </c>
      <c r="AI8" s="14">
        <f>IF('Données projet'!$A$62&gt;35,AI7+AH8-AQ7,IF(A8&lt;'Données projet'!$A$62,$AF$205^A8,IF(A8='Données projet'!$A$62,'Données projet'!$B$62,AI7+AH8-AQ7)))</f>
        <v>2.6981569425472869</v>
      </c>
      <c r="AJ8" s="14">
        <f>AI8*VLOOKUP('Données projet'!$B$10,Paramètres!$A$1:$I$89,3,0)*VLOOKUP('Données projet'!$B$10,Paramètres!$A$1:$I$89,5,0)</f>
        <v>2.3571099050093101</v>
      </c>
      <c r="AK8" s="14">
        <f t="shared" si="35"/>
        <v>0.98307552792738129</v>
      </c>
      <c r="AL8" s="22">
        <f t="shared" si="4"/>
        <v>5.817489629031404</v>
      </c>
      <c r="AM8" s="62">
        <f t="shared" si="5"/>
        <v>299.15082296236471</v>
      </c>
      <c r="AN8" s="62">
        <f ca="1">AVERAGE(OFFSET($AM$3,0,0,'Données projet'!$E$10+1,1))-AVERAGE(OFFSET($H$3,0,0,'Données projet'!$E$10+1,1))</f>
        <v>179.7474263412401</v>
      </c>
      <c r="AO8" s="62">
        <f t="shared" si="36"/>
        <v>234.90106311484084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3.3540000000000005</v>
      </c>
      <c r="D9" s="12">
        <f t="shared" si="32"/>
        <v>1.3425781754875348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36.254287670430102</v>
      </c>
      <c r="H9" s="70">
        <f t="shared" si="1"/>
        <v>301.5132069889741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10.119999999999999</v>
      </c>
      <c r="N9" s="14">
        <f>IF('Données projet'!$A$36&gt;35,N8+M9-V8,IF(A9&lt;'Données projet'!$A$36,$K$205^A9,IF(A9='Données projet'!$A$36,'Données projet'!$B$36,N8+M9-V8)))</f>
        <v>3.773539714605278</v>
      </c>
      <c r="O9" s="14">
        <f>N9*VLOOKUP('Données projet'!$B$9,Paramètres!$A$1:$I$89,3,0)*VLOOKUP('Données projet'!$B$9,Paramètres!$A$1:$I$89,5,0)</f>
        <v>2.1094087004643503</v>
      </c>
      <c r="P9" s="14">
        <f t="shared" si="33"/>
        <v>0.89121089794350827</v>
      </c>
      <c r="Q9" s="22">
        <f t="shared" si="2"/>
        <v>5.2260791338936876</v>
      </c>
      <c r="R9" s="62">
        <f t="shared" si="0"/>
        <v>298.55941246722699</v>
      </c>
      <c r="S9" s="62">
        <f ca="1">AVERAGE(OFFSET($R$3,0,0,'Données projet'!$E$9+1,1))-AVERAGE(OFFSET($H$3,0,0,'Données projet'!$E$9+1,1))</f>
        <v>247.87882458322304</v>
      </c>
      <c r="T9" s="62">
        <f t="shared" si="34"/>
        <v>318.46892604922397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5.72</v>
      </c>
      <c r="AI9" s="14">
        <f>IF('Données projet'!$A$62&gt;35,AI8+AH9-AQ8,IF(A9&lt;'Données projet'!$A$62,$AF$205^A9,IF(A9='Données projet'!$A$62,'Données projet'!$B$62,AI8+AH9-AQ8)))</f>
        <v>3.290642094585182</v>
      </c>
      <c r="AJ9" s="14">
        <f>AI9*VLOOKUP('Données projet'!$B$10,Paramètres!$A$1:$I$89,3,0)*VLOOKUP('Données projet'!$B$10,Paramètres!$A$1:$I$89,5,0)</f>
        <v>2.8747049338296153</v>
      </c>
      <c r="AK9" s="14">
        <f t="shared" si="35"/>
        <v>1.1715614748650509</v>
      </c>
      <c r="AL9" s="22">
        <f t="shared" si="4"/>
        <v>7.0472473284765442</v>
      </c>
      <c r="AM9" s="62">
        <f t="shared" si="5"/>
        <v>300.38058066180986</v>
      </c>
      <c r="AN9" s="62">
        <f ca="1">AVERAGE(OFFSET($AM$3,0,0,'Données projet'!$E$10+1,1))-AVERAGE(OFFSET($H$3,0,0,'Données projet'!$E$10+1,1))</f>
        <v>179.7474263412401</v>
      </c>
      <c r="AO9" s="62">
        <f t="shared" si="36"/>
        <v>234.90106311484084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3.9130000000000007</v>
      </c>
      <c r="D10" s="12">
        <f t="shared" si="32"/>
        <v>1.5384867718747026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42.081652274120522</v>
      </c>
      <c r="H10" s="70">
        <f t="shared" si="1"/>
        <v>302.82800612768176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10.119999999999999</v>
      </c>
      <c r="N10" s="14">
        <f>IF('Données projet'!$A$36&gt;35,N9+M10-V9,IF(A10&lt;'Données projet'!$A$36,$K$205^A10,IF(A10='Données projet'!$A$36,'Données projet'!$B$36,N9+M10-V9)))</f>
        <v>4.7084042812912932</v>
      </c>
      <c r="O10" s="14">
        <f>N10*VLOOKUP('Données projet'!$B$9,Paramètres!$A$1:$I$89,3,0)*VLOOKUP('Données projet'!$B$9,Paramètres!$A$1:$I$89,5,0)</f>
        <v>2.6319979932418329</v>
      </c>
      <c r="P10" s="14">
        <f t="shared" si="33"/>
        <v>1.0837182330282291</v>
      </c>
      <c r="Q10" s="22">
        <f t="shared" si="2"/>
        <v>6.4715390940870243</v>
      </c>
      <c r="R10" s="62">
        <f t="shared" si="0"/>
        <v>299.80487242742032</v>
      </c>
      <c r="S10" s="62">
        <f ca="1">AVERAGE(OFFSET($R$3,0,0,'Données projet'!$E$9+1,1))-AVERAGE(OFFSET($H$3,0,0,'Données projet'!$E$9+1,1))</f>
        <v>247.87882458322304</v>
      </c>
      <c r="T10" s="62">
        <f t="shared" si="34"/>
        <v>318.46892604922397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5.72</v>
      </c>
      <c r="AI10" s="14">
        <f>IF('Données projet'!$A$62&gt;35,AI9+AH10-AQ9,IF(A10&lt;'Données projet'!$A$62,$AF$205^A10,IF(A10='Données projet'!$A$62,'Données projet'!$B$62,AI9+AH10-AQ9)))</f>
        <v>4.0132303736316777</v>
      </c>
      <c r="AJ10" s="14">
        <f>AI10*VLOOKUP('Données projet'!$B$10,Paramètres!$A$1:$I$89,3,0)*VLOOKUP('Données projet'!$B$10,Paramètres!$A$1:$I$89,5,0)</f>
        <v>3.5059580544046343</v>
      </c>
      <c r="AK10" s="14">
        <f t="shared" si="35"/>
        <v>1.3961860003592343</v>
      </c>
      <c r="AL10" s="22">
        <f t="shared" si="4"/>
        <v>8.537900895380405</v>
      </c>
      <c r="AM10" s="62">
        <f t="shared" si="5"/>
        <v>301.87123422871372</v>
      </c>
      <c r="AN10" s="62">
        <f ca="1">AVERAGE(OFFSET($AM$3,0,0,'Données projet'!$E$10+1,1))-AVERAGE(OFFSET($H$3,0,0,'Données projet'!$E$10+1,1))</f>
        <v>179.7474263412401</v>
      </c>
      <c r="AO10" s="62">
        <f t="shared" si="36"/>
        <v>234.90106311484084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4.4720000000000004</v>
      </c>
      <c r="D11" s="12">
        <f t="shared" si="32"/>
        <v>1.7311529925500933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47.883988012667395</v>
      </c>
      <c r="H11" s="70">
        <f t="shared" si="1"/>
        <v>304.1371581286914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10.119999999999999</v>
      </c>
      <c r="N11" s="14">
        <f>IF('Données projet'!$A$36&gt;35,N10+M11-V10,IF(A11&lt;'Données projet'!$A$36,$K$205^A11,IF(A11='Données projet'!$A$36,'Données projet'!$B$36,N10+M11-V10)))</f>
        <v>5.8748741374784039</v>
      </c>
      <c r="O11" s="14">
        <f>N11*VLOOKUP('Données projet'!$B$9,Paramètres!$A$1:$I$89,3,0)*VLOOKUP('Données projet'!$B$9,Paramètres!$A$1:$I$89,5,0)</f>
        <v>3.2840546428504278</v>
      </c>
      <c r="P11" s="14">
        <f t="shared" si="33"/>
        <v>1.3178084012525983</v>
      </c>
      <c r="Q11" s="22">
        <f t="shared" si="2"/>
        <v>8.0149114684794363</v>
      </c>
      <c r="R11" s="62">
        <f t="shared" si="0"/>
        <v>301.34824480181277</v>
      </c>
      <c r="S11" s="62">
        <f ca="1">AVERAGE(OFFSET($R$3,0,0,'Données projet'!$E$9+1,1))-AVERAGE(OFFSET($H$3,0,0,'Données projet'!$E$9+1,1))</f>
        <v>247.87882458322304</v>
      </c>
      <c r="T11" s="62">
        <f t="shared" si="34"/>
        <v>318.46892604922397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5.72</v>
      </c>
      <c r="AI11" s="14">
        <f>IF('Données projet'!$A$62&gt;35,AI10+AH11-AQ10,IF(A11&lt;'Données projet'!$A$62,$AF$205^A11,IF(A11='Données projet'!$A$62,'Données projet'!$B$62,AI10+AH11-AQ10)))</f>
        <v>4.8944909743732481</v>
      </c>
      <c r="AJ11" s="14">
        <f>AI11*VLOOKUP('Données projet'!$B$10,Paramètres!$A$1:$I$89,3,0)*VLOOKUP('Données projet'!$B$10,Paramètres!$A$1:$I$89,5,0)</f>
        <v>4.2758273152124699</v>
      </c>
      <c r="AK11" s="14">
        <f t="shared" si="35"/>
        <v>1.6638779862778039</v>
      </c>
      <c r="AL11" s="22">
        <f t="shared" si="4"/>
        <v>10.344986733428893</v>
      </c>
      <c r="AM11" s="62">
        <f t="shared" si="5"/>
        <v>303.67832006676218</v>
      </c>
      <c r="AN11" s="62">
        <f ca="1">AVERAGE(OFFSET($AM$3,0,0,'Données projet'!$E$10+1,1))-AVERAGE(OFFSET($H$3,0,0,'Données projet'!$E$10+1,1))</f>
        <v>179.7474263412401</v>
      </c>
      <c r="AO11" s="62">
        <f t="shared" si="36"/>
        <v>234.90106311484084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5.0310000000000006</v>
      </c>
      <c r="D12" s="12">
        <f t="shared" si="32"/>
        <v>1.9210285514955543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53.664781801018329</v>
      </c>
      <c r="H12" s="70">
        <f t="shared" si="1"/>
        <v>305.44144972718806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10.119999999999999</v>
      </c>
      <c r="N12" s="14">
        <f>IF('Données projet'!$A$36&gt;35,N11+M12-V11,IF(A12&lt;'Données projet'!$A$36,$K$205^A12,IF(A12='Données projet'!$A$36,'Données projet'!$B$36,N11+M12-V11)))</f>
        <v>7.3303276586408614</v>
      </c>
      <c r="O12" s="14">
        <f>N12*VLOOKUP('Données projet'!$B$9,Paramètres!$A$1:$I$89,3,0)*VLOOKUP('Données projet'!$B$9,Paramètres!$A$1:$I$89,5,0)</f>
        <v>4.0976531611802418</v>
      </c>
      <c r="P12" s="14">
        <f t="shared" si="33"/>
        <v>1.6024635643153309</v>
      </c>
      <c r="Q12" s="22">
        <f t="shared" si="2"/>
        <v>9.927703296904788</v>
      </c>
      <c r="R12" s="62">
        <f t="shared" si="0"/>
        <v>303.2610366302381</v>
      </c>
      <c r="S12" s="62">
        <f ca="1">AVERAGE(OFFSET($R$3,0,0,'Données projet'!$E$9+1,1))-AVERAGE(OFFSET($H$3,0,0,'Données projet'!$E$9+1,1))</f>
        <v>247.87882458322304</v>
      </c>
      <c r="T12" s="62">
        <f t="shared" si="34"/>
        <v>318.46892604922397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5.72</v>
      </c>
      <c r="AI12" s="14">
        <f>IF('Données projet'!$A$62&gt;35,AI11+AH12-AQ11,IF(A12&lt;'Données projet'!$A$62,$AF$205^A12,IF(A12='Données projet'!$A$62,'Données projet'!$B$62,AI11+AH12-AQ11)))</f>
        <v>5.9692665678055103</v>
      </c>
      <c r="AJ12" s="14">
        <f>AI12*VLOOKUP('Données projet'!$B$10,Paramètres!$A$1:$I$89,3,0)*VLOOKUP('Données projet'!$B$10,Paramètres!$A$1:$I$89,5,0)</f>
        <v>5.214751273634894</v>
      </c>
      <c r="AK12" s="14">
        <f t="shared" si="35"/>
        <v>1.9828947951831328</v>
      </c>
      <c r="AL12" s="22">
        <f t="shared" si="4"/>
        <v>12.53590023652473</v>
      </c>
      <c r="AM12" s="62">
        <f t="shared" si="5"/>
        <v>305.86923356985807</v>
      </c>
      <c r="AN12" s="62">
        <f ca="1">AVERAGE(OFFSET($AM$3,0,0,'Données projet'!$E$10+1,1))-AVERAGE(OFFSET($H$3,0,0,'Données projet'!$E$10+1,1))</f>
        <v>179.7474263412401</v>
      </c>
      <c r="AO12" s="62">
        <f t="shared" si="36"/>
        <v>234.90106311484084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5.5900000000000007</v>
      </c>
      <c r="D13" s="12">
        <f t="shared" si="32"/>
        <v>2.1084588929503836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59.426700226283664</v>
      </c>
      <c r="H13" s="70">
        <f t="shared" si="1"/>
        <v>306.74148257188858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10.119999999999999</v>
      </c>
      <c r="N13" s="14">
        <f>IF('Données projet'!$A$36&gt;35,N12+M13-V12,IF(A13&lt;'Données projet'!$A$36,$K$205^A13,IF(A13='Données projet'!$A$36,'Données projet'!$B$36,N12+M13-V12)))</f>
        <v>9.1463582581700447</v>
      </c>
      <c r="O13" s="14">
        <f>N13*VLOOKUP('Données projet'!$B$9,Paramètres!$A$1:$I$89,3,0)*VLOOKUP('Données projet'!$B$9,Paramètres!$A$1:$I$89,5,0)</f>
        <v>5.1128142663170548</v>
      </c>
      <c r="P13" s="14">
        <f t="shared" si="33"/>
        <v>1.9486060891077752</v>
      </c>
      <c r="Q13" s="22">
        <f t="shared" si="2"/>
        <v>12.298640452364912</v>
      </c>
      <c r="R13" s="62">
        <f t="shared" si="0"/>
        <v>305.63197378569822</v>
      </c>
      <c r="S13" s="62">
        <f ca="1">AVERAGE(OFFSET($R$3,0,0,'Données projet'!$E$9+1,1))-AVERAGE(OFFSET($H$3,0,0,'Données projet'!$E$9+1,1))</f>
        <v>247.87882458322304</v>
      </c>
      <c r="T13" s="62">
        <f t="shared" si="34"/>
        <v>318.46892604922397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5.72</v>
      </c>
      <c r="AI13" s="14">
        <f>IF('Données projet'!$A$62&gt;35,AI12+AH13-AQ12,IF(A13&lt;'Données projet'!$A$62,$AF$205^A13,IF(A13='Données projet'!$A$62,'Données projet'!$B$62,AI12+AH13-AQ12)))</f>
        <v>7.2800508866161229</v>
      </c>
      <c r="AJ13" s="14">
        <f>AI13*VLOOKUP('Données projet'!$B$10,Paramètres!$A$1:$I$89,3,0)*VLOOKUP('Données projet'!$B$10,Paramètres!$A$1:$I$89,5,0)</f>
        <v>6.3598524545478456</v>
      </c>
      <c r="AK13" s="14">
        <f t="shared" si="35"/>
        <v>2.363076981119387</v>
      </c>
      <c r="AL13" s="22">
        <f t="shared" si="4"/>
        <v>15.192435433787097</v>
      </c>
      <c r="AM13" s="62">
        <f t="shared" si="5"/>
        <v>308.52576876712044</v>
      </c>
      <c r="AN13" s="62">
        <f ca="1">AVERAGE(OFFSET($AM$3,0,0,'Données projet'!$E$10+1,1))-AVERAGE(OFFSET($H$3,0,0,'Données projet'!$E$10+1,1))</f>
        <v>179.7474263412401</v>
      </c>
      <c r="AO13" s="62">
        <f t="shared" si="36"/>
        <v>234.90106311484084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6.1490000000000009</v>
      </c>
      <c r="D14" s="12">
        <f t="shared" si="32"/>
        <v>2.293716374319045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65.171845696497897</v>
      </c>
      <c r="H14" s="70">
        <f t="shared" si="1"/>
        <v>308.03773101860565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10.119999999999999</v>
      </c>
      <c r="N14" s="14">
        <f>IF('Données projet'!$A$36&gt;35,N13+M14-V13,IF(A14&lt;'Données projet'!$A$36,$K$205^A14,IF(A14='Données projet'!$A$36,'Données projet'!$B$36,N13+M14-V13)))</f>
        <v>11.41229605039323</v>
      </c>
      <c r="O14" s="14">
        <f>N14*VLOOKUP('Données projet'!$B$9,Paramètres!$A$1:$I$89,3,0)*VLOOKUP('Données projet'!$B$9,Paramètres!$A$1:$I$89,5,0)</f>
        <v>6.379473492169816</v>
      </c>
      <c r="P14" s="14">
        <f t="shared" si="33"/>
        <v>2.3695176446212898</v>
      </c>
      <c r="Q14" s="22">
        <f t="shared" si="2"/>
        <v>15.237826229911176</v>
      </c>
      <c r="R14" s="62">
        <f t="shared" si="0"/>
        <v>308.57115956324446</v>
      </c>
      <c r="S14" s="62">
        <f ca="1">AVERAGE(OFFSET($R$3,0,0,'Données projet'!$E$9+1,1))-AVERAGE(OFFSET($H$3,0,0,'Données projet'!$E$9+1,1))</f>
        <v>247.87882458322304</v>
      </c>
      <c r="T14" s="62">
        <f t="shared" si="34"/>
        <v>318.46892604922397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5.72</v>
      </c>
      <c r="AI14" s="14">
        <f>IF('Données projet'!$A$62&gt;35,AI13+AH14-AQ13,IF(A14&lt;'Données projet'!$A$62,$AF$205^A14,IF(A14='Données projet'!$A$62,'Données projet'!$B$62,AI13+AH14-AQ13)))</f>
        <v>8.8786688129433546</v>
      </c>
      <c r="AJ14" s="14">
        <f>AI14*VLOOKUP('Données projet'!$B$10,Paramètres!$A$1:$I$89,3,0)*VLOOKUP('Données projet'!$B$10,Paramètres!$A$1:$I$89,5,0)</f>
        <v>7.7564050749873159</v>
      </c>
      <c r="AK14" s="14">
        <f t="shared" si="35"/>
        <v>2.8161518363260356</v>
      </c>
      <c r="AL14" s="22">
        <f t="shared" si="4"/>
        <v>18.413869953870755</v>
      </c>
      <c r="AM14" s="62">
        <f t="shared" si="5"/>
        <v>311.74720328720406</v>
      </c>
      <c r="AN14" s="62">
        <f ca="1">AVERAGE(OFFSET($AM$3,0,0,'Données projet'!$E$10+1,1))-AVERAGE(OFFSET($H$3,0,0,'Données projet'!$E$10+1,1))</f>
        <v>179.7474263412401</v>
      </c>
      <c r="AO14" s="62">
        <f t="shared" si="36"/>
        <v>234.90106311484084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6.7080000000000011</v>
      </c>
      <c r="D15" s="12">
        <f t="shared" si="32"/>
        <v>2.4770209932006879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70.901916438742163</v>
      </c>
      <c r="H15" s="70">
        <f t="shared" si="1"/>
        <v>309.33057822982454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10.119999999999999</v>
      </c>
      <c r="N15" s="14">
        <f>IF('Données projet'!$A$36&gt;35,N14+M15-V14,IF(A15&lt;'Données projet'!$A$36,$K$205^A15,IF(A15='Données projet'!$A$36,'Données projet'!$B$36,N14+M15-V14)))</f>
        <v>14.239601977703286</v>
      </c>
      <c r="O15" s="14">
        <f>N15*VLOOKUP('Données projet'!$B$9,Paramètres!$A$1:$I$89,3,0)*VLOOKUP('Données projet'!$B$9,Paramètres!$A$1:$I$89,5,0)</f>
        <v>7.9599375055361374</v>
      </c>
      <c r="P15" s="14">
        <f t="shared" si="33"/>
        <v>2.8813488265052238</v>
      </c>
      <c r="Q15" s="22">
        <f t="shared" si="2"/>
        <v>18.88190702830537</v>
      </c>
      <c r="R15" s="62">
        <f t="shared" si="0"/>
        <v>312.21524036163868</v>
      </c>
      <c r="S15" s="62">
        <f ca="1">AVERAGE(OFFSET($R$3,0,0,'Données projet'!$E$9+1,1))-AVERAGE(OFFSET($H$3,0,0,'Données projet'!$E$9+1,1))</f>
        <v>247.87882458322304</v>
      </c>
      <c r="T15" s="62">
        <f t="shared" si="34"/>
        <v>318.46892604922397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5.72</v>
      </c>
      <c r="AI15" s="14">
        <f>IF('Données projet'!$A$62&gt;35,AI14+AH15-AQ14,IF(A15&lt;'Données projet'!$A$62,$AF$205^A15,IF(A15='Données projet'!$A$62,'Données projet'!$B$62,AI14+AH15-AQ14)))</f>
        <v>10.828325394655952</v>
      </c>
      <c r="AJ15" s="14">
        <f>AI15*VLOOKUP('Données projet'!$B$10,Paramètres!$A$1:$I$89,3,0)*VLOOKUP('Données projet'!$B$10,Paramètres!$A$1:$I$89,5,0)</f>
        <v>9.4596250647714406</v>
      </c>
      <c r="AK15" s="14">
        <f t="shared" si="35"/>
        <v>3.3560951372332055</v>
      </c>
      <c r="AL15" s="22">
        <f t="shared" si="4"/>
        <v>22.320712685158096</v>
      </c>
      <c r="AM15" s="62">
        <f t="shared" si="5"/>
        <v>315.65404601849139</v>
      </c>
      <c r="AN15" s="62">
        <f ca="1">AVERAGE(OFFSET($AM$3,0,0,'Données projet'!$E$10+1,1))-AVERAGE(OFFSET($H$3,0,0,'Données projet'!$E$10+1,1))</f>
        <v>179.7474263412401</v>
      </c>
      <c r="AO15" s="62">
        <f t="shared" si="36"/>
        <v>234.90106311484084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7.2670000000000012</v>
      </c>
      <c r="D16" s="12">
        <f t="shared" si="32"/>
        <v>2.6585539900627135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76.618311502238512</v>
      </c>
      <c r="H16" s="70">
        <f t="shared" si="1"/>
        <v>310.62033986602586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10.119999999999999</v>
      </c>
      <c r="N16" s="14">
        <f>IF('Données projet'!$A$36&gt;35,N15+M16-V15,IF(A16&lt;'Données projet'!$A$36,$K$205^A16,IF(A16='Données projet'!$A$36,'Données projet'!$B$36,N15+M16-V15)))</f>
        <v>17.767350547870222</v>
      </c>
      <c r="O16" s="14">
        <f>N16*VLOOKUP('Données projet'!$B$9,Paramètres!$A$1:$I$89,3,0)*VLOOKUP('Données projet'!$B$9,Paramètres!$A$1:$I$89,5,0)</f>
        <v>9.9319489562594541</v>
      </c>
      <c r="P16" s="14">
        <f t="shared" si="33"/>
        <v>3.5037388638352742</v>
      </c>
      <c r="Q16" s="22">
        <f t="shared" si="2"/>
        <v>23.400489619998314</v>
      </c>
      <c r="R16" s="62">
        <f t="shared" si="0"/>
        <v>316.73382295333164</v>
      </c>
      <c r="S16" s="62">
        <f ca="1">AVERAGE(OFFSET($R$3,0,0,'Données projet'!$E$9+1,1))-AVERAGE(OFFSET($H$3,0,0,'Données projet'!$E$9+1,1))</f>
        <v>247.87882458322304</v>
      </c>
      <c r="T16" s="62">
        <f t="shared" si="34"/>
        <v>318.46892604922397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5.72</v>
      </c>
      <c r="AI16" s="14">
        <f>IF('Données projet'!$A$62&gt;35,AI15+AH16-AQ15,IF(A16&lt;'Données projet'!$A$62,$AF$205^A16,IF(A16='Données projet'!$A$62,'Données projet'!$B$62,AI15+AH16-AQ15)))</f>
        <v>13.206104802740214</v>
      </c>
      <c r="AJ16" s="14">
        <f>AI16*VLOOKUP('Données projet'!$B$10,Paramètres!$A$1:$I$89,3,0)*VLOOKUP('Données projet'!$B$10,Paramètres!$A$1:$I$89,5,0)</f>
        <v>11.536853155673851</v>
      </c>
      <c r="AK16" s="14">
        <f t="shared" si="35"/>
        <v>3.9995622483390747</v>
      </c>
      <c r="AL16" s="22">
        <f t="shared" si="4"/>
        <v>27.059256828655844</v>
      </c>
      <c r="AM16" s="62">
        <f t="shared" si="5"/>
        <v>320.39259016198918</v>
      </c>
      <c r="AN16" s="62">
        <f ca="1">AVERAGE(OFFSET($AM$3,0,0,'Données projet'!$E$10+1,1))-AVERAGE(OFFSET($H$3,0,0,'Données projet'!$E$10+1,1))</f>
        <v>179.7474263412401</v>
      </c>
      <c r="AO16" s="62">
        <f t="shared" si="36"/>
        <v>234.90106311484084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7.8260000000000014</v>
      </c>
      <c r="D17" s="12">
        <f t="shared" si="32"/>
        <v>2.8384671382814215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82.322202470944333</v>
      </c>
      <c r="H17" s="70">
        <f t="shared" si="1"/>
        <v>311.90728026584014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10.119999999999999</v>
      </c>
      <c r="N17" s="14">
        <f>IF('Données projet'!$A$36&gt;35,N16+M17-V16,IF(A17&lt;'Données projet'!$A$36,$K$205^A17,IF(A17='Données projet'!$A$36,'Données projet'!$B$36,N16+M17-V16)))</f>
        <v>22.169070876082184</v>
      </c>
      <c r="O17" s="14">
        <f>N17*VLOOKUP('Données projet'!$B$9,Paramètres!$A$1:$I$89,3,0)*VLOOKUP('Données projet'!$B$9,Paramètres!$A$1:$I$89,5,0)</f>
        <v>12.392510619729942</v>
      </c>
      <c r="P17" s="14">
        <f t="shared" si="33"/>
        <v>4.260569186563723</v>
      </c>
      <c r="Q17" s="22">
        <f t="shared" si="2"/>
        <v>29.004113995961465</v>
      </c>
      <c r="R17" s="62">
        <f t="shared" si="0"/>
        <v>322.33744732929478</v>
      </c>
      <c r="S17" s="62">
        <f ca="1">AVERAGE(OFFSET($R$3,0,0,'Données projet'!$E$9+1,1))-AVERAGE(OFFSET($H$3,0,0,'Données projet'!$E$9+1,1))</f>
        <v>247.87882458322304</v>
      </c>
      <c r="T17" s="62">
        <f t="shared" si="34"/>
        <v>318.46892604922397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5.72</v>
      </c>
      <c r="AI17" s="14">
        <f>IF('Données projet'!$A$62&gt;35,AI16+AH17-AQ16,IF(A17&lt;'Données projet'!$A$62,$AF$205^A17,IF(A17='Données projet'!$A$62,'Données projet'!$B$62,AI16+AH17-AQ16)))</f>
        <v>16.106018031839852</v>
      </c>
      <c r="AJ17" s="14">
        <f>AI17*VLOOKUP('Données projet'!$B$10,Paramètres!$A$1:$I$89,3,0)*VLOOKUP('Données projet'!$B$10,Paramètres!$A$1:$I$89,5,0)</f>
        <v>14.070217352615296</v>
      </c>
      <c r="AK17" s="14">
        <f t="shared" si="35"/>
        <v>4.7664018820177896</v>
      </c>
      <c r="AL17" s="22">
        <f t="shared" si="4"/>
        <v>32.807111833652627</v>
      </c>
      <c r="AM17" s="62">
        <f t="shared" si="5"/>
        <v>326.14044516698596</v>
      </c>
      <c r="AN17" s="62">
        <f ca="1">AVERAGE(OFFSET($AM$3,0,0,'Données projet'!$E$10+1,1))-AVERAGE(OFFSET($H$3,0,0,'Données projet'!$E$10+1,1))</f>
        <v>179.7474263412401</v>
      </c>
      <c r="AO17" s="62">
        <f t="shared" si="36"/>
        <v>234.90106311484084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8.3850000000000016</v>
      </c>
      <c r="D18" s="12">
        <f t="shared" si="32"/>
        <v>3.0168893007228847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88.014584075755593</v>
      </c>
      <c r="H18" s="70">
        <f t="shared" si="1"/>
        <v>313.1916238654257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10.119999999999999</v>
      </c>
      <c r="N18" s="14">
        <f>IF('Données projet'!$A$36&gt;35,N17+M18-V17,IF(A18&lt;'Données projet'!$A$36,$K$205^A18,IF(A18='Données projet'!$A$36,'Données projet'!$B$36,N17+M18-V17)))</f>
        <v>27.661282540950811</v>
      </c>
      <c r="O18" s="14">
        <f>N18*VLOOKUP('Données projet'!$B$9,Paramètres!$A$1:$I$89,3,0)*VLOOKUP('Données projet'!$B$9,Paramètres!$A$1:$I$89,5,0)</f>
        <v>15.462656940391502</v>
      </c>
      <c r="P18" s="14">
        <f t="shared" si="33"/>
        <v>5.1808797684271957</v>
      </c>
      <c r="Q18" s="22">
        <f t="shared" si="2"/>
        <v>35.954159767859231</v>
      </c>
      <c r="R18" s="62">
        <f t="shared" si="0"/>
        <v>329.28749310119252</v>
      </c>
      <c r="S18" s="62">
        <f ca="1">AVERAGE(OFFSET($R$3,0,0,'Données projet'!$E$9+1,1))-AVERAGE(OFFSET($H$3,0,0,'Données projet'!$E$9+1,1))</f>
        <v>247.87882458322304</v>
      </c>
      <c r="T18" s="62">
        <f t="shared" si="34"/>
        <v>318.46892604922397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5.72</v>
      </c>
      <c r="AI18" s="14">
        <f>IF('Données projet'!$A$62&gt;35,AI17+AH18-AQ17,IF(A18&lt;'Données projet'!$A$62,$AF$205^A18,IF(A18='Données projet'!$A$62,'Données projet'!$B$62,AI17+AH18-AQ17)))</f>
        <v>19.642719841820824</v>
      </c>
      <c r="AJ18" s="14">
        <f>AI18*VLOOKUP('Données projet'!$B$10,Paramètres!$A$1:$I$89,3,0)*VLOOKUP('Données projet'!$B$10,Paramètres!$A$1:$I$89,5,0)</f>
        <v>17.159880053814675</v>
      </c>
      <c r="AK18" s="14">
        <f t="shared" si="35"/>
        <v>5.6802683619531731</v>
      </c>
      <c r="AL18" s="22">
        <f t="shared" si="4"/>
        <v>39.779925157462337</v>
      </c>
      <c r="AM18" s="62">
        <f t="shared" si="5"/>
        <v>333.11325849079566</v>
      </c>
      <c r="AN18" s="62">
        <f ca="1">AVERAGE(OFFSET($AM$3,0,0,'Données projet'!$E$10+1,1))-AVERAGE(OFFSET($H$3,0,0,'Données projet'!$E$10+1,1))</f>
        <v>179.7474263412401</v>
      </c>
      <c r="AO18" s="62">
        <f t="shared" si="36"/>
        <v>234.90106311484084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8.9440000000000008</v>
      </c>
      <c r="D19" s="12">
        <f t="shared" si="32"/>
        <v>3.193931186488729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93.69631091324635</v>
      </c>
      <c r="H19" s="70">
        <f t="shared" si="1"/>
        <v>314.47356348313451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10.119999999999999</v>
      </c>
      <c r="N19" s="14">
        <f>IF('Données projet'!$A$36&gt;35,N18+M19-V18,IF(A19&lt;'Données projet'!$A$36,$K$205^A19,IF(A19='Données projet'!$A$36,'Données projet'!$B$36,N18+M19-V18)))</f>
        <v>34.51414613121262</v>
      </c>
      <c r="O19" s="14">
        <f>N19*VLOOKUP('Données projet'!$B$9,Paramètres!$A$1:$I$89,3,0)*VLOOKUP('Données projet'!$B$9,Paramètres!$A$1:$I$89,5,0)</f>
        <v>19.293407687347855</v>
      </c>
      <c r="P19" s="14">
        <f t="shared" si="33"/>
        <v>6.2999834058666524</v>
      </c>
      <c r="Q19" s="22">
        <f t="shared" si="2"/>
        <v>44.575156154015268</v>
      </c>
      <c r="R19" s="62">
        <f t="shared" si="0"/>
        <v>337.90848948734856</v>
      </c>
      <c r="S19" s="62">
        <f ca="1">AVERAGE(OFFSET($R$3,0,0,'Données projet'!$E$9+1,1))-AVERAGE(OFFSET($H$3,0,0,'Données projet'!$E$9+1,1))</f>
        <v>247.87882458322304</v>
      </c>
      <c r="T19" s="62">
        <f t="shared" si="34"/>
        <v>318.46892604922397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5.72</v>
      </c>
      <c r="AI19" s="14">
        <f>IF('Données projet'!$A$62&gt;35,AI18+AH19-AQ18,IF(A19&lt;'Données projet'!$A$62,$AF$205^A19,IF(A19='Données projet'!$A$62,'Données projet'!$B$62,AI18+AH19-AQ18)))</f>
        <v>23.956041898221187</v>
      </c>
      <c r="AJ19" s="14">
        <f>AI19*VLOOKUP('Données projet'!$B$10,Paramètres!$A$1:$I$89,3,0)*VLOOKUP('Données projet'!$B$10,Paramètres!$A$1:$I$89,5,0)</f>
        <v>20.927998202286034</v>
      </c>
      <c r="AK19" s="14">
        <f t="shared" si="35"/>
        <v>6.7693512763860886</v>
      </c>
      <c r="AL19" s="22">
        <f t="shared" si="4"/>
        <v>48.239550342020614</v>
      </c>
      <c r="AM19" s="62">
        <f t="shared" si="5"/>
        <v>341.57288367535392</v>
      </c>
      <c r="AN19" s="62">
        <f ca="1">AVERAGE(OFFSET($AM$3,0,0,'Données projet'!$E$10+1,1))-AVERAGE(OFFSET($H$3,0,0,'Données projet'!$E$10+1,1))</f>
        <v>179.7474263412401</v>
      </c>
      <c r="AO19" s="62">
        <f t="shared" si="36"/>
        <v>234.90106311484084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9.5030000000000001</v>
      </c>
      <c r="D20" s="12">
        <f t="shared" si="32"/>
        <v>3.369688883880555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99.368124717674462</v>
      </c>
      <c r="H20" s="70">
        <f t="shared" si="1"/>
        <v>315.75326647275864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10.119999999999999</v>
      </c>
      <c r="N20" s="14">
        <f>IF('Données projet'!$A$36&gt;35,N19+M20-V19,IF(A20&lt;'Données projet'!$A$36,$K$205^A20,IF(A20='Données projet'!$A$36,'Données projet'!$B$36,N19+M20-V19)))</f>
        <v>43.06475238099182</v>
      </c>
      <c r="O20" s="14">
        <f>N20*VLOOKUP('Données projet'!$B$9,Paramètres!$A$1:$I$89,3,0)*VLOOKUP('Données projet'!$B$9,Paramètres!$A$1:$I$89,5,0)</f>
        <v>24.073196580974429</v>
      </c>
      <c r="P20" s="14">
        <f t="shared" si="33"/>
        <v>7.6608206884222216</v>
      </c>
      <c r="Q20" s="22">
        <f t="shared" si="2"/>
        <v>55.270080077532498</v>
      </c>
      <c r="R20" s="62">
        <f t="shared" si="0"/>
        <v>348.60341341086581</v>
      </c>
      <c r="S20" s="62">
        <f ca="1">AVERAGE(OFFSET($R$3,0,0,'Données projet'!$E$9+1,1))-AVERAGE(OFFSET($H$3,0,0,'Données projet'!$E$9+1,1))</f>
        <v>247.87882458322304</v>
      </c>
      <c r="T20" s="62">
        <f t="shared" si="34"/>
        <v>318.46892604922397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5.72</v>
      </c>
      <c r="AI20" s="14">
        <f>IF('Données projet'!$A$62&gt;35,AI19+AH20-AQ19,IF(A20&lt;'Données projet'!$A$62,$AF$205^A20,IF(A20='Données projet'!$A$62,'Données projet'!$B$62,AI19+AH20-AQ19)))</f>
        <v>29.216521339752045</v>
      </c>
      <c r="AJ20" s="14">
        <f>AI20*VLOOKUP('Données projet'!$B$10,Paramètres!$A$1:$I$89,3,0)*VLOOKUP('Données projet'!$B$10,Paramètres!$A$1:$I$89,5,0)</f>
        <v>25.523553042407389</v>
      </c>
      <c r="AK20" s="14">
        <f t="shared" si="35"/>
        <v>8.0672450284291184</v>
      </c>
      <c r="AL20" s="22">
        <f t="shared" si="4"/>
        <v>58.503973306706911</v>
      </c>
      <c r="AM20" s="62">
        <f t="shared" si="5"/>
        <v>351.8373066400402</v>
      </c>
      <c r="AN20" s="62">
        <f ca="1">AVERAGE(OFFSET($AM$3,0,0,'Données projet'!$E$10+1,1))-AVERAGE(OFFSET($H$3,0,0,'Données projet'!$E$10+1,1))</f>
        <v>179.7474263412401</v>
      </c>
      <c r="AO20" s="62">
        <f t="shared" si="36"/>
        <v>234.90106311484084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10.061999999999999</v>
      </c>
      <c r="D21" s="12">
        <f t="shared" si="32"/>
        <v>3.5442465380941046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105.03067503090188</v>
      </c>
      <c r="H21" s="70">
        <f t="shared" si="1"/>
        <v>317.03087938718056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10.119999999999999</v>
      </c>
      <c r="N21" s="14">
        <f>IF('Données projet'!$A$36&gt;35,N20+M21-V20,IF(A21&lt;'Données projet'!$A$36,$K$205^A21,IF(A21='Données projet'!$A$36,'Données projet'!$B$36,N20+M21-V20)))</f>
        <v>53.733703583035215</v>
      </c>
      <c r="O21" s="14">
        <f>N21*VLOOKUP('Données projet'!$B$9,Paramètres!$A$1:$I$89,3,0)*VLOOKUP('Données projet'!$B$9,Paramètres!$A$1:$I$89,5,0)</f>
        <v>30.037140302916686</v>
      </c>
      <c r="P21" s="14">
        <f t="shared" si="33"/>
        <v>9.315607651522777</v>
      </c>
      <c r="Q21" s="22">
        <f t="shared" si="2"/>
        <v>68.539369353982067</v>
      </c>
      <c r="R21" s="62">
        <f t="shared" si="0"/>
        <v>361.87270268731538</v>
      </c>
      <c r="S21" s="62">
        <f ca="1">AVERAGE(OFFSET($R$3,0,0,'Données projet'!$E$9+1,1))-AVERAGE(OFFSET($H$3,0,0,'Données projet'!$E$9+1,1))</f>
        <v>247.87882458322304</v>
      </c>
      <c r="T21" s="62">
        <f t="shared" si="34"/>
        <v>318.46892604922397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5.72</v>
      </c>
      <c r="AI21" s="14">
        <f>IF('Données projet'!$A$62&gt;35,AI20+AH21-AQ20,IF(A21&lt;'Données projet'!$A$62,$AF$205^A21,IF(A21='Données projet'!$A$62,'Données projet'!$B$62,AI20+AH21-AQ20)))</f>
        <v>35.632143357520576</v>
      </c>
      <c r="AJ21" s="14">
        <f>AI21*VLOOKUP('Données projet'!$B$10,Paramètres!$A$1:$I$89,3,0)*VLOOKUP('Données projet'!$B$10,Paramètres!$A$1:$I$89,5,0)</f>
        <v>31.128240437129978</v>
      </c>
      <c r="AK21" s="14">
        <f t="shared" si="35"/>
        <v>9.6139851060378785</v>
      </c>
      <c r="AL21" s="22">
        <f t="shared" si="4"/>
        <v>70.959376154350679</v>
      </c>
      <c r="AM21" s="62">
        <f t="shared" si="5"/>
        <v>364.29270948768396</v>
      </c>
      <c r="AN21" s="62">
        <f ca="1">AVERAGE(OFFSET($AM$3,0,0,'Données projet'!$E$10+1,1))-AVERAGE(OFFSET($H$3,0,0,'Données projet'!$E$10+1,1))</f>
        <v>179.7474263412401</v>
      </c>
      <c r="AO21" s="62">
        <f t="shared" si="36"/>
        <v>234.90106311484084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10.620999999999999</v>
      </c>
      <c r="D22" s="12">
        <f t="shared" si="32"/>
        <v>3.7176784168109291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110.68453514731243</v>
      </c>
      <c r="H22" s="70">
        <f t="shared" si="1"/>
        <v>318.30653157594566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10.119999999999999</v>
      </c>
      <c r="N22" s="14">
        <f>IF('Données projet'!$A$36&gt;35,N21+M22-V21,IF(A22&lt;'Données projet'!$A$36,$K$205^A22,IF(A22='Données projet'!$A$36,'Données projet'!$B$36,N21+M22-V21)))</f>
        <v>67.045802915702126</v>
      </c>
      <c r="O22" s="14">
        <f>N22*VLOOKUP('Données projet'!$B$9,Paramètres!$A$1:$I$89,3,0)*VLOOKUP('Données projet'!$B$9,Paramètres!$A$1:$I$89,5,0)</f>
        <v>37.478603829877493</v>
      </c>
      <c r="P22" s="14">
        <f t="shared" si="33"/>
        <v>11.3278393329661</v>
      </c>
      <c r="Q22" s="22">
        <f t="shared" si="2"/>
        <v>85.004555175285915</v>
      </c>
      <c r="R22" s="62">
        <f t="shared" si="0"/>
        <v>378.33788850861924</v>
      </c>
      <c r="S22" s="62">
        <f ca="1">AVERAGE(OFFSET($R$3,0,0,'Données projet'!$E$9+1,1))-AVERAGE(OFFSET($H$3,0,0,'Données projet'!$E$9+1,1))</f>
        <v>247.87882458322304</v>
      </c>
      <c r="T22" s="62">
        <f t="shared" si="34"/>
        <v>318.46892604922397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5.72</v>
      </c>
      <c r="AI22" s="14">
        <f>IF('Données projet'!$A$62&gt;35,AI21+AH22-AQ21,IF(A22&lt;'Données projet'!$A$62,$AF$205^A22,IF(A22='Données projet'!$A$62,'Données projet'!$B$62,AI21+AH22-AQ21)))</f>
        <v>43.456564369400489</v>
      </c>
      <c r="AJ22" s="14">
        <f>AI22*VLOOKUP('Données projet'!$B$10,Paramètres!$A$1:$I$89,3,0)*VLOOKUP('Données projet'!$B$10,Paramètres!$A$1:$I$89,5,0)</f>
        <v>37.96365463310827</v>
      </c>
      <c r="AK22" s="14">
        <f t="shared" si="35"/>
        <v>11.457283036947263</v>
      </c>
      <c r="AL22" s="22">
        <f t="shared" si="4"/>
        <v>86.074799775346719</v>
      </c>
      <c r="AM22" s="62">
        <f t="shared" si="5"/>
        <v>379.40813310868003</v>
      </c>
      <c r="AN22" s="62">
        <f ca="1">AVERAGE(OFFSET($AM$3,0,0,'Données projet'!$E$10+1,1))-AVERAGE(OFFSET($H$3,0,0,'Données projet'!$E$10+1,1))</f>
        <v>179.7474263412401</v>
      </c>
      <c r="AO22" s="62">
        <f t="shared" si="36"/>
        <v>234.90106311484084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11.179999999999998</v>
      </c>
      <c r="D23" s="12">
        <f t="shared" si="32"/>
        <v>3.8900505285230369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116.33021460614272</v>
      </c>
      <c r="H23" s="70">
        <f t="shared" si="1"/>
        <v>319.58033800384425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10.119999999999999</v>
      </c>
      <c r="N23" s="14">
        <f>IF('Données projet'!$A$36&gt;35,N22+M23-V22,IF(A23&lt;'Données projet'!$A$36,$K$205^A23,IF(A23='Données projet'!$A$36,'Données projet'!$B$36,N22+M23-V22)))</f>
        <v>83.655869386795359</v>
      </c>
      <c r="O23" s="14">
        <f>N23*VLOOKUP('Données projet'!$B$9,Paramètres!$A$1:$I$89,3,0)*VLOOKUP('Données projet'!$B$9,Paramètres!$A$1:$I$89,5,0)</f>
        <v>46.763630987218605</v>
      </c>
      <c r="P23" s="14">
        <f t="shared" si="33"/>
        <v>13.774726110595493</v>
      </c>
      <c r="Q23" s="22">
        <f t="shared" si="2"/>
        <v>105.43763861202622</v>
      </c>
      <c r="R23" s="62">
        <f t="shared" si="0"/>
        <v>398.77097194535952</v>
      </c>
      <c r="S23" s="62">
        <f ca="1">AVERAGE(OFFSET($R$3,0,0,'Données projet'!$E$9+1,1))-AVERAGE(OFFSET($H$3,0,0,'Données projet'!$E$9+1,1))</f>
        <v>247.87882458322304</v>
      </c>
      <c r="T23" s="62">
        <f t="shared" si="34"/>
        <v>318.46892604922397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5.72</v>
      </c>
      <c r="AI23" s="14">
        <f>IF('Données projet'!$A$62&gt;35,AI22+AH23-AQ22,IF(A23&lt;'Données projet'!$A$62,$AF$205^A23,IF(A23='Données projet'!$A$62,'Données projet'!$B$62,AI22+AH23-AQ22)))</f>
        <v>52.999140911720197</v>
      </c>
      <c r="AJ23" s="14">
        <f>AI23*VLOOKUP('Données projet'!$B$10,Paramètres!$A$1:$I$89,3,0)*VLOOKUP('Données projet'!$B$10,Paramètres!$A$1:$I$89,5,0)</f>
        <v>46.300049500478771</v>
      </c>
      <c r="AK23" s="14">
        <f t="shared" si="35"/>
        <v>13.653998122618106</v>
      </c>
      <c r="AL23" s="22">
        <f t="shared" si="4"/>
        <v>104.41996627689372</v>
      </c>
      <c r="AM23" s="62">
        <f t="shared" si="5"/>
        <v>397.75329961022703</v>
      </c>
      <c r="AN23" s="62">
        <f ca="1">AVERAGE(OFFSET($AM$3,0,0,'Données projet'!$E$10+1,1))-AVERAGE(OFFSET($H$3,0,0,'Données projet'!$E$10+1,1))</f>
        <v>179.7474263412401</v>
      </c>
      <c r="AO23" s="62">
        <f t="shared" si="36"/>
        <v>234.90106311484084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11.738999999999997</v>
      </c>
      <c r="D24" s="12">
        <f t="shared" si="32"/>
        <v>4.0614219079945988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121.96816911434426</v>
      </c>
      <c r="H24" s="70">
        <f t="shared" si="1"/>
        <v>320.85240148975726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10.119999999999999</v>
      </c>
      <c r="N24" s="14">
        <f>IF('Données projet'!$A$36&gt;35,N23+M24-V23,IF(A24&lt;'Données projet'!$A$36,$K$205^A24,IF(A24='Données projet'!$A$36,'Données projet'!$B$36,N23+M24-V23)))</f>
        <v>104.38094822519551</v>
      </c>
      <c r="O24" s="14">
        <f>N24*VLOOKUP('Données projet'!$B$9,Paramètres!$A$1:$I$89,3,0)*VLOOKUP('Données projet'!$B$9,Paramètres!$A$1:$I$89,5,0)</f>
        <v>58.348950057884295</v>
      </c>
      <c r="P24" s="14">
        <f t="shared" si="33"/>
        <v>16.750156304718573</v>
      </c>
      <c r="Q24" s="22">
        <f t="shared" si="2"/>
        <v>130.79761024819999</v>
      </c>
      <c r="R24" s="62">
        <f t="shared" si="0"/>
        <v>424.1309435815333</v>
      </c>
      <c r="S24" s="62">
        <f ca="1">AVERAGE(OFFSET($R$3,0,0,'Données projet'!$E$9+1,1))-AVERAGE(OFFSET($H$3,0,0,'Données projet'!$E$9+1,1))</f>
        <v>247.87882458322304</v>
      </c>
      <c r="T24" s="62">
        <f t="shared" si="34"/>
        <v>318.46892604922397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5.72</v>
      </c>
      <c r="AI24" s="14">
        <f>IF('Données projet'!$A$62&gt;35,AI23+AH24-AQ23,IF(A24&lt;'Données projet'!$A$62,$AF$205^A24,IF(A24='Données projet'!$A$62,'Données projet'!$B$62,AI23+AH24-AQ23)))</f>
        <v>64.637160763639187</v>
      </c>
      <c r="AJ24" s="14">
        <f>AI24*VLOOKUP('Données projet'!$B$10,Paramètres!$A$1:$I$89,3,0)*VLOOKUP('Données projet'!$B$10,Paramètres!$A$1:$I$89,5,0)</f>
        <v>56.467023643115205</v>
      </c>
      <c r="AK24" s="14">
        <f t="shared" si="35"/>
        <v>16.271891349044694</v>
      </c>
      <c r="AL24" s="22">
        <f t="shared" si="4"/>
        <v>126.68694361134514</v>
      </c>
      <c r="AM24" s="62">
        <f t="shared" si="5"/>
        <v>420.02027694467847</v>
      </c>
      <c r="AN24" s="62">
        <f ca="1">AVERAGE(OFFSET($AM$3,0,0,'Données projet'!$E$10+1,1))-AVERAGE(OFFSET($H$3,0,0,'Données projet'!$E$10+1,1))</f>
        <v>179.7474263412401</v>
      </c>
      <c r="AO24" s="62">
        <f t="shared" si="36"/>
        <v>234.90106311484084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12.297999999999996</v>
      </c>
      <c r="D25" s="12">
        <f t="shared" si="32"/>
        <v>4.2318456499363739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127.59880852582461</v>
      </c>
      <c r="H25" s="70">
        <f t="shared" si="1"/>
        <v>322.12281450697247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10.119999999999999</v>
      </c>
      <c r="N25" s="14">
        <f>IF('Données projet'!$A$36&gt;35,N24+M25-V24,IF(A25&lt;'Données projet'!$A$36,$K$205^A25,IF(A25='Données projet'!$A$36,'Données projet'!$B$36,N24+M25-V24)))</f>
        <v>130.24050114182094</v>
      </c>
      <c r="O25" s="14">
        <f>N25*VLOOKUP('Données projet'!$B$9,Paramètres!$A$1:$I$89,3,0)*VLOOKUP('Données projet'!$B$9,Paramètres!$A$1:$I$89,5,0)</f>
        <v>72.804440138277911</v>
      </c>
      <c r="P25" s="14">
        <f t="shared" si="33"/>
        <v>20.368298721866509</v>
      </c>
      <c r="Q25" s="22">
        <f t="shared" si="2"/>
        <v>162.27585351475153</v>
      </c>
      <c r="R25" s="62">
        <f t="shared" si="0"/>
        <v>455.60918684808485</v>
      </c>
      <c r="S25" s="62">
        <f ca="1">AVERAGE(OFFSET($R$3,0,0,'Données projet'!$E$9+1,1))-AVERAGE(OFFSET($H$3,0,0,'Données projet'!$E$9+1,1))</f>
        <v>247.87882458322304</v>
      </c>
      <c r="T25" s="62">
        <f t="shared" si="34"/>
        <v>318.46892604922397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5.72</v>
      </c>
      <c r="AI25" s="14">
        <f>IF('Données projet'!$A$62&gt;35,AI24+AH25-AQ24,IF(A25&lt;'Données projet'!$A$62,$AF$205^A25,IF(A25='Données projet'!$A$62,'Données projet'!$B$62,AI24+AH25-AQ24)))</f>
        <v>78.830759889932949</v>
      </c>
      <c r="AJ25" s="14">
        <f>AI25*VLOOKUP('Données projet'!$B$10,Paramètres!$A$1:$I$89,3,0)*VLOOKUP('Données projet'!$B$10,Paramètres!$A$1:$I$89,5,0)</f>
        <v>68.866551839845428</v>
      </c>
      <c r="AK25" s="14">
        <f t="shared" si="35"/>
        <v>19.391715576444362</v>
      </c>
      <c r="AL25" s="22">
        <f t="shared" si="4"/>
        <v>153.71648241670471</v>
      </c>
      <c r="AM25" s="62">
        <f t="shared" si="5"/>
        <v>447.04981575003802</v>
      </c>
      <c r="AN25" s="62">
        <f ca="1">AVERAGE(OFFSET($AM$3,0,0,'Données projet'!$E$10+1,1))-AVERAGE(OFFSET($H$3,0,0,'Données projet'!$E$10+1,1))</f>
        <v>179.7474263412401</v>
      </c>
      <c r="AO25" s="62">
        <f t="shared" si="36"/>
        <v>234.90106311484084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12.856999999999996</v>
      </c>
      <c r="D26" s="12">
        <f t="shared" si="32"/>
        <v>4.4013697494266859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133.22250332890772</v>
      </c>
      <c r="H26" s="70">
        <f t="shared" si="1"/>
        <v>323.39166064691813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10.119999999999999</v>
      </c>
      <c r="N26" s="14">
        <f>IF('Données projet'!$A$36&gt;35,N25+M26-V25,IF(A26&lt;'Données projet'!$A$36,$K$205^A26,IF(A26='Données projet'!$A$36,'Données projet'!$B$36,N25+M26-V25)))</f>
        <v>162.50655340931482</v>
      </c>
      <c r="O26" s="14">
        <f>N26*VLOOKUP('Données projet'!$B$9,Paramètres!$A$1:$I$89,3,0)*VLOOKUP('Données projet'!$B$9,Paramètres!$A$1:$I$89,5,0)</f>
        <v>90.841163355806984</v>
      </c>
      <c r="P26" s="14">
        <f t="shared" si="33"/>
        <v>24.767983371374214</v>
      </c>
      <c r="Q26" s="22">
        <f t="shared" si="2"/>
        <v>201.35259721650723</v>
      </c>
      <c r="R26" s="62">
        <f t="shared" si="0"/>
        <v>494.68593054984058</v>
      </c>
      <c r="S26" s="62">
        <f ca="1">AVERAGE(OFFSET($R$3,0,0,'Données projet'!$E$9+1,1))-AVERAGE(OFFSET($H$3,0,0,'Données projet'!$E$9+1,1))</f>
        <v>247.87882458322304</v>
      </c>
      <c r="T26" s="62">
        <f t="shared" si="34"/>
        <v>318.46892604922397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5.72</v>
      </c>
      <c r="AI26" s="14">
        <f>IF('Données projet'!$A$62&gt;35,AI25+AH26-AQ25,IF(A26&lt;'Données projet'!$A$62,$AF$205^A26,IF(A26='Données projet'!$A$62,'Données projet'!$B$62,AI25+AH26-AQ25)))</f>
        <v>96.141114977934336</v>
      </c>
      <c r="AJ26" s="14">
        <f>AI26*VLOOKUP('Données projet'!$B$10,Paramètres!$A$1:$I$89,3,0)*VLOOKUP('Données projet'!$B$10,Paramètres!$A$1:$I$89,5,0)</f>
        <v>83.98887804472345</v>
      </c>
      <c r="AK26" s="14">
        <f t="shared" si="35"/>
        <v>23.109706482878636</v>
      </c>
      <c r="AL26" s="22">
        <f t="shared" si="4"/>
        <v>186.53003471890693</v>
      </c>
      <c r="AM26" s="62">
        <f t="shared" si="5"/>
        <v>479.86336805224028</v>
      </c>
      <c r="AN26" s="62">
        <f ca="1">AVERAGE(OFFSET($AM$3,0,0,'Données projet'!$E$10+1,1))-AVERAGE(OFFSET($H$3,0,0,'Données projet'!$E$10+1,1))</f>
        <v>179.7474263412401</v>
      </c>
      <c r="AO26" s="62">
        <f t="shared" si="36"/>
        <v>234.90106311484084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13.415999999999995</v>
      </c>
      <c r="D27" s="12">
        <f t="shared" si="32"/>
        <v>4.5700377920480229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138.83958997370399</v>
      </c>
      <c r="H27" s="70">
        <f t="shared" si="1"/>
        <v>324.65901582115026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10.119999999999999</v>
      </c>
      <c r="N27" s="14">
        <f>IF('Données projet'!$A$36&gt;35,N26+M27-V26,IF(A27&lt;'Données projet'!$A$36,$K$205^A27,IF(A27='Données projet'!$A$36,'Données projet'!$B$36,N26+M27-V26)))</f>
        <v>202.76626448341133</v>
      </c>
      <c r="O27" s="14">
        <f>N27*VLOOKUP('Données projet'!$B$9,Paramètres!$A$1:$I$89,3,0)*VLOOKUP('Données projet'!$B$9,Paramètres!$A$1:$I$89,5,0)</f>
        <v>113.34634184622693</v>
      </c>
      <c r="P27" s="14">
        <f t="shared" si="33"/>
        <v>30.118028445158924</v>
      </c>
      <c r="Q27" s="22">
        <f t="shared" si="2"/>
        <v>249.86711159083032</v>
      </c>
      <c r="R27" s="62">
        <f t="shared" si="0"/>
        <v>543.20044492416366</v>
      </c>
      <c r="S27" s="62">
        <f ca="1">AVERAGE(OFFSET($R$3,0,0,'Données projet'!$E$9+1,1))-AVERAGE(OFFSET($H$3,0,0,'Données projet'!$E$9+1,1))</f>
        <v>247.87882458322304</v>
      </c>
      <c r="T27" s="62">
        <f t="shared" si="34"/>
        <v>318.46892604922397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5.72</v>
      </c>
      <c r="AI27" s="14">
        <f>IF('Données projet'!$A$62&gt;35,AI26+AH27-AQ26,IF(A27&lt;'Données projet'!$A$62,$AF$205^A27,IF(A27='Données projet'!$A$62,'Données projet'!$B$62,AI26+AH27-AQ26)))</f>
        <v>117.25263085255098</v>
      </c>
      <c r="AJ27" s="14">
        <f>AI27*VLOOKUP('Données projet'!$B$10,Paramètres!$A$1:$I$89,3,0)*VLOOKUP('Données projet'!$B$10,Paramètres!$A$1:$I$89,5,0)</f>
        <v>102.43189831278855</v>
      </c>
      <c r="AK27" s="14">
        <f t="shared" si="35"/>
        <v>27.540551098714449</v>
      </c>
      <c r="AL27" s="22">
        <f t="shared" si="4"/>
        <v>226.36868272503435</v>
      </c>
      <c r="AM27" s="62">
        <f t="shared" si="5"/>
        <v>519.70201605836769</v>
      </c>
      <c r="AN27" s="62">
        <f ca="1">AVERAGE(OFFSET($AM$3,0,0,'Données projet'!$E$10+1,1))-AVERAGE(OFFSET($H$3,0,0,'Données projet'!$E$10+1,1))</f>
        <v>179.7474263412401</v>
      </c>
      <c r="AO27" s="62">
        <f t="shared" si="36"/>
        <v>234.90106311484084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13.974999999999994</v>
      </c>
      <c r="D28" s="12">
        <f t="shared" si="32"/>
        <v>4.7378895257597495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144.45037528656644</v>
      </c>
      <c r="H28" s="70">
        <f t="shared" si="1"/>
        <v>325.92494925736486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253</v>
      </c>
      <c r="L28" s="13">
        <f>VLOOKUP(A28,'Données projet'!$A$35:$I$55,9,0)</f>
        <v>10.119999999999999</v>
      </c>
      <c r="M28" s="13">
        <f t="array" ref="M28">INDEX(L:L,MIN(IF(ISNUMBER(L28:L224),ROW(L28:L224),"")))</f>
        <v>10.119999999999999</v>
      </c>
      <c r="N28" s="14">
        <f>IF('Données projet'!$A$36&gt;35,N27+M28-V27,IF(A28&lt;'Données projet'!$A$36,$K$205^A28,IF(A28='Données projet'!$A$36,'Données projet'!$B$36,N27+M28-V27)))</f>
        <v>253</v>
      </c>
      <c r="O28" s="14">
        <f>N28*VLOOKUP('Données projet'!$B$9,Paramètres!$A$1:$I$89,3,0)*VLOOKUP('Données projet'!$B$9,Paramètres!$A$1:$I$89,5,0)</f>
        <v>141.42699999999999</v>
      </c>
      <c r="P28" s="14">
        <f t="shared" si="33"/>
        <v>36.623717959686019</v>
      </c>
      <c r="Q28" s="22">
        <f t="shared" si="2"/>
        <v>310.10500044645312</v>
      </c>
      <c r="R28" s="62">
        <f t="shared" si="0"/>
        <v>603.43833377978649</v>
      </c>
      <c r="S28" s="62">
        <f ca="1">AVERAGE(OFFSET($R$3,0,0,'Données projet'!$E$9+1,1))-AVERAGE(OFFSET($H$3,0,0,'Données projet'!$E$9+1,1))</f>
        <v>247.87882458322304</v>
      </c>
      <c r="T28" s="62">
        <f t="shared" si="34"/>
        <v>318.46892604922397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59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0.27500000000000002</v>
      </c>
      <c r="Y28" s="17">
        <f>IF(ISNA(VLOOKUP(A28,'Données projet'!$A$35:$I$55,7,0)),0%,VLOOKUP(A28,'Données projet'!$A$35:$I$55,7,0))</f>
        <v>0.5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11.984267978275566</v>
      </c>
      <c r="AB28" s="23">
        <f>EXP(-LN(2)/2)*AB27+(1-EXP(-LN(2)/2))/(LN(2)/2)*V28*Y28*VLOOKUP('Données projet'!$B$9,Paramètres!$A$1:$I$89,3,0)*0.475*44/12</f>
        <v>18.671076702360185</v>
      </c>
      <c r="AC28" s="24">
        <f t="shared" si="3"/>
        <v>30.65534468063575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143</v>
      </c>
      <c r="AG28" s="13">
        <f>VLOOKUP(A28,'Données projet'!$A$61:$I$81,9,0)</f>
        <v>5.72</v>
      </c>
      <c r="AH28" s="13">
        <f t="array" ref="AH28">INDEX(AG:AG,MIN(IF(ISNUMBER(AG28:AG224),ROW(AG28:AG224),"")))</f>
        <v>5.72</v>
      </c>
      <c r="AI28" s="14">
        <f>IF('Données projet'!$A$62&gt;35,AI27+AH28-AQ27,IF(A28&lt;'Données projet'!$A$62,$AF$205^A28,IF(A28='Données projet'!$A$62,'Données projet'!$B$62,AI27+AH28-AQ27)))</f>
        <v>143</v>
      </c>
      <c r="AJ28" s="14">
        <f>AI28*VLOOKUP('Données projet'!$B$10,Paramètres!$A$1:$I$89,3,0)*VLOOKUP('Données projet'!$B$10,Paramètres!$A$1:$I$89,5,0)</f>
        <v>124.92480000000002</v>
      </c>
      <c r="AK28" s="14">
        <f t="shared" si="35"/>
        <v>32.820925500842712</v>
      </c>
      <c r="AL28" s="22">
        <f t="shared" si="4"/>
        <v>274.74047191396772</v>
      </c>
      <c r="AM28" s="62">
        <f t="shared" si="5"/>
        <v>568.07380524730104</v>
      </c>
      <c r="AN28" s="62">
        <f ca="1">AVERAGE(OFFSET($AM$3,0,0,'Données projet'!$E$10+1,1))-AVERAGE(OFFSET($H$3,0,0,'Données projet'!$E$10+1,1))</f>
        <v>179.7474263412401</v>
      </c>
      <c r="AO28" s="62">
        <f t="shared" si="36"/>
        <v>234.90106311484084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37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0.5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15.248904583086444</v>
      </c>
      <c r="AX28" s="23">
        <f t="shared" si="6"/>
        <v>15.248904583086444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14.533999999999994</v>
      </c>
      <c r="D29" s="12">
        <f t="shared" si="32"/>
        <v>4.9049613386955659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150.05514015835169</v>
      </c>
      <c r="H29" s="70">
        <f t="shared" si="1"/>
        <v>327.18952433156142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19.714285714285715</v>
      </c>
      <c r="N29" s="14">
        <f>IF('Données projet'!$A$36&gt;35,N28+M29-V28,IF(A29&lt;'Données projet'!$A$36,$K$205^A29,IF(A29='Données projet'!$A$36,'Données projet'!$B$36,N28+M29-V28)))</f>
        <v>213.71428571428572</v>
      </c>
      <c r="O29" s="14">
        <f>N29*VLOOKUP('Données projet'!$B$9,Paramètres!$A$1:$I$89,3,0)*VLOOKUP('Données projet'!$B$9,Paramètres!$A$1:$I$89,5,0)</f>
        <v>119.46628571428572</v>
      </c>
      <c r="P29" s="14">
        <f t="shared" si="33"/>
        <v>31.550486926257484</v>
      </c>
      <c r="Q29" s="22">
        <f t="shared" si="2"/>
        <v>263.02087901561271</v>
      </c>
      <c r="R29" s="62">
        <f t="shared" si="0"/>
        <v>556.35421234894602</v>
      </c>
      <c r="S29" s="62">
        <f ca="1">AVERAGE(OFFSET($R$3,0,0,'Données projet'!$E$9+1,1))-AVERAGE(OFFSET($H$3,0,0,'Données projet'!$E$9+1,1))</f>
        <v>247.87882458322304</v>
      </c>
      <c r="T29" s="62">
        <f t="shared" si="34"/>
        <v>318.46892604922397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11.656557540184359</v>
      </c>
      <c r="AB29" s="23">
        <f>EXP(-LN(2)/2)*AB28+(1-EXP(-LN(2)/2))/(LN(2)/2)*V29*Y29*VLOOKUP('Données projet'!$B$9,Paramètres!$A$1:$I$89,3,0)*0.475*44/12</f>
        <v>13.202444948293049</v>
      </c>
      <c r="AC29" s="24">
        <f t="shared" si="3"/>
        <v>24.859002488477408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7.3</v>
      </c>
      <c r="AI29" s="14">
        <f>IF('Données projet'!$A$62&gt;35,AI28+AH29-AQ28,IF(A29&lt;'Données projet'!$A$62,$AF$205^A29,IF(A29='Données projet'!$A$62,'Données projet'!$B$62,AI28+AH29-AQ28)))</f>
        <v>113.30000000000001</v>
      </c>
      <c r="AJ29" s="14">
        <f>AI29*VLOOKUP('Données projet'!$B$10,Paramètres!$A$1:$I$89,3,0)*VLOOKUP('Données projet'!$B$10,Paramètres!$A$1:$I$89,5,0)</f>
        <v>98.978880000000032</v>
      </c>
      <c r="AK29" s="14">
        <f t="shared" si="35"/>
        <v>26.718584664856852</v>
      </c>
      <c r="AL29" s="22">
        <f t="shared" si="4"/>
        <v>218.92308429129238</v>
      </c>
      <c r="AM29" s="62">
        <f t="shared" si="5"/>
        <v>512.25641762462567</v>
      </c>
      <c r="AN29" s="62">
        <f ca="1">AVERAGE(OFFSET($AM$3,0,0,'Données projet'!$E$10+1,1))-AVERAGE(OFFSET($H$3,0,0,'Données projet'!$E$10+1,1))</f>
        <v>179.7474263412401</v>
      </c>
      <c r="AO29" s="62">
        <f t="shared" si="36"/>
        <v>234.90106311484084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10.782603836367048</v>
      </c>
      <c r="AX29" s="23">
        <f t="shared" si="6"/>
        <v>10.782603836367048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15.092999999999993</v>
      </c>
      <c r="D30" s="12">
        <f t="shared" si="32"/>
        <v>5.0712866613861189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155.65414264929629</v>
      </c>
      <c r="H30" s="70">
        <f t="shared" si="1"/>
        <v>328.4527992685808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19.714285714285715</v>
      </c>
      <c r="N30" s="14">
        <f>IF('Données projet'!$A$36&gt;35,N29+M30-V29,IF(A30&lt;'Données projet'!$A$36,$K$205^A30,IF(A30='Données projet'!$A$36,'Données projet'!$B$36,N29+M30-V29)))</f>
        <v>233.42857142857144</v>
      </c>
      <c r="O30" s="14">
        <f>N30*VLOOKUP('Données projet'!$B$9,Paramètres!$A$1:$I$89,3,0)*VLOOKUP('Données projet'!$B$9,Paramètres!$A$1:$I$89,5,0)</f>
        <v>130.48657142857144</v>
      </c>
      <c r="P30" s="14">
        <f t="shared" si="33"/>
        <v>34.108767245824239</v>
      </c>
      <c r="Q30" s="22">
        <f t="shared" si="2"/>
        <v>286.67021485790582</v>
      </c>
      <c r="R30" s="62">
        <f t="shared" si="0"/>
        <v>580.00354819123913</v>
      </c>
      <c r="S30" s="62">
        <f ca="1">AVERAGE(OFFSET($R$3,0,0,'Données projet'!$E$9+1,1))-AVERAGE(OFFSET($H$3,0,0,'Données projet'!$E$9+1,1))</f>
        <v>247.87882458322304</v>
      </c>
      <c r="T30" s="62">
        <f t="shared" si="34"/>
        <v>318.46892604922397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11.337808361256299</v>
      </c>
      <c r="AB30" s="23">
        <f>EXP(-LN(2)/2)*AB29+(1-EXP(-LN(2)/2))/(LN(2)/2)*V30*Y30*VLOOKUP('Données projet'!$B$9,Paramètres!$A$1:$I$89,3,0)*0.475*44/12</f>
        <v>9.3355383511800945</v>
      </c>
      <c r="AC30" s="24">
        <f t="shared" si="3"/>
        <v>20.673346712436391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7.3</v>
      </c>
      <c r="AI30" s="14">
        <f>IF('Données projet'!$A$62&gt;35,AI29+AH30-AQ29,IF(A30&lt;'Données projet'!$A$62,$AF$205^A30,IF(A30='Données projet'!$A$62,'Données projet'!$B$62,AI29+AH30-AQ29)))</f>
        <v>120.60000000000001</v>
      </c>
      <c r="AJ30" s="14">
        <f>AI30*VLOOKUP('Données projet'!$B$10,Paramètres!$A$1:$I$89,3,0)*VLOOKUP('Données projet'!$B$10,Paramètres!$A$1:$I$89,5,0)</f>
        <v>105.35616000000003</v>
      </c>
      <c r="AK30" s="14">
        <f t="shared" si="35"/>
        <v>28.234128165723941</v>
      </c>
      <c r="AL30" s="22">
        <f t="shared" si="4"/>
        <v>232.66975188863589</v>
      </c>
      <c r="AM30" s="62">
        <f t="shared" si="5"/>
        <v>526.00308522196917</v>
      </c>
      <c r="AN30" s="62">
        <f ca="1">AVERAGE(OFFSET($AM$3,0,0,'Données projet'!$E$10+1,1))-AVERAGE(OFFSET($H$3,0,0,'Données projet'!$E$10+1,1))</f>
        <v>179.7474263412401</v>
      </c>
      <c r="AO30" s="62">
        <f t="shared" si="36"/>
        <v>234.90106311484084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7.6244522915432231</v>
      </c>
      <c r="AX30" s="23">
        <f t="shared" si="6"/>
        <v>7.6244522915432231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15.651999999999992</v>
      </c>
      <c r="D31" s="12">
        <f t="shared" si="32"/>
        <v>5.2368963077179389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161.24762062098054</v>
      </c>
      <c r="H31" s="70">
        <f t="shared" si="1"/>
        <v>329.71482773594204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19.714285714285715</v>
      </c>
      <c r="N31" s="14">
        <f>IF('Données projet'!$A$36&gt;35,N30+M31-V30,IF(A31&lt;'Données projet'!$A$36,$K$205^A31,IF(A31='Données projet'!$A$36,'Données projet'!$B$36,N30+M31-V30)))</f>
        <v>253.14285714285717</v>
      </c>
      <c r="O31" s="14">
        <f>N31*VLOOKUP('Données projet'!$B$9,Paramètres!$A$1:$I$89,3,0)*VLOOKUP('Données projet'!$B$9,Paramètres!$A$1:$I$89,5,0)</f>
        <v>141.50685714285717</v>
      </c>
      <c r="P31" s="14">
        <f t="shared" si="33"/>
        <v>36.641989926907435</v>
      </c>
      <c r="Q31" s="22">
        <f t="shared" si="2"/>
        <v>310.27590864650665</v>
      </c>
      <c r="R31" s="62">
        <f t="shared" si="0"/>
        <v>603.60924197983991</v>
      </c>
      <c r="S31" s="62">
        <f ca="1">AVERAGE(OFFSET($R$3,0,0,'Données projet'!$E$9+1,1))-AVERAGE(OFFSET($H$3,0,0,'Données projet'!$E$9+1,1))</f>
        <v>247.87882458322304</v>
      </c>
      <c r="T31" s="62">
        <f t="shared" si="34"/>
        <v>318.46892604922397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11.027775395388316</v>
      </c>
      <c r="AB31" s="23">
        <f>EXP(-LN(2)/2)*AB30+(1-EXP(-LN(2)/2))/(LN(2)/2)*V31*Y31*VLOOKUP('Données projet'!$B$9,Paramètres!$A$1:$I$89,3,0)*0.475*44/12</f>
        <v>6.6012224741465264</v>
      </c>
      <c r="AC31" s="24">
        <f t="shared" si="3"/>
        <v>17.628997869534842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7.3</v>
      </c>
      <c r="AI31" s="14">
        <f>IF('Données projet'!$A$62&gt;35,AI30+AH31-AQ30,IF(A31&lt;'Données projet'!$A$62,$AF$205^A31,IF(A31='Données projet'!$A$62,'Données projet'!$B$62,AI30+AH31-AQ30)))</f>
        <v>127.9</v>
      </c>
      <c r="AJ31" s="14">
        <f>AI31*VLOOKUP('Données projet'!$B$10,Paramètres!$A$1:$I$89,3,0)*VLOOKUP('Données projet'!$B$10,Paramètres!$A$1:$I$89,5,0)</f>
        <v>111.73344000000002</v>
      </c>
      <c r="AK31" s="14">
        <f t="shared" si="35"/>
        <v>29.739024161394063</v>
      </c>
      <c r="AL31" s="22">
        <f t="shared" si="4"/>
        <v>246.39787508109467</v>
      </c>
      <c r="AM31" s="62">
        <f t="shared" si="5"/>
        <v>539.73120841442801</v>
      </c>
      <c r="AN31" s="62">
        <f ca="1">AVERAGE(OFFSET($AM$3,0,0,'Données projet'!$E$10+1,1))-AVERAGE(OFFSET($H$3,0,0,'Données projet'!$E$10+1,1))</f>
        <v>179.7474263412401</v>
      </c>
      <c r="AO31" s="62">
        <f t="shared" si="36"/>
        <v>234.90106311484084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5.3913019181835251</v>
      </c>
      <c r="AX31" s="23">
        <f t="shared" si="6"/>
        <v>5.3913019181835251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16.210999999999991</v>
      </c>
      <c r="D32" s="12">
        <f t="shared" si="32"/>
        <v>5.4018187658151851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166.8357939817312</v>
      </c>
      <c r="H32" s="70">
        <f t="shared" si="1"/>
        <v>330.9756593504614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19.714285714285715</v>
      </c>
      <c r="N32" s="14">
        <f>IF('Données projet'!$A$36&gt;35,N31+M32-V31,IF(A32&lt;'Données projet'!$A$36,$K$205^A32,IF(A32='Données projet'!$A$36,'Données projet'!$B$36,N31+M32-V31)))</f>
        <v>272.85714285714289</v>
      </c>
      <c r="O32" s="14">
        <f>N32*VLOOKUP('Données projet'!$B$9,Paramètres!$A$1:$I$89,3,0)*VLOOKUP('Données projet'!$B$9,Paramètres!$A$1:$I$89,5,0)</f>
        <v>152.52714285714288</v>
      </c>
      <c r="P32" s="14">
        <f t="shared" si="33"/>
        <v>39.152328281389373</v>
      </c>
      <c r="Q32" s="22">
        <f t="shared" si="2"/>
        <v>333.84174556627698</v>
      </c>
      <c r="R32" s="62">
        <f t="shared" si="0"/>
        <v>627.1750788996103</v>
      </c>
      <c r="S32" s="62">
        <f ca="1">AVERAGE(OFFSET($R$3,0,0,'Données projet'!$E$9+1,1))-AVERAGE(OFFSET($H$3,0,0,'Données projet'!$E$9+1,1))</f>
        <v>247.87882458322304</v>
      </c>
      <c r="T32" s="62">
        <f t="shared" si="34"/>
        <v>318.46892604922397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10.726220297275919</v>
      </c>
      <c r="AB32" s="23">
        <f>EXP(-LN(2)/2)*AB31+(1-EXP(-LN(2)/2))/(LN(2)/2)*V32*Y32*VLOOKUP('Données projet'!$B$9,Paramètres!$A$1:$I$89,3,0)*0.475*44/12</f>
        <v>4.6677691755900481</v>
      </c>
      <c r="AC32" s="24">
        <f t="shared" si="3"/>
        <v>15.393989472865968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7.3</v>
      </c>
      <c r="AI32" s="14">
        <f>IF('Données projet'!$A$62&gt;35,AI31+AH32-AQ31,IF(A32&lt;'Données projet'!$A$62,$AF$205^A32,IF(A32='Données projet'!$A$62,'Données projet'!$B$62,AI31+AH32-AQ31)))</f>
        <v>135.20000000000002</v>
      </c>
      <c r="AJ32" s="14">
        <f>AI32*VLOOKUP('Données projet'!$B$10,Paramètres!$A$1:$I$89,3,0)*VLOOKUP('Données projet'!$B$10,Paramètres!$A$1:$I$89,5,0)</f>
        <v>118.11072000000003</v>
      </c>
      <c r="AK32" s="14">
        <f t="shared" si="35"/>
        <v>31.233949612110369</v>
      </c>
      <c r="AL32" s="22">
        <f t="shared" si="4"/>
        <v>260.10863290775893</v>
      </c>
      <c r="AM32" s="62">
        <f t="shared" si="5"/>
        <v>553.44196624109225</v>
      </c>
      <c r="AN32" s="62">
        <f ca="1">AVERAGE(OFFSET($AM$3,0,0,'Données projet'!$E$10+1,1))-AVERAGE(OFFSET($H$3,0,0,'Données projet'!$E$10+1,1))</f>
        <v>179.7474263412401</v>
      </c>
      <c r="AO32" s="62">
        <f t="shared" si="36"/>
        <v>234.90106311484084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3.812226145771612</v>
      </c>
      <c r="AX32" s="23">
        <f t="shared" si="6"/>
        <v>3.812226145771612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16.769999999999992</v>
      </c>
      <c r="D33" s="12">
        <f t="shared" si="32"/>
        <v>5.5660804476725998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172.41886661361301</v>
      </c>
      <c r="H33" s="70">
        <f t="shared" si="1"/>
        <v>332.23534011302974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19.714285714285715</v>
      </c>
      <c r="N33" s="14">
        <f>IF('Données projet'!$A$36&gt;35,N32+M33-V32,IF(A33&lt;'Données projet'!$A$36,$K$205^A33,IF(A33='Données projet'!$A$36,'Données projet'!$B$36,N32+M33-V32)))</f>
        <v>292.57142857142861</v>
      </c>
      <c r="O33" s="14">
        <f>N33*VLOOKUP('Données projet'!$B$9,Paramètres!$A$1:$I$89,3,0)*VLOOKUP('Données projet'!$B$9,Paramètres!$A$1:$I$89,5,0)</f>
        <v>163.54742857142861</v>
      </c>
      <c r="P33" s="14">
        <f t="shared" si="33"/>
        <v>41.641623770535254</v>
      </c>
      <c r="Q33" s="22">
        <f t="shared" si="2"/>
        <v>357.37093282892039</v>
      </c>
      <c r="R33" s="62">
        <f t="shared" si="0"/>
        <v>650.7042661622537</v>
      </c>
      <c r="S33" s="62">
        <f ca="1">AVERAGE(OFFSET($R$3,0,0,'Données projet'!$E$9+1,1))-AVERAGE(OFFSET($H$3,0,0,'Données projet'!$E$9+1,1))</f>
        <v>247.87882458322304</v>
      </c>
      <c r="T33" s="62">
        <f t="shared" si="34"/>
        <v>318.46892604922397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10.432911239179498</v>
      </c>
      <c r="AB33" s="23">
        <f>EXP(-LN(2)/2)*AB32+(1-EXP(-LN(2)/2))/(LN(2)/2)*V33*Y33*VLOOKUP('Données projet'!$B$9,Paramètres!$A$1:$I$89,3,0)*0.475*44/12</f>
        <v>3.3006112370732636</v>
      </c>
      <c r="AC33" s="24">
        <f t="shared" si="3"/>
        <v>13.733522476252762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7.3</v>
      </c>
      <c r="AI33" s="14">
        <f>IF('Données projet'!$A$62&gt;35,AI32+AH33-AQ32,IF(A33&lt;'Données projet'!$A$62,$AF$205^A33,IF(A33='Données projet'!$A$62,'Données projet'!$B$62,AI32+AH33-AQ32)))</f>
        <v>142.50000000000003</v>
      </c>
      <c r="AJ33" s="14">
        <f>AI33*VLOOKUP('Données projet'!$B$10,Paramètres!$A$1:$I$89,3,0)*VLOOKUP('Données projet'!$B$10,Paramètres!$A$1:$I$89,5,0)</f>
        <v>124.48800000000004</v>
      </c>
      <c r="AK33" s="14">
        <f t="shared" si="35"/>
        <v>32.719504245667295</v>
      </c>
      <c r="AL33" s="22">
        <f t="shared" si="4"/>
        <v>273.80306989453726</v>
      </c>
      <c r="AM33" s="62">
        <f t="shared" si="5"/>
        <v>567.13640322787057</v>
      </c>
      <c r="AN33" s="62">
        <f ca="1">AVERAGE(OFFSET($AM$3,0,0,'Données projet'!$E$10+1,1))-AVERAGE(OFFSET($H$3,0,0,'Données projet'!$E$10+1,1))</f>
        <v>179.7474263412401</v>
      </c>
      <c r="AO33" s="62">
        <f t="shared" si="36"/>
        <v>234.90106311484084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2.695650959091763</v>
      </c>
      <c r="AX33" s="23">
        <f t="shared" si="6"/>
        <v>2.695650959091763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17.328999999999994</v>
      </c>
      <c r="D34" s="12">
        <f t="shared" si="32"/>
        <v>5.7297059045690339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177.99702803526966</v>
      </c>
      <c r="H34" s="70">
        <f t="shared" si="1"/>
        <v>333.49391278379102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19.714285714285715</v>
      </c>
      <c r="N34" s="14">
        <f>IF('Données projet'!$A$36&gt;35,N33+M34-V33,IF(A34&lt;'Données projet'!$A$36,$K$205^A34,IF(A34='Données projet'!$A$36,'Données projet'!$B$36,N33+M34-V33)))</f>
        <v>312.28571428571433</v>
      </c>
      <c r="O34" s="14">
        <f>N34*VLOOKUP('Données projet'!$B$9,Paramètres!$A$1:$I$89,3,0)*VLOOKUP('Données projet'!$B$9,Paramètres!$A$1:$I$89,5,0)</f>
        <v>174.56771428571432</v>
      </c>
      <c r="P34" s="14">
        <f t="shared" si="33"/>
        <v>44.111455647166053</v>
      </c>
      <c r="Q34" s="22">
        <f t="shared" si="2"/>
        <v>380.86622096643327</v>
      </c>
      <c r="R34" s="62">
        <f t="shared" si="0"/>
        <v>674.19955429976653</v>
      </c>
      <c r="S34" s="62">
        <f ca="1">AVERAGE(OFFSET($R$3,0,0,'Données projet'!$E$9+1,1))-AVERAGE(OFFSET($H$3,0,0,'Données projet'!$E$9+1,1))</f>
        <v>247.87882458322304</v>
      </c>
      <c r="T34" s="62">
        <f t="shared" si="34"/>
        <v>318.46892604922397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10.147622732701178</v>
      </c>
      <c r="AB34" s="23">
        <f>EXP(-LN(2)/2)*AB33+(1-EXP(-LN(2)/2))/(LN(2)/2)*V34*Y34*VLOOKUP('Données projet'!$B$9,Paramètres!$A$1:$I$89,3,0)*0.475*44/12</f>
        <v>2.3338845877950245</v>
      </c>
      <c r="AC34" s="24">
        <f t="shared" si="3"/>
        <v>12.481507320496203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7.3</v>
      </c>
      <c r="AI34" s="14">
        <f>IF('Données projet'!$A$62&gt;35,AI33+AH34-AQ33,IF(A34&lt;'Données projet'!$A$62,$AF$205^A34,IF(A34='Données projet'!$A$62,'Données projet'!$B$62,AI33+AH34-AQ33)))</f>
        <v>149.80000000000004</v>
      </c>
      <c r="AJ34" s="14">
        <f>AI34*VLOOKUP('Données projet'!$B$10,Paramètres!$A$1:$I$89,3,0)*VLOOKUP('Données projet'!$B$10,Paramètres!$A$1:$I$89,5,0)</f>
        <v>130.86528000000007</v>
      </c>
      <c r="AK34" s="14">
        <f t="shared" si="35"/>
        <v>34.19622287336729</v>
      </c>
      <c r="AL34" s="22">
        <f t="shared" si="4"/>
        <v>287.48211750444813</v>
      </c>
      <c r="AM34" s="62">
        <f t="shared" si="5"/>
        <v>580.81545083778144</v>
      </c>
      <c r="AN34" s="62">
        <f ca="1">AVERAGE(OFFSET($AM$3,0,0,'Données projet'!$E$10+1,1))-AVERAGE(OFFSET($H$3,0,0,'Données projet'!$E$10+1,1))</f>
        <v>179.7474263412401</v>
      </c>
      <c r="AO34" s="62">
        <f t="shared" si="36"/>
        <v>234.90106311484084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1.9061130728858064</v>
      </c>
      <c r="AX34" s="23">
        <f t="shared" si="6"/>
        <v>1.9061130728858064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17.887999999999995</v>
      </c>
      <c r="D35" s="12">
        <f t="shared" si="32"/>
        <v>5.8927180139048909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183.57045484417804</v>
      </c>
      <c r="H35" s="70">
        <f t="shared" si="1"/>
        <v>334.75141720755096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>
        <f>VLOOKUP(A35,'Données projet'!$A$35:$I$55,2,0)</f>
        <v>332</v>
      </c>
      <c r="L35" s="13">
        <f>VLOOKUP(A35,'Données projet'!$A$35:$I$55,9,0)</f>
        <v>19.714285714285715</v>
      </c>
      <c r="M35" s="13">
        <f t="array" ref="M35">INDEX(L:L,MIN(IF(ISNUMBER(L35:L231),ROW(L35:L231),"")))</f>
        <v>19.714285714285715</v>
      </c>
      <c r="N35" s="14">
        <f>IF('Données projet'!$A$36&gt;35,N34+M35-V34,IF(A35&lt;'Données projet'!$A$36,$K$205^A35,IF(A35='Données projet'!$A$36,'Données projet'!$B$36,N34+M35-V34)))</f>
        <v>332.00000000000006</v>
      </c>
      <c r="O35" s="14">
        <f>N35*VLOOKUP('Données projet'!$B$9,Paramètres!$A$1:$I$89,3,0)*VLOOKUP('Données projet'!$B$9,Paramètres!$A$1:$I$89,5,0)</f>
        <v>185.58800000000002</v>
      </c>
      <c r="P35" s="14">
        <f t="shared" si="33"/>
        <v>46.563192499694225</v>
      </c>
      <c r="Q35" s="22">
        <f t="shared" ref="Q35:Q66" si="53">(O35+P35)*0.475*44/12</f>
        <v>404.32999360363414</v>
      </c>
      <c r="R35" s="62">
        <f t="shared" si="0"/>
        <v>697.66332693696745</v>
      </c>
      <c r="S35" s="62">
        <f ca="1">AVERAGE(OFFSET($R$3,0,0,'Données projet'!$E$9+1,1))-AVERAGE(OFFSET($H$3,0,0,'Données projet'!$E$9+1,1))</f>
        <v>247.87882458322304</v>
      </c>
      <c r="T35" s="62">
        <f t="shared" si="34"/>
        <v>318.46892604922397</v>
      </c>
      <c r="U35" s="16">
        <f>IF(ISNA(VLOOKUP(A35,'Données projet'!$A$35:$I$55,3,0)),0,VLOOKUP(A35,'Données projet'!$A$35:$I$55,3,0))</f>
        <v>2</v>
      </c>
      <c r="V35" s="16">
        <f>IF(ISNA(VLOOKUP(A35,'Données projet'!$A$35:$I$55,4,0)),0,VLOOKUP(A35,'Données projet'!$A$35:$I$55,4,0))</f>
        <v>79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9.870135455435177</v>
      </c>
      <c r="AB35" s="23">
        <f>EXP(-LN(2)/2)*AB34+(1-EXP(-LN(2)/2))/(LN(2)/2)*V35*Y35*VLOOKUP('Données projet'!$B$9,Paramètres!$A$1:$I$89,3,0)*0.475*44/12</f>
        <v>1.6503056185366323</v>
      </c>
      <c r="AC35" s="24">
        <f t="shared" si="3"/>
        <v>11.52044107397181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7.3</v>
      </c>
      <c r="AI35" s="14">
        <f>IF('Données projet'!$A$62&gt;35,AI34+AH35-AQ34,IF(A35&lt;'Données projet'!$A$62,$AF$205^A35,IF(A35='Données projet'!$A$62,'Données projet'!$B$62,AI34+AH35-AQ34)))</f>
        <v>157.10000000000005</v>
      </c>
      <c r="AJ35" s="14">
        <f>AI35*VLOOKUP('Données projet'!$B$10,Paramètres!$A$1:$I$89,3,0)*VLOOKUP('Données projet'!$B$10,Paramètres!$A$1:$I$89,5,0)</f>
        <v>137.24256000000008</v>
      </c>
      <c r="AK35" s="14">
        <f t="shared" si="35"/>
        <v>35.664585237158782</v>
      </c>
      <c r="AL35" s="22">
        <f t="shared" si="4"/>
        <v>301.14661128805164</v>
      </c>
      <c r="AM35" s="62">
        <f t="shared" si="5"/>
        <v>594.4799446213849</v>
      </c>
      <c r="AN35" s="62">
        <f ca="1">AVERAGE(OFFSET($AM$3,0,0,'Données projet'!$E$10+1,1))-AVERAGE(OFFSET($H$3,0,0,'Données projet'!$E$10+1,1))</f>
        <v>179.7474263412401</v>
      </c>
      <c r="AO35" s="62">
        <f t="shared" si="36"/>
        <v>234.90106311484084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1.3478254795458817</v>
      </c>
      <c r="AX35" s="23">
        <f t="shared" si="6"/>
        <v>1.3478254795458817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18.446999999999996</v>
      </c>
      <c r="D36" s="12">
        <f t="shared" si="32"/>
        <v>6.0551381420288193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189.13931197355578</v>
      </c>
      <c r="H36" s="70">
        <f t="shared" si="1"/>
        <v>336.00789059736684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13.642857142857142</v>
      </c>
      <c r="N36" s="14">
        <f>IF('Données projet'!$A$36&gt;35,N35+M36-V35,IF(A36&lt;'Données projet'!$A$36,$K$205^A36,IF(A36='Données projet'!$A$36,'Données projet'!$B$36,N35+M36-V35)))</f>
        <v>266.64285714285722</v>
      </c>
      <c r="O36" s="14">
        <f>N36*VLOOKUP('Données projet'!$B$9,Paramètres!$A$1:$I$89,3,0)*VLOOKUP('Données projet'!$B$9,Paramètres!$A$1:$I$89,5,0)</f>
        <v>149.05335714285718</v>
      </c>
      <c r="P36" s="14">
        <f t="shared" si="33"/>
        <v>38.363378432520456</v>
      </c>
      <c r="Q36" s="22">
        <f t="shared" si="53"/>
        <v>326.41748112711605</v>
      </c>
      <c r="R36" s="62">
        <f t="shared" si="0"/>
        <v>619.75081446044942</v>
      </c>
      <c r="S36" s="62">
        <f ca="1">AVERAGE(OFFSET($R$3,0,0,'Données projet'!$E$9+1,1))-AVERAGE(OFFSET($H$3,0,0,'Données projet'!$E$9+1,1))</f>
        <v>247.87882458322304</v>
      </c>
      <c r="T36" s="62">
        <f t="shared" si="34"/>
        <v>318.46892604922397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9.6002360823584372</v>
      </c>
      <c r="AB36" s="23">
        <f>EXP(-LN(2)/2)*AB35+(1-EXP(-LN(2)/2))/(LN(2)/2)*V36*Y36*VLOOKUP('Données projet'!$B$9,Paramètres!$A$1:$I$89,3,0)*0.475*44/12</f>
        <v>1.1669422938975125</v>
      </c>
      <c r="AC36" s="24">
        <f t="shared" si="3"/>
        <v>10.76717837625595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7.3</v>
      </c>
      <c r="AI36" s="14">
        <f>IF('Données projet'!$A$62&gt;35,AI35+AH36-AQ35,IF(A36&lt;'Données projet'!$A$62,$AF$205^A36,IF(A36='Données projet'!$A$62,'Données projet'!$B$62,AI35+AH36-AQ35)))</f>
        <v>164.40000000000006</v>
      </c>
      <c r="AJ36" s="14">
        <f>AI36*VLOOKUP('Données projet'!$B$10,Paramètres!$A$1:$I$89,3,0)*VLOOKUP('Données projet'!$B$10,Paramètres!$A$1:$I$89,5,0)</f>
        <v>143.6198400000001</v>
      </c>
      <c r="AK36" s="14">
        <f t="shared" si="35"/>
        <v>37.125023974706082</v>
      </c>
      <c r="AL36" s="22">
        <f t="shared" si="4"/>
        <v>314.79730475594653</v>
      </c>
      <c r="AM36" s="62">
        <f t="shared" si="5"/>
        <v>608.13063808927984</v>
      </c>
      <c r="AN36" s="62">
        <f ca="1">AVERAGE(OFFSET($AM$3,0,0,'Données projet'!$E$10+1,1))-AVERAGE(OFFSET($H$3,0,0,'Données projet'!$E$10+1,1))</f>
        <v>179.7474263412401</v>
      </c>
      <c r="AO36" s="62">
        <f t="shared" si="36"/>
        <v>234.90106311484084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0.95305653644290333</v>
      </c>
      <c r="AX36" s="23">
        <f t="shared" si="6"/>
        <v>0.95305653644290333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19.005999999999997</v>
      </c>
      <c r="D37" s="12">
        <f t="shared" si="32"/>
        <v>6.216986286773305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194.70375379263601</v>
      </c>
      <c r="H37" s="70">
        <f t="shared" si="1"/>
        <v>337.26336778279682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13.642857142857142</v>
      </c>
      <c r="N37" s="14">
        <f>IF('Données projet'!$A$36&gt;35,N36+M37-V36,IF(A37&lt;'Données projet'!$A$36,$K$205^A37,IF(A37='Données projet'!$A$36,'Données projet'!$B$36,N36+M37-V36)))</f>
        <v>280.28571428571439</v>
      </c>
      <c r="O37" s="14">
        <f>N37*VLOOKUP('Données projet'!$B$9,Paramètres!$A$1:$I$89,3,0)*VLOOKUP('Données projet'!$B$9,Paramètres!$A$1:$I$89,5,0)</f>
        <v>156.67971428571434</v>
      </c>
      <c r="P37" s="14">
        <f t="shared" si="33"/>
        <v>40.092704146712641</v>
      </c>
      <c r="Q37" s="22">
        <f t="shared" si="53"/>
        <v>342.71196210314361</v>
      </c>
      <c r="R37" s="62">
        <f t="shared" si="0"/>
        <v>636.04529543647686</v>
      </c>
      <c r="S37" s="62">
        <f ca="1">AVERAGE(OFFSET($R$3,0,0,'Données projet'!$E$9+1,1))-AVERAGE(OFFSET($H$3,0,0,'Données projet'!$E$9+1,1))</f>
        <v>247.87882458322304</v>
      </c>
      <c r="T37" s="62">
        <f t="shared" si="34"/>
        <v>318.46892604922397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9.3377171218318722</v>
      </c>
      <c r="AB37" s="23">
        <f>EXP(-LN(2)/2)*AB36+(1-EXP(-LN(2)/2))/(LN(2)/2)*V37*Y37*VLOOKUP('Données projet'!$B$9,Paramètres!$A$1:$I$89,3,0)*0.475*44/12</f>
        <v>0.82515280926831625</v>
      </c>
      <c r="AC37" s="24">
        <f t="shared" si="3"/>
        <v>10.162869931100188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7.3</v>
      </c>
      <c r="AI37" s="14">
        <f>IF('Données projet'!$A$62&gt;35,AI36+AH37-AQ36,IF(A37&lt;'Données projet'!$A$62,$AF$205^A37,IF(A37='Données projet'!$A$62,'Données projet'!$B$62,AI36+AH37-AQ36)))</f>
        <v>171.70000000000007</v>
      </c>
      <c r="AJ37" s="14">
        <f>AI37*VLOOKUP('Données projet'!$B$10,Paramètres!$A$1:$I$89,3,0)*VLOOKUP('Données projet'!$B$10,Paramètres!$A$1:$I$89,5,0)</f>
        <v>149.99712000000008</v>
      </c>
      <c r="AK37" s="14">
        <f t="shared" si="35"/>
        <v>38.577931129787856</v>
      </c>
      <c r="AL37" s="22">
        <f t="shared" si="4"/>
        <v>328.43488071771395</v>
      </c>
      <c r="AM37" s="62">
        <f t="shared" si="5"/>
        <v>621.76821405104727</v>
      </c>
      <c r="AN37" s="62">
        <f ca="1">AVERAGE(OFFSET($AM$3,0,0,'Données projet'!$E$10+1,1))-AVERAGE(OFFSET($H$3,0,0,'Données projet'!$E$10+1,1))</f>
        <v>179.7474263412401</v>
      </c>
      <c r="AO37" s="62">
        <f t="shared" si="36"/>
        <v>234.90106311484084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0.67391273977294097</v>
      </c>
      <c r="AX37" s="23">
        <f t="shared" si="6"/>
        <v>0.67391273977294097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19.564999999999998</v>
      </c>
      <c r="D38" s="12">
        <f t="shared" si="32"/>
        <v>6.3782812027501414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200.26392507386075</v>
      </c>
      <c r="H38" s="70">
        <f t="shared" si="1"/>
        <v>338.51788142812313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13.642857142857142</v>
      </c>
      <c r="N38" s="14">
        <f>IF('Données projet'!$A$36&gt;35,N37+M38-V37,IF(A38&lt;'Données projet'!$A$36,$K$205^A38,IF(A38='Données projet'!$A$36,'Données projet'!$B$36,N37+M38-V37)))</f>
        <v>293.92857142857156</v>
      </c>
      <c r="O38" s="14">
        <f>N38*VLOOKUP('Données projet'!$B$9,Paramètres!$A$1:$I$89,3,0)*VLOOKUP('Données projet'!$B$9,Paramètres!$A$1:$I$89,5,0)</f>
        <v>164.3060714285715</v>
      </c>
      <c r="P38" s="14">
        <f t="shared" si="33"/>
        <v>41.812255563993602</v>
      </c>
      <c r="Q38" s="22">
        <f t="shared" si="53"/>
        <v>358.98941951205092</v>
      </c>
      <c r="R38" s="62">
        <f t="shared" si="0"/>
        <v>652.32275284538423</v>
      </c>
      <c r="S38" s="62">
        <f ca="1">AVERAGE(OFFSET($R$3,0,0,'Données projet'!$E$9+1,1))-AVERAGE(OFFSET($H$3,0,0,'Données projet'!$E$9+1,1))</f>
        <v>247.87882458322304</v>
      </c>
      <c r="T38" s="62">
        <f t="shared" si="34"/>
        <v>318.46892604922397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9.0823767560861786</v>
      </c>
      <c r="AB38" s="23">
        <f>EXP(-LN(2)/2)*AB37+(1-EXP(-LN(2)/2))/(LN(2)/2)*V38*Y38*VLOOKUP('Données projet'!$B$9,Paramètres!$A$1:$I$89,3,0)*0.475*44/12</f>
        <v>0.58347114694875635</v>
      </c>
      <c r="AC38" s="24">
        <f t="shared" si="3"/>
        <v>9.6658479030349351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179</v>
      </c>
      <c r="AG38" s="13">
        <f>VLOOKUP(A38,'Données projet'!$A$61:$I$81,9,0)</f>
        <v>7.3</v>
      </c>
      <c r="AH38" s="13">
        <f t="array" ref="AH38">INDEX(AG:AG,MIN(IF(ISNUMBER(AG38:AG234),ROW(AG38:AG234),"")))</f>
        <v>7.3</v>
      </c>
      <c r="AI38" s="14">
        <f>IF('Données projet'!$A$62&gt;35,AI37+AH38-AQ37,IF(A38&lt;'Données projet'!$A$62,$AF$205^A38,IF(A38='Données projet'!$A$62,'Données projet'!$B$62,AI37+AH38-AQ37)))</f>
        <v>179.00000000000009</v>
      </c>
      <c r="AJ38" s="14">
        <f>AI38*VLOOKUP('Données projet'!$B$10,Paramètres!$A$1:$I$89,3,0)*VLOOKUP('Données projet'!$B$10,Paramètres!$A$1:$I$89,5,0)</f>
        <v>156.37440000000009</v>
      </c>
      <c r="AK38" s="14">
        <f t="shared" si="35"/>
        <v>40.023663524293205</v>
      </c>
      <c r="AL38" s="22">
        <f t="shared" si="4"/>
        <v>342.0599606381441</v>
      </c>
      <c r="AM38" s="62">
        <f t="shared" si="5"/>
        <v>635.39329397147742</v>
      </c>
      <c r="AN38" s="62">
        <f ca="1">AVERAGE(OFFSET($AM$3,0,0,'Données projet'!$E$10+1,1))-AVERAGE(OFFSET($H$3,0,0,'Données projet'!$E$10+1,1))</f>
        <v>179.7474263412401</v>
      </c>
      <c r="AO38" s="62">
        <f t="shared" si="36"/>
        <v>234.90106311484084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36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0.47652826822145172</v>
      </c>
      <c r="AX38" s="23">
        <f t="shared" si="6"/>
        <v>0.47652826822145172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20.123999999999999</v>
      </c>
      <c r="D39" s="12">
        <f t="shared" si="32"/>
        <v>6.539040511923969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205.81996184643063</v>
      </c>
      <c r="H39" s="70">
        <f t="shared" si="1"/>
        <v>339.77146222493423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13.642857142857142</v>
      </c>
      <c r="N39" s="14">
        <f>IF('Données projet'!$A$36&gt;35,N38+M39-V38,IF(A39&lt;'Données projet'!$A$36,$K$205^A39,IF(A39='Données projet'!$A$36,'Données projet'!$B$36,N38+M39-V38)))</f>
        <v>307.57142857142873</v>
      </c>
      <c r="O39" s="14">
        <f>N39*VLOOKUP('Données projet'!$B$9,Paramètres!$A$1:$I$89,3,0)*VLOOKUP('Données projet'!$B$9,Paramètres!$A$1:$I$89,5,0)</f>
        <v>171.93242857142869</v>
      </c>
      <c r="P39" s="14">
        <f t="shared" si="33"/>
        <v>43.522538177360559</v>
      </c>
      <c r="Q39" s="22">
        <f t="shared" si="53"/>
        <v>375.25073375414127</v>
      </c>
      <c r="R39" s="62">
        <f t="shared" si="0"/>
        <v>668.58406708747452</v>
      </c>
      <c r="S39" s="62">
        <f ca="1">AVERAGE(OFFSET($R$3,0,0,'Données projet'!$E$9+1,1))-AVERAGE(OFFSET($H$3,0,0,'Données projet'!$E$9+1,1))</f>
        <v>247.87882458322304</v>
      </c>
      <c r="T39" s="62">
        <f t="shared" si="34"/>
        <v>318.46892604922397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8.834018686069566</v>
      </c>
      <c r="AB39" s="23">
        <f>EXP(-LN(2)/2)*AB38+(1-EXP(-LN(2)/2))/(LN(2)/2)*V39*Y39*VLOOKUP('Données projet'!$B$9,Paramètres!$A$1:$I$89,3,0)*0.475*44/12</f>
        <v>0.41257640463415818</v>
      </c>
      <c r="AC39" s="24">
        <f t="shared" si="3"/>
        <v>9.2465950907037247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5.8</v>
      </c>
      <c r="AI39" s="14">
        <f>IF('Données projet'!$A$62&gt;35,AI38+AH39-AQ38,IF(A39&lt;'Données projet'!$A$62,$AF$205^A39,IF(A39='Données projet'!$A$62,'Données projet'!$B$62,AI38+AH39-AQ38)))</f>
        <v>148.8000000000001</v>
      </c>
      <c r="AJ39" s="14">
        <f>AI39*VLOOKUP('Données projet'!$B$10,Paramètres!$A$1:$I$89,3,0)*VLOOKUP('Données projet'!$B$10,Paramètres!$A$1:$I$89,5,0)</f>
        <v>129.99168000000009</v>
      </c>
      <c r="AK39" s="14">
        <f t="shared" si="35"/>
        <v>33.994436817469889</v>
      </c>
      <c r="AL39" s="22">
        <f t="shared" si="4"/>
        <v>285.6091534570935</v>
      </c>
      <c r="AM39" s="62">
        <f t="shared" si="5"/>
        <v>578.94248679042676</v>
      </c>
      <c r="AN39" s="62">
        <f ca="1">AVERAGE(OFFSET($AM$3,0,0,'Données projet'!$E$10+1,1))-AVERAGE(OFFSET($H$3,0,0,'Données projet'!$E$10+1,1))</f>
        <v>179.7474263412401</v>
      </c>
      <c r="AO39" s="62">
        <f t="shared" si="36"/>
        <v>234.90106311484084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0.33695636988647054</v>
      </c>
      <c r="AX39" s="23">
        <f t="shared" si="6"/>
        <v>0.33695636988647054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</v>
      </c>
      <c r="D40" s="12">
        <f t="shared" si="32"/>
        <v>6.6992808015544387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211.37199215235009</v>
      </c>
      <c r="H40" s="70">
        <f t="shared" si="1"/>
        <v>341.02413906270726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13.642857142857142</v>
      </c>
      <c r="N40" s="14">
        <f>IF('Données projet'!$A$36&gt;35,N39+M40-V39,IF(A40&lt;'Données projet'!$A$36,$K$205^A40,IF(A40='Données projet'!$A$36,'Données projet'!$B$36,N39+M40-V39)))</f>
        <v>321.21428571428589</v>
      </c>
      <c r="O40" s="14">
        <f>N40*VLOOKUP('Données projet'!$B$9,Paramètres!$A$1:$I$89,3,0)*VLOOKUP('Données projet'!$B$9,Paramètres!$A$1:$I$89,5,0)</f>
        <v>179.55878571428582</v>
      </c>
      <c r="P40" s="14">
        <f t="shared" si="33"/>
        <v>45.224010100365234</v>
      </c>
      <c r="Q40" s="22">
        <f t="shared" si="53"/>
        <v>391.49670271051724</v>
      </c>
      <c r="R40" s="62">
        <f t="shared" si="0"/>
        <v>684.83003604385055</v>
      </c>
      <c r="S40" s="62">
        <f ca="1">AVERAGE(OFFSET($R$3,0,0,'Données projet'!$E$9+1,1))-AVERAGE(OFFSET($H$3,0,0,'Données projet'!$E$9+1,1))</f>
        <v>247.87882458322304</v>
      </c>
      <c r="T40" s="62">
        <f t="shared" si="34"/>
        <v>318.46892604922397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8.5924519805381419</v>
      </c>
      <c r="AB40" s="23">
        <f>EXP(-LN(2)/2)*AB39+(1-EXP(-LN(2)/2))/(LN(2)/2)*V40*Y40*VLOOKUP('Données projet'!$B$9,Paramètres!$A$1:$I$89,3,0)*0.475*44/12</f>
        <v>0.29173557347437817</v>
      </c>
      <c r="AC40" s="24">
        <f t="shared" si="3"/>
        <v>8.8841875540125201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5.8</v>
      </c>
      <c r="AI40" s="14">
        <f>IF('Données projet'!$A$62&gt;35,AI39+AH40-AQ39,IF(A40&lt;'Données projet'!$A$62,$AF$205^A40,IF(A40='Données projet'!$A$62,'Données projet'!$B$62,AI39+AH40-AQ39)))</f>
        <v>154.60000000000011</v>
      </c>
      <c r="AJ40" s="14">
        <f>AI40*VLOOKUP('Données projet'!$B$10,Paramètres!$A$1:$I$89,3,0)*VLOOKUP('Données projet'!$B$10,Paramètres!$A$1:$I$89,5,0)</f>
        <v>135.05856000000011</v>
      </c>
      <c r="AK40" s="14">
        <f t="shared" si="35"/>
        <v>35.162634438808915</v>
      </c>
      <c r="AL40" s="22">
        <f t="shared" si="4"/>
        <v>296.46858031425904</v>
      </c>
      <c r="AM40" s="62">
        <f t="shared" si="5"/>
        <v>589.8019136475923</v>
      </c>
      <c r="AN40" s="62">
        <f ca="1">AVERAGE(OFFSET($AM$3,0,0,'Données projet'!$E$10+1,1))-AVERAGE(OFFSET($H$3,0,0,'Données projet'!$E$10+1,1))</f>
        <v>179.7474263412401</v>
      </c>
      <c r="AO40" s="62">
        <f t="shared" si="36"/>
        <v>234.90106311484084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0.23826413411072592</v>
      </c>
      <c r="AX40" s="23">
        <f t="shared" si="6"/>
        <v>0.23826413411072592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21.242000000000001</v>
      </c>
      <c r="D41" s="12">
        <f t="shared" si="32"/>
        <v>6.859017711252279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216.92013671843867</v>
      </c>
      <c r="H41" s="70">
        <f t="shared" si="1"/>
        <v>342.27593918043101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13.642857142857142</v>
      </c>
      <c r="N41" s="14">
        <f>IF('Données projet'!$A$36&gt;35,N40+M41-V40,IF(A41&lt;'Données projet'!$A$36,$K$205^A41,IF(A41='Données projet'!$A$36,'Données projet'!$B$36,N40+M41-V40)))</f>
        <v>334.85714285714306</v>
      </c>
      <c r="O41" s="14">
        <f>N41*VLOOKUP('Données projet'!$B$9,Paramètres!$A$1:$I$89,3,0)*VLOOKUP('Données projet'!$B$9,Paramètres!$A$1:$I$89,5,0)</f>
        <v>187.18514285714295</v>
      </c>
      <c r="P41" s="14">
        <f t="shared" si="33"/>
        <v>46.917088330697965</v>
      </c>
      <c r="Q41" s="22">
        <f t="shared" si="53"/>
        <v>407.72805265215624</v>
      </c>
      <c r="R41" s="62">
        <f t="shared" si="0"/>
        <v>701.06138598548955</v>
      </c>
      <c r="S41" s="62">
        <f ca="1">AVERAGE(OFFSET($R$3,0,0,'Données projet'!$E$9+1,1))-AVERAGE(OFFSET($H$3,0,0,'Données projet'!$E$9+1,1))</f>
        <v>247.87882458322304</v>
      </c>
      <c r="T41" s="62">
        <f t="shared" si="34"/>
        <v>318.46892604922397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8.3574909292729149</v>
      </c>
      <c r="AB41" s="23">
        <f>EXP(-LN(2)/2)*AB40+(1-EXP(-LN(2)/2))/(LN(2)/2)*V41*Y41*VLOOKUP('Données projet'!$B$9,Paramètres!$A$1:$I$89,3,0)*0.475*44/12</f>
        <v>0.20628820231707909</v>
      </c>
      <c r="AC41" s="24">
        <f t="shared" si="3"/>
        <v>8.5637791315899943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5.8</v>
      </c>
      <c r="AI41" s="14">
        <f>IF('Données projet'!$A$62&gt;35,AI40+AH41-AQ40,IF(A41&lt;'Données projet'!$A$62,$AF$205^A41,IF(A41='Données projet'!$A$62,'Données projet'!$B$62,AI40+AH41-AQ40)))</f>
        <v>160.40000000000012</v>
      </c>
      <c r="AJ41" s="14">
        <f>AI41*VLOOKUP('Données projet'!$B$10,Paramètres!$A$1:$I$89,3,0)*VLOOKUP('Données projet'!$B$10,Paramètres!$A$1:$I$89,5,0)</f>
        <v>140.12544000000011</v>
      </c>
      <c r="AK41" s="14">
        <f t="shared" si="35"/>
        <v>36.325740539490845</v>
      </c>
      <c r="AL41" s="22">
        <f t="shared" si="4"/>
        <v>307.31913943961342</v>
      </c>
      <c r="AM41" s="62">
        <f t="shared" si="5"/>
        <v>600.65247277294679</v>
      </c>
      <c r="AN41" s="62">
        <f ca="1">AVERAGE(OFFSET($AM$3,0,0,'Données projet'!$E$10+1,1))-AVERAGE(OFFSET($H$3,0,0,'Données projet'!$E$10+1,1))</f>
        <v>179.7474263412401</v>
      </c>
      <c r="AO41" s="62">
        <f t="shared" si="36"/>
        <v>234.90106311484084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0.1684781849432353</v>
      </c>
      <c r="AX41" s="23">
        <f t="shared" si="6"/>
        <v>0.1684781849432353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21.801000000000002</v>
      </c>
      <c r="D42" s="12">
        <f t="shared" si="32"/>
        <v>7.0182660106137922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222.46450955561525</v>
      </c>
      <c r="H42" s="70">
        <f t="shared" si="1"/>
        <v>343.52688830181899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13.642857142857142</v>
      </c>
      <c r="N42" s="14">
        <f>IF('Données projet'!$A$36&gt;35,N41+M42-V41,IF(A42&lt;'Données projet'!$A$36,$K$205^A42,IF(A42='Données projet'!$A$36,'Données projet'!$B$36,N41+M42-V41)))</f>
        <v>348.50000000000023</v>
      </c>
      <c r="O42" s="14">
        <f>N42*VLOOKUP('Données projet'!$B$9,Paramètres!$A$1:$I$89,3,0)*VLOOKUP('Données projet'!$B$9,Paramètres!$A$1:$I$89,5,0)</f>
        <v>194.81150000000014</v>
      </c>
      <c r="P42" s="14">
        <f t="shared" si="33"/>
        <v>48.602153964253326</v>
      </c>
      <c r="Q42" s="22">
        <f t="shared" si="53"/>
        <v>423.94544732107471</v>
      </c>
      <c r="R42" s="62">
        <f t="shared" si="0"/>
        <v>717.27878065440802</v>
      </c>
      <c r="S42" s="62">
        <f ca="1">AVERAGE(OFFSET($R$3,0,0,'Données projet'!$E$9+1,1))-AVERAGE(OFFSET($H$3,0,0,'Données projet'!$E$9+1,1))</f>
        <v>247.87882458322304</v>
      </c>
      <c r="T42" s="62">
        <f t="shared" si="34"/>
        <v>318.46892604922397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8.1289549003105996</v>
      </c>
      <c r="AB42" s="23">
        <f>EXP(-LN(2)/2)*AB41+(1-EXP(-LN(2)/2))/(LN(2)/2)*V42*Y42*VLOOKUP('Données projet'!$B$9,Paramètres!$A$1:$I$89,3,0)*0.475*44/12</f>
        <v>0.14586778673718909</v>
      </c>
      <c r="AC42" s="24">
        <f t="shared" si="3"/>
        <v>8.2748226870477879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5.8</v>
      </c>
      <c r="AI42" s="14">
        <f>IF('Données projet'!$A$62&gt;35,AI41+AH42-AQ41,IF(A42&lt;'Données projet'!$A$62,$AF$205^A42,IF(A42='Données projet'!$A$62,'Données projet'!$B$62,AI41+AH42-AQ41)))</f>
        <v>166.20000000000013</v>
      </c>
      <c r="AJ42" s="14">
        <f>AI42*VLOOKUP('Données projet'!$B$10,Paramètres!$A$1:$I$89,3,0)*VLOOKUP('Données projet'!$B$10,Paramètres!$A$1:$I$89,5,0)</f>
        <v>145.19232000000014</v>
      </c>
      <c r="AK42" s="14">
        <f t="shared" si="35"/>
        <v>37.483960315974116</v>
      </c>
      <c r="AL42" s="22">
        <f t="shared" si="4"/>
        <v>318.16118821698848</v>
      </c>
      <c r="AM42" s="62">
        <f t="shared" si="5"/>
        <v>611.49452155032179</v>
      </c>
      <c r="AN42" s="62">
        <f ca="1">AVERAGE(OFFSET($AM$3,0,0,'Données projet'!$E$10+1,1))-AVERAGE(OFFSET($H$3,0,0,'Données projet'!$E$10+1,1))</f>
        <v>179.7474263412401</v>
      </c>
      <c r="AO42" s="62">
        <f t="shared" si="36"/>
        <v>234.90106311484084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0.11913206705536297</v>
      </c>
      <c r="AX42" s="23">
        <f t="shared" si="6"/>
        <v>0.11913206705536297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22.360000000000003</v>
      </c>
      <c r="D43" s="12">
        <f t="shared" si="32"/>
        <v>7.1770396686687832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228.00521849498713</v>
      </c>
      <c r="H43" s="70">
        <f t="shared" si="1"/>
        <v>344.77701075626476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13.642857142857142</v>
      </c>
      <c r="N43" s="14">
        <f>IF('Données projet'!$A$36&gt;35,N42+M43-V42,IF(A43&lt;'Données projet'!$A$36,$K$205^A43,IF(A43='Données projet'!$A$36,'Données projet'!$B$36,N42+M43-V42)))</f>
        <v>362.14285714285739</v>
      </c>
      <c r="O43" s="14">
        <f>N43*VLOOKUP('Données projet'!$B$9,Paramètres!$A$1:$I$89,3,0)*VLOOKUP('Données projet'!$B$9,Paramètres!$A$1:$I$89,5,0)</f>
        <v>202.4378571428573</v>
      </c>
      <c r="P43" s="14">
        <f t="shared" si="33"/>
        <v>50.279556569756075</v>
      </c>
      <c r="Q43" s="22">
        <f t="shared" si="53"/>
        <v>440.14949554946821</v>
      </c>
      <c r="R43" s="62">
        <f t="shared" si="0"/>
        <v>733.48282888280153</v>
      </c>
      <c r="S43" s="62">
        <f ca="1">AVERAGE(OFFSET($R$3,0,0,'Données projet'!$E$9+1,1))-AVERAGE(OFFSET($H$3,0,0,'Données projet'!$E$9+1,1))</f>
        <v>247.87882458322304</v>
      </c>
      <c r="T43" s="62">
        <f t="shared" si="34"/>
        <v>318.46892604922397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7.906668201078447</v>
      </c>
      <c r="AB43" s="23">
        <f>EXP(-LN(2)/2)*AB42+(1-EXP(-LN(2)/2))/(LN(2)/2)*V43*Y43*VLOOKUP('Données projet'!$B$9,Paramètres!$A$1:$I$89,3,0)*0.475*44/12</f>
        <v>0.10314410115853954</v>
      </c>
      <c r="AC43" s="24">
        <f t="shared" si="3"/>
        <v>8.0098123022369858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5.8</v>
      </c>
      <c r="AI43" s="14">
        <f>IF('Données projet'!$A$62&gt;35,AI42+AH43-AQ42,IF(A43&lt;'Données projet'!$A$62,$AF$205^A43,IF(A43='Données projet'!$A$62,'Données projet'!$B$62,AI42+AH43-AQ42)))</f>
        <v>172.00000000000014</v>
      </c>
      <c r="AJ43" s="14">
        <f>AI43*VLOOKUP('Données projet'!$B$10,Paramètres!$A$1:$I$89,3,0)*VLOOKUP('Données projet'!$B$10,Paramètres!$A$1:$I$89,5,0)</f>
        <v>150.25920000000016</v>
      </c>
      <c r="AK43" s="14">
        <f t="shared" si="35"/>
        <v>38.637483830798757</v>
      </c>
      <c r="AL43" s="22">
        <f t="shared" si="4"/>
        <v>328.99505767197479</v>
      </c>
      <c r="AM43" s="62">
        <f t="shared" si="5"/>
        <v>622.32839100530805</v>
      </c>
      <c r="AN43" s="62">
        <f ca="1">AVERAGE(OFFSET($AM$3,0,0,'Données projet'!$E$10+1,1))-AVERAGE(OFFSET($H$3,0,0,'Données projet'!$E$10+1,1))</f>
        <v>179.7474263412401</v>
      </c>
      <c r="AO43" s="62">
        <f t="shared" si="36"/>
        <v>234.90106311484084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8.4239092471617663E-2</v>
      </c>
      <c r="AX43" s="23">
        <f t="shared" si="6"/>
        <v>8.4239092471617663E-2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22.919000000000004</v>
      </c>
      <c r="D44" s="12">
        <f t="shared" si="32"/>
        <v>7.3353519161881984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233.54236566882119</v>
      </c>
      <c r="H44" s="70">
        <f t="shared" si="1"/>
        <v>346.02632958736109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13.642857142857142</v>
      </c>
      <c r="N44" s="14">
        <f>IF('Données projet'!$A$36&gt;35,N43+M44-V43,IF(A44&lt;'Données projet'!$A$36,$K$205^A44,IF(A44='Données projet'!$A$36,'Données projet'!$B$36,N43+M44-V43)))</f>
        <v>375.78571428571456</v>
      </c>
      <c r="O44" s="14">
        <f>N44*VLOOKUP('Données projet'!$B$9,Paramètres!$A$1:$I$89,3,0)*VLOOKUP('Données projet'!$B$9,Paramètres!$A$1:$I$89,5,0)</f>
        <v>210.06421428571443</v>
      </c>
      <c r="P44" s="14">
        <f t="shared" si="33"/>
        <v>51.949617885637146</v>
      </c>
      <c r="Q44" s="22">
        <f t="shared" si="53"/>
        <v>456.3407576984373</v>
      </c>
      <c r="R44" s="62">
        <f t="shared" si="0"/>
        <v>749.67409103177056</v>
      </c>
      <c r="S44" s="62">
        <f ca="1">AVERAGE(OFFSET($R$3,0,0,'Données projet'!$E$9+1,1))-AVERAGE(OFFSET($H$3,0,0,'Données projet'!$E$9+1,1))</f>
        <v>247.87882458322304</v>
      </c>
      <c r="T44" s="62">
        <f t="shared" si="34"/>
        <v>318.46892604922397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7.6904599433263474</v>
      </c>
      <c r="AB44" s="23">
        <f>EXP(-LN(2)/2)*AB43+(1-EXP(-LN(2)/2))/(LN(2)/2)*V44*Y44*VLOOKUP('Données projet'!$B$9,Paramètres!$A$1:$I$89,3,0)*0.475*44/12</f>
        <v>7.2933893368594543E-2</v>
      </c>
      <c r="AC44" s="24">
        <f t="shared" si="3"/>
        <v>7.7633938366949415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5.8</v>
      </c>
      <c r="AI44" s="14">
        <f>IF('Données projet'!$A$62&gt;35,AI43+AH44-AQ43,IF(A44&lt;'Données projet'!$A$62,$AF$205^A44,IF(A44='Données projet'!$A$62,'Données projet'!$B$62,AI43+AH44-AQ43)))</f>
        <v>177.80000000000015</v>
      </c>
      <c r="AJ44" s="14">
        <f>AI44*VLOOKUP('Données projet'!$B$10,Paramètres!$A$1:$I$89,3,0)*VLOOKUP('Données projet'!$B$10,Paramètres!$A$1:$I$89,5,0)</f>
        <v>155.32608000000016</v>
      </c>
      <c r="AK44" s="14">
        <f t="shared" si="35"/>
        <v>39.786487601092482</v>
      </c>
      <c r="AL44" s="22">
        <f t="shared" si="4"/>
        <v>339.82105523856967</v>
      </c>
      <c r="AM44" s="62">
        <f t="shared" si="5"/>
        <v>633.15438857190293</v>
      </c>
      <c r="AN44" s="62">
        <f ca="1">AVERAGE(OFFSET($AM$3,0,0,'Données projet'!$E$10+1,1))-AVERAGE(OFFSET($H$3,0,0,'Données projet'!$E$10+1,1))</f>
        <v>179.7474263412401</v>
      </c>
      <c r="AO44" s="62">
        <f t="shared" si="36"/>
        <v>234.90106311484084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5.95660335276815E-2</v>
      </c>
      <c r="AX44" s="23">
        <f t="shared" si="6"/>
        <v>5.95660335276815E-2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23.478000000000005</v>
      </c>
      <c r="D45" s="12">
        <f t="shared" si="32"/>
        <v>7.4932153017418228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239.07604794327025</v>
      </c>
      <c r="H45" s="70">
        <f t="shared" si="1"/>
        <v>347.27486665053368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13.642857142857142</v>
      </c>
      <c r="N45" s="14">
        <f>IF('Données projet'!$A$36&gt;35,N44+M45-V44,IF(A45&lt;'Données projet'!$A$36,$K$205^A45,IF(A45='Données projet'!$A$36,'Données projet'!$B$36,N44+M45-V44)))</f>
        <v>389.42857142857173</v>
      </c>
      <c r="O45" s="14">
        <f>N45*VLOOKUP('Données projet'!$B$9,Paramètres!$A$1:$I$89,3,0)*VLOOKUP('Données projet'!$B$9,Paramètres!$A$1:$I$89,5,0)</f>
        <v>217.69057142857162</v>
      </c>
      <c r="P45" s="14">
        <f t="shared" si="33"/>
        <v>53.612634964962567</v>
      </c>
      <c r="Q45" s="22">
        <f t="shared" si="53"/>
        <v>472.51975113540533</v>
      </c>
      <c r="R45" s="62">
        <f t="shared" si="0"/>
        <v>765.85308446873864</v>
      </c>
      <c r="S45" s="62">
        <f ca="1">AVERAGE(OFFSET($R$3,0,0,'Données projet'!$E$9+1,1))-AVERAGE(OFFSET($H$3,0,0,'Données projet'!$E$9+1,1))</f>
        <v>247.87882458322304</v>
      </c>
      <c r="T45" s="62">
        <f t="shared" si="34"/>
        <v>318.46892604922397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7.4801639117523768</v>
      </c>
      <c r="AB45" s="23">
        <f>EXP(-LN(2)/2)*AB44+(1-EXP(-LN(2)/2))/(LN(2)/2)*V45*Y45*VLOOKUP('Données projet'!$B$9,Paramètres!$A$1:$I$89,3,0)*0.475*44/12</f>
        <v>5.1572050579269772E-2</v>
      </c>
      <c r="AC45" s="24">
        <f t="shared" si="3"/>
        <v>7.5317359623316467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5.8</v>
      </c>
      <c r="AI45" s="14">
        <f>IF('Données projet'!$A$62&gt;35,AI44+AH45-AQ44,IF(A45&lt;'Données projet'!$A$62,$AF$205^A45,IF(A45='Données projet'!$A$62,'Données projet'!$B$62,AI44+AH45-AQ44)))</f>
        <v>183.60000000000016</v>
      </c>
      <c r="AJ45" s="14">
        <f>AI45*VLOOKUP('Données projet'!$B$10,Paramètres!$A$1:$I$89,3,0)*VLOOKUP('Données projet'!$B$10,Paramètres!$A$1:$I$89,5,0)</f>
        <v>160.39296000000016</v>
      </c>
      <c r="AK45" s="14">
        <f t="shared" si="35"/>
        <v>40.931135973980076</v>
      </c>
      <c r="AL45" s="22">
        <f t="shared" si="4"/>
        <v>350.63946715468222</v>
      </c>
      <c r="AM45" s="62">
        <f t="shared" si="5"/>
        <v>643.97280048801554</v>
      </c>
      <c r="AN45" s="62">
        <f ca="1">AVERAGE(OFFSET($AM$3,0,0,'Données projet'!$E$10+1,1))-AVERAGE(OFFSET($H$3,0,0,'Données projet'!$E$10+1,1))</f>
        <v>179.7474263412401</v>
      </c>
      <c r="AO45" s="62">
        <f t="shared" si="36"/>
        <v>234.90106311484084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4.2119546235808838E-2</v>
      </c>
      <c r="AX45" s="23">
        <f t="shared" si="6"/>
        <v>4.2119546235808838E-2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24.037000000000006</v>
      </c>
      <c r="D46" s="12">
        <f t="shared" si="32"/>
        <v>7.6506417422667603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244.60635730872593</v>
      </c>
      <c r="H46" s="70">
        <f t="shared" si="1"/>
        <v>348.52264270111459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13.642857142857142</v>
      </c>
      <c r="N46" s="14">
        <f>IF('Données projet'!$A$36&gt;35,N45+M46-V45,IF(A46&lt;'Données projet'!$A$36,$K$205^A46,IF(A46='Données projet'!$A$36,'Données projet'!$B$36,N45+M46-V45)))</f>
        <v>403.0714285714289</v>
      </c>
      <c r="O46" s="14">
        <f>N46*VLOOKUP('Données projet'!$B$9,Paramètres!$A$1:$I$89,3,0)*VLOOKUP('Données projet'!$B$9,Paramètres!$A$1:$I$89,5,0)</f>
        <v>225.31692857142875</v>
      </c>
      <c r="P46" s="14">
        <f t="shared" si="33"/>
        <v>55.268882867274407</v>
      </c>
      <c r="Q46" s="22">
        <f t="shared" si="53"/>
        <v>488.68695492240795</v>
      </c>
      <c r="R46" s="62">
        <f t="shared" si="0"/>
        <v>782.02028825574121</v>
      </c>
      <c r="S46" s="62">
        <f ca="1">AVERAGE(OFFSET($R$3,0,0,'Données projet'!$E$9+1,1))-AVERAGE(OFFSET($H$3,0,0,'Données projet'!$E$9+1,1))</f>
        <v>247.87882458322304</v>
      </c>
      <c r="T46" s="62">
        <f t="shared" si="34"/>
        <v>318.46892604922397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7.2756184362207845</v>
      </c>
      <c r="AB46" s="23">
        <f>EXP(-LN(2)/2)*AB45+(1-EXP(-LN(2)/2))/(LN(2)/2)*V46*Y46*VLOOKUP('Données projet'!$B$9,Paramètres!$A$1:$I$89,3,0)*0.475*44/12</f>
        <v>3.6466946684297272E-2</v>
      </c>
      <c r="AC46" s="24">
        <f t="shared" si="3"/>
        <v>7.3120853829050816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5.8</v>
      </c>
      <c r="AI46" s="14">
        <f>IF('Données projet'!$A$62&gt;35,AI45+AH46-AQ45,IF(A46&lt;'Données projet'!$A$62,$AF$205^A46,IF(A46='Données projet'!$A$62,'Données projet'!$B$62,AI45+AH46-AQ45)))</f>
        <v>189.40000000000018</v>
      </c>
      <c r="AJ46" s="14">
        <f>AI46*VLOOKUP('Données projet'!$B$10,Paramètres!$A$1:$I$89,3,0)*VLOOKUP('Données projet'!$B$10,Paramètres!$A$1:$I$89,5,0)</f>
        <v>165.45984000000018</v>
      </c>
      <c r="AK46" s="14">
        <f t="shared" si="35"/>
        <v>42.071582323311731</v>
      </c>
      <c r="AL46" s="22">
        <f t="shared" si="4"/>
        <v>361.45056054643493</v>
      </c>
      <c r="AM46" s="62">
        <f t="shared" si="5"/>
        <v>654.78389387976824</v>
      </c>
      <c r="AN46" s="62">
        <f ca="1">AVERAGE(OFFSET($AM$3,0,0,'Données projet'!$E$10+1,1))-AVERAGE(OFFSET($H$3,0,0,'Données projet'!$E$10+1,1))</f>
        <v>179.7474263412401</v>
      </c>
      <c r="AO46" s="62">
        <f t="shared" si="36"/>
        <v>234.90106311484084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2.9783016763840753E-2</v>
      </c>
      <c r="AX46" s="23">
        <f t="shared" si="6"/>
        <v>2.9783016763840753E-2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24.596000000000007</v>
      </c>
      <c r="D47" s="12">
        <f t="shared" si="32"/>
        <v>7.8076425687993289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250.13338123283697</v>
      </c>
      <c r="H47" s="70">
        <f t="shared" si="1"/>
        <v>349.76967747399215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13.642857142857142</v>
      </c>
      <c r="N47" s="14">
        <f>IF('Données projet'!$A$36&gt;35,N46+M47-V46,IF(A47&lt;'Données projet'!$A$36,$K$205^A47,IF(A47='Données projet'!$A$36,'Données projet'!$B$36,N46+M47-V46)))</f>
        <v>416.71428571428606</v>
      </c>
      <c r="O47" s="14">
        <f>N47*VLOOKUP('Données projet'!$B$9,Paramètres!$A$1:$I$89,3,0)*VLOOKUP('Données projet'!$B$9,Paramètres!$A$1:$I$89,5,0)</f>
        <v>232.94328571428593</v>
      </c>
      <c r="P47" s="14">
        <f t="shared" si="33"/>
        <v>56.918616975747959</v>
      </c>
      <c r="Q47" s="22">
        <f t="shared" si="53"/>
        <v>504.84281385180907</v>
      </c>
      <c r="R47" s="62">
        <f t="shared" si="0"/>
        <v>798.17614718514233</v>
      </c>
      <c r="S47" s="62">
        <f ca="1">AVERAGE(OFFSET($R$3,0,0,'Données projet'!$E$9+1,1))-AVERAGE(OFFSET($H$3,0,0,'Données projet'!$E$9+1,1))</f>
        <v>247.87882458322304</v>
      </c>
      <c r="T47" s="62">
        <f t="shared" si="34"/>
        <v>318.46892604922397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7.0766662674741827</v>
      </c>
      <c r="AB47" s="23">
        <f>EXP(-LN(2)/2)*AB46+(1-EXP(-LN(2)/2))/(LN(2)/2)*V47*Y47*VLOOKUP('Données projet'!$B$9,Paramètres!$A$1:$I$89,3,0)*0.475*44/12</f>
        <v>2.5786025289634886E-2</v>
      </c>
      <c r="AC47" s="24">
        <f t="shared" si="3"/>
        <v>7.1024522927638172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5.8</v>
      </c>
      <c r="AI47" s="14">
        <f>IF('Données projet'!$A$62&gt;35,AI46+AH47-AQ46,IF(A47&lt;'Données projet'!$A$62,$AF$205^A47,IF(A47='Données projet'!$A$62,'Données projet'!$B$62,AI46+AH47-AQ46)))</f>
        <v>195.20000000000019</v>
      </c>
      <c r="AJ47" s="14">
        <f>AI47*VLOOKUP('Données projet'!$B$10,Paramètres!$A$1:$I$89,3,0)*VLOOKUP('Données projet'!$B$10,Paramètres!$A$1:$I$89,5,0)</f>
        <v>170.52672000000018</v>
      </c>
      <c r="AK47" s="14">
        <f t="shared" si="35"/>
        <v>43.207970095682782</v>
      </c>
      <c r="AL47" s="22">
        <f t="shared" si="4"/>
        <v>372.25458524998112</v>
      </c>
      <c r="AM47" s="62">
        <f t="shared" si="5"/>
        <v>665.58791858331438</v>
      </c>
      <c r="AN47" s="62">
        <f ca="1">AVERAGE(OFFSET($AM$3,0,0,'Données projet'!$E$10+1,1))-AVERAGE(OFFSET($H$3,0,0,'Données projet'!$E$10+1,1))</f>
        <v>179.7474263412401</v>
      </c>
      <c r="AO47" s="62">
        <f t="shared" si="36"/>
        <v>234.90106311484084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2.1059773117904423E-2</v>
      </c>
      <c r="AX47" s="23">
        <f t="shared" si="6"/>
        <v>2.1059773117904423E-2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25.155000000000008</v>
      </c>
      <c r="D48" s="12">
        <f t="shared" si="32"/>
        <v>7.9642285679322873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255.65720298053</v>
      </c>
      <c r="H48" s="70">
        <f t="shared" si="1"/>
        <v>351.01598975581538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13.642857142857142</v>
      </c>
      <c r="N48" s="14">
        <f>IF('Données projet'!$A$36&gt;35,N47+M48-V47,IF(A48&lt;'Données projet'!$A$36,$K$205^A48,IF(A48='Données projet'!$A$36,'Données projet'!$B$36,N47+M48-V47)))</f>
        <v>430.35714285714323</v>
      </c>
      <c r="O48" s="14">
        <f>N48*VLOOKUP('Données projet'!$B$9,Paramètres!$A$1:$I$89,3,0)*VLOOKUP('Données projet'!$B$9,Paramètres!$A$1:$I$89,5,0)</f>
        <v>240.56964285714307</v>
      </c>
      <c r="P48" s="14">
        <f t="shared" si="33"/>
        <v>58.562075002378066</v>
      </c>
      <c r="Q48" s="22">
        <f t="shared" si="53"/>
        <v>520.98774193866586</v>
      </c>
      <c r="R48" s="62">
        <f t="shared" si="0"/>
        <v>814.32107527199923</v>
      </c>
      <c r="S48" s="62">
        <f ca="1">AVERAGE(OFFSET($R$3,0,0,'Données projet'!$E$9+1,1))-AVERAGE(OFFSET($H$3,0,0,'Données projet'!$E$9+1,1))</f>
        <v>247.87882458322304</v>
      </c>
      <c r="T48" s="62">
        <f t="shared" si="34"/>
        <v>318.46892604922397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6.8831544562443963</v>
      </c>
      <c r="AB48" s="23">
        <f>EXP(-LN(2)/2)*AB47+(1-EXP(-LN(2)/2))/(LN(2)/2)*V48*Y48*VLOOKUP('Données projet'!$B$9,Paramètres!$A$1:$I$89,3,0)*0.475*44/12</f>
        <v>1.8233473342148636E-2</v>
      </c>
      <c r="AC48" s="24">
        <f t="shared" si="3"/>
        <v>6.9013879295865452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201</v>
      </c>
      <c r="AG48" s="13">
        <f>VLOOKUP(A48,'Données projet'!$A$61:$I$81,9,0)</f>
        <v>5.8</v>
      </c>
      <c r="AH48" s="13">
        <f t="array" ref="AH48">INDEX(AG:AG,MIN(IF(ISNUMBER(AG48:AG244),ROW(AG48:AG244),"")))</f>
        <v>5.8</v>
      </c>
      <c r="AI48" s="14">
        <f>IF('Données projet'!$A$62&gt;35,AI47+AH48-AQ47,IF(A48&lt;'Données projet'!$A$62,$AF$205^A48,IF(A48='Données projet'!$A$62,'Données projet'!$B$62,AI47+AH48-AQ47)))</f>
        <v>201.0000000000002</v>
      </c>
      <c r="AJ48" s="14">
        <f>AI48*VLOOKUP('Données projet'!$B$10,Paramètres!$A$1:$I$89,3,0)*VLOOKUP('Données projet'!$B$10,Paramètres!$A$1:$I$89,5,0)</f>
        <v>175.59360000000018</v>
      </c>
      <c r="AK48" s="14">
        <f t="shared" si="35"/>
        <v>44.340433728638615</v>
      </c>
      <c r="AL48" s="22">
        <f t="shared" si="4"/>
        <v>383.05177541071254</v>
      </c>
      <c r="AM48" s="62">
        <f t="shared" si="5"/>
        <v>676.38510874404585</v>
      </c>
      <c r="AN48" s="62">
        <f ca="1">AVERAGE(OFFSET($AM$3,0,0,'Données projet'!$E$10+1,1))-AVERAGE(OFFSET($H$3,0,0,'Données projet'!$E$10+1,1))</f>
        <v>179.7474263412401</v>
      </c>
      <c r="AO48" s="62">
        <f t="shared" si="36"/>
        <v>234.90106311484084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31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1.489150838192038E-2</v>
      </c>
      <c r="AX48" s="23">
        <f t="shared" si="6"/>
        <v>1.489150838192038E-2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25.714000000000009</v>
      </c>
      <c r="D49" s="12">
        <f t="shared" si="32"/>
        <v>8.1204100194831259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261.17790190478212</v>
      </c>
      <c r="H49" s="70">
        <f t="shared" si="1"/>
        <v>352.26159745059977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>
        <f>VLOOKUP(A49,'Données projet'!$A$35:$I$55,2,0)</f>
        <v>444</v>
      </c>
      <c r="L49" s="13">
        <f>VLOOKUP(A49,'Données projet'!$A$35:$I$55,9,0)</f>
        <v>13.642857142857142</v>
      </c>
      <c r="M49" s="13">
        <f t="array" ref="M49">INDEX(L:L,MIN(IF(ISNUMBER(L49:L245),ROW(L49:L245),"")))</f>
        <v>13.642857142857142</v>
      </c>
      <c r="N49" s="14">
        <f>IF('Données projet'!$A$36&gt;35,N48+M49-V48,IF(A49&lt;'Données projet'!$A$36,$K$205^A49,IF(A49='Données projet'!$A$36,'Données projet'!$B$36,N48+M49-V48)))</f>
        <v>444.0000000000004</v>
      </c>
      <c r="O49" s="14">
        <f>N49*VLOOKUP('Données projet'!$B$9,Paramètres!$A$1:$I$89,3,0)*VLOOKUP('Données projet'!$B$9,Paramètres!$A$1:$I$89,5,0)</f>
        <v>248.19600000000023</v>
      </c>
      <c r="P49" s="14">
        <f t="shared" si="33"/>
        <v>60.199478731755242</v>
      </c>
      <c r="Q49" s="22">
        <f t="shared" si="53"/>
        <v>537.12212545780744</v>
      </c>
      <c r="R49" s="62">
        <f t="shared" si="0"/>
        <v>830.4554587911407</v>
      </c>
      <c r="S49" s="62">
        <f ca="1">AVERAGE(OFFSET($R$3,0,0,'Données projet'!$E$9+1,1))-AVERAGE(OFFSET($H$3,0,0,'Données projet'!$E$9+1,1))</f>
        <v>247.87882458322304</v>
      </c>
      <c r="T49" s="62">
        <f t="shared" si="34"/>
        <v>318.46892604922397</v>
      </c>
      <c r="U49" s="16">
        <f>IF(ISNA(VLOOKUP(A49,'Données projet'!$A$35:$I$55,3,0)),0,VLOOKUP(A49,'Données projet'!$A$35:$I$55,3,0))</f>
        <v>3</v>
      </c>
      <c r="V49" s="16">
        <f>IF(ISNA(VLOOKUP(A49,'Données projet'!$A$35:$I$55,4,0)),0,VLOOKUP(A49,'Données projet'!$A$35:$I$55,4,0))</f>
        <v>86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6.6949342356690318</v>
      </c>
      <c r="AB49" s="23">
        <f>EXP(-LN(2)/2)*AB48+(1-EXP(-LN(2)/2))/(LN(2)/2)*V49*Y49*VLOOKUP('Données projet'!$B$9,Paramètres!$A$1:$I$89,3,0)*0.475*44/12</f>
        <v>1.2893012644817443E-2</v>
      </c>
      <c r="AC49" s="24">
        <f t="shared" si="3"/>
        <v>6.7078272483138495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3.3333333333333335</v>
      </c>
      <c r="AI49" s="14">
        <f>IF('Données projet'!$A$62&gt;35,AI48+AH49-AQ48,IF(A49&lt;'Données projet'!$A$62,$AF$205^A49,IF(A49='Données projet'!$A$62,'Données projet'!$B$62,AI48+AH49-AQ48)))</f>
        <v>173.33333333333354</v>
      </c>
      <c r="AJ49" s="14">
        <f>AI49*VLOOKUP('Données projet'!$B$10,Paramètres!$A$1:$I$89,3,0)*VLOOKUP('Données projet'!$B$10,Paramètres!$A$1:$I$89,5,0)</f>
        <v>151.42400000000021</v>
      </c>
      <c r="AK49" s="14">
        <f t="shared" si="35"/>
        <v>38.902016561268056</v>
      </c>
      <c r="AL49" s="22">
        <f t="shared" si="4"/>
        <v>331.48447884420892</v>
      </c>
      <c r="AM49" s="62">
        <f t="shared" si="5"/>
        <v>624.81781217754224</v>
      </c>
      <c r="AN49" s="62">
        <f ca="1">AVERAGE(OFFSET($AM$3,0,0,'Données projet'!$E$10+1,1))-AVERAGE(OFFSET($H$3,0,0,'Données projet'!$E$10+1,1))</f>
        <v>179.7474263412401</v>
      </c>
      <c r="AO49" s="62">
        <f t="shared" si="36"/>
        <v>234.90106311484084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1.0529886558952213E-2</v>
      </c>
      <c r="AX49" s="23">
        <f t="shared" si="6"/>
        <v>1.0529886558952213E-2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26.27300000000001</v>
      </c>
      <c r="D50" s="12">
        <f t="shared" si="32"/>
        <v>8.2761967307944264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266.69555371139563</v>
      </c>
      <c r="H50" s="70">
        <f t="shared" si="1"/>
        <v>353.50651763946695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11.357142857142858</v>
      </c>
      <c r="N50" s="14">
        <f>IF('Données projet'!$A$36&gt;35,N49+M50-V49,IF(A50&lt;'Données projet'!$A$36,$K$205^A50,IF(A50='Données projet'!$A$36,'Données projet'!$B$36,N49+M50-V49)))</f>
        <v>369.35714285714323</v>
      </c>
      <c r="O50" s="14">
        <f>N50*VLOOKUP('Données projet'!$B$9,Paramètres!$A$1:$I$89,3,0)*VLOOKUP('Données projet'!$B$9,Paramètres!$A$1:$I$89,5,0)</f>
        <v>206.47064285714308</v>
      </c>
      <c r="P50" s="14">
        <f t="shared" si="33"/>
        <v>51.163573213965869</v>
      </c>
      <c r="Q50" s="22">
        <f t="shared" si="53"/>
        <v>448.71292632384802</v>
      </c>
      <c r="R50" s="62">
        <f t="shared" si="0"/>
        <v>742.04625965718128</v>
      </c>
      <c r="S50" s="62">
        <f ca="1">AVERAGE(OFFSET($R$3,0,0,'Données projet'!$E$9+1,1))-AVERAGE(OFFSET($H$3,0,0,'Données projet'!$E$9+1,1))</f>
        <v>247.87882458322304</v>
      </c>
      <c r="T50" s="62">
        <f t="shared" si="34"/>
        <v>318.46892604922397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6.5118609069233724</v>
      </c>
      <c r="AB50" s="23">
        <f>EXP(-LN(2)/2)*AB49+(1-EXP(-LN(2)/2))/(LN(2)/2)*V50*Y50*VLOOKUP('Données projet'!$B$9,Paramètres!$A$1:$I$89,3,0)*0.475*44/12</f>
        <v>9.1167366710743179E-3</v>
      </c>
      <c r="AC50" s="24">
        <f t="shared" si="3"/>
        <v>6.5209776435944464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3.3333333333333335</v>
      </c>
      <c r="AI50" s="14">
        <f>IF('Données projet'!$A$62&gt;35,AI49+AH50-AQ49,IF(A50&lt;'Données projet'!$A$62,$AF$205^A50,IF(A50='Données projet'!$A$62,'Données projet'!$B$62,AI49+AH50-AQ49)))</f>
        <v>176.66666666666688</v>
      </c>
      <c r="AJ50" s="14">
        <f>AI50*VLOOKUP('Données projet'!$B$10,Paramètres!$A$1:$I$89,3,0)*VLOOKUP('Données projet'!$B$10,Paramètres!$A$1:$I$89,5,0)</f>
        <v>154.33600000000021</v>
      </c>
      <c r="AK50" s="14">
        <f t="shared" si="35"/>
        <v>39.562316987216882</v>
      </c>
      <c r="AL50" s="22">
        <f t="shared" si="4"/>
        <v>337.70623541940313</v>
      </c>
      <c r="AM50" s="62">
        <f t="shared" si="5"/>
        <v>631.03956875273639</v>
      </c>
      <c r="AN50" s="62">
        <f ca="1">AVERAGE(OFFSET($AM$3,0,0,'Données projet'!$E$10+1,1))-AVERAGE(OFFSET($H$3,0,0,'Données projet'!$E$10+1,1))</f>
        <v>179.7474263412401</v>
      </c>
      <c r="AO50" s="62">
        <f t="shared" si="36"/>
        <v>234.90106311484084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7.445754190960191E-3</v>
      </c>
      <c r="AX50" s="23">
        <f t="shared" si="6"/>
        <v>7.445754190960191E-3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26.832000000000011</v>
      </c>
      <c r="D51" s="12">
        <f t="shared" si="32"/>
        <v>8.4315980680326348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272.21023070060295</v>
      </c>
      <c r="H51" s="70">
        <f t="shared" si="1"/>
        <v>354.75076663515682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11.357142857142858</v>
      </c>
      <c r="N51" s="14">
        <f>IF('Données projet'!$A$36&gt;35,N50+M51-V50,IF(A51&lt;'Données projet'!$A$36,$K$205^A51,IF(A51='Données projet'!$A$36,'Données projet'!$B$36,N50+M51-V50)))</f>
        <v>380.71428571428606</v>
      </c>
      <c r="O51" s="14">
        <f>N51*VLOOKUP('Données projet'!$B$9,Paramètres!$A$1:$I$89,3,0)*VLOOKUP('Données projet'!$B$9,Paramètres!$A$1:$I$89,5,0)</f>
        <v>212.81928571428591</v>
      </c>
      <c r="P51" s="14">
        <f t="shared" si="33"/>
        <v>52.55119157228949</v>
      </c>
      <c r="Q51" s="22">
        <f t="shared" si="53"/>
        <v>462.18691460745214</v>
      </c>
      <c r="R51" s="62">
        <f t="shared" si="0"/>
        <v>755.52024794078545</v>
      </c>
      <c r="S51" s="62">
        <f ca="1">AVERAGE(OFFSET($R$3,0,0,'Données projet'!$E$9+1,1))-AVERAGE(OFFSET($H$3,0,0,'Données projet'!$E$9+1,1))</f>
        <v>247.87882458322304</v>
      </c>
      <c r="T51" s="62">
        <f t="shared" si="34"/>
        <v>318.46892604922397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6.3337937279796703</v>
      </c>
      <c r="AB51" s="23">
        <f>EXP(-LN(2)/2)*AB50+(1-EXP(-LN(2)/2))/(LN(2)/2)*V51*Y51*VLOOKUP('Données projet'!$B$9,Paramètres!$A$1:$I$89,3,0)*0.475*44/12</f>
        <v>6.4465063224087215E-3</v>
      </c>
      <c r="AC51" s="24">
        <f t="shared" si="3"/>
        <v>6.3402402343020787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3.3333333333333335</v>
      </c>
      <c r="AI51" s="14">
        <f>IF('Données projet'!$A$62&gt;35,AI50+AH51-AQ50,IF(A51&lt;'Données projet'!$A$62,$AF$205^A51,IF(A51='Données projet'!$A$62,'Données projet'!$B$62,AI50+AH51-AQ50)))</f>
        <v>180.00000000000023</v>
      </c>
      <c r="AJ51" s="14">
        <f>AI51*VLOOKUP('Données projet'!$B$10,Paramètres!$A$1:$I$89,3,0)*VLOOKUP('Données projet'!$B$10,Paramètres!$A$1:$I$89,5,0)</f>
        <v>157.24800000000022</v>
      </c>
      <c r="AK51" s="14">
        <f t="shared" si="35"/>
        <v>40.221168744348681</v>
      </c>
      <c r="AL51" s="22">
        <f t="shared" si="4"/>
        <v>343.92546889640766</v>
      </c>
      <c r="AM51" s="62">
        <f t="shared" si="5"/>
        <v>637.25880222974092</v>
      </c>
      <c r="AN51" s="62">
        <f ca="1">AVERAGE(OFFSET($AM$3,0,0,'Données projet'!$E$10+1,1))-AVERAGE(OFFSET($H$3,0,0,'Données projet'!$E$10+1,1))</f>
        <v>179.7474263412401</v>
      </c>
      <c r="AO51" s="62">
        <f t="shared" si="36"/>
        <v>234.90106311484084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5.2649432794761074E-3</v>
      </c>
      <c r="AX51" s="23">
        <f t="shared" si="6"/>
        <v>5.2649432794761074E-3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27.391000000000012</v>
      </c>
      <c r="D52" s="12">
        <f t="shared" si="32"/>
        <v>8.586622984805059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277.72200198796901</v>
      </c>
      <c r="H52" s="70">
        <f t="shared" si="1"/>
        <v>355.99436003186884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11.357142857142858</v>
      </c>
      <c r="N52" s="14">
        <f>IF('Données projet'!$A$36&gt;35,N51+M52-V51,IF(A52&lt;'Données projet'!$A$36,$K$205^A52,IF(A52='Données projet'!$A$36,'Données projet'!$B$36,N51+M52-V51)))</f>
        <v>392.0714285714289</v>
      </c>
      <c r="O52" s="14">
        <f>N52*VLOOKUP('Données projet'!$B$9,Paramètres!$A$1:$I$89,3,0)*VLOOKUP('Données projet'!$B$9,Paramètres!$A$1:$I$89,5,0)</f>
        <v>219.16792857142877</v>
      </c>
      <c r="P52" s="14">
        <f t="shared" si="33"/>
        <v>53.933999242472879</v>
      </c>
      <c r="Q52" s="22">
        <f t="shared" si="53"/>
        <v>475.65252427587865</v>
      </c>
      <c r="R52" s="62">
        <f t="shared" si="0"/>
        <v>768.98585760921196</v>
      </c>
      <c r="S52" s="62">
        <f ca="1">AVERAGE(OFFSET($R$3,0,0,'Données projet'!$E$9+1,1))-AVERAGE(OFFSET($H$3,0,0,'Données projet'!$E$9+1,1))</f>
        <v>247.87882458322304</v>
      </c>
      <c r="T52" s="62">
        <f t="shared" si="34"/>
        <v>318.46892604922397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6.1605958054083301</v>
      </c>
      <c r="AB52" s="23">
        <f>EXP(-LN(2)/2)*AB51+(1-EXP(-LN(2)/2))/(LN(2)/2)*V52*Y52*VLOOKUP('Données projet'!$B$9,Paramètres!$A$1:$I$89,3,0)*0.475*44/12</f>
        <v>4.558368335537159E-3</v>
      </c>
      <c r="AC52" s="24">
        <f t="shared" si="3"/>
        <v>6.1651541737438675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3.3333333333333335</v>
      </c>
      <c r="AI52" s="14">
        <f>IF('Données projet'!$A$62&gt;35,AI51+AH52-AQ51,IF(A52&lt;'Données projet'!$A$62,$AF$205^A52,IF(A52='Données projet'!$A$62,'Données projet'!$B$62,AI51+AH52-AQ51)))</f>
        <v>183.33333333333357</v>
      </c>
      <c r="AJ52" s="14">
        <f>AI52*VLOOKUP('Données projet'!$B$10,Paramètres!$A$1:$I$89,3,0)*VLOOKUP('Données projet'!$B$10,Paramètres!$A$1:$I$89,5,0)</f>
        <v>160.16000000000022</v>
      </c>
      <c r="AK52" s="14">
        <f t="shared" si="35"/>
        <v>40.878601753742842</v>
      </c>
      <c r="AL52" s="22">
        <f t="shared" si="4"/>
        <v>350.14223138776919</v>
      </c>
      <c r="AM52" s="62">
        <f t="shared" si="5"/>
        <v>643.4755647211025</v>
      </c>
      <c r="AN52" s="62">
        <f ca="1">AVERAGE(OFFSET($AM$3,0,0,'Données projet'!$E$10+1,1))-AVERAGE(OFFSET($H$3,0,0,'Données projet'!$E$10+1,1))</f>
        <v>179.7474263412401</v>
      </c>
      <c r="AO52" s="62">
        <f t="shared" si="36"/>
        <v>234.90106311484084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3.7228770954800959E-3</v>
      </c>
      <c r="AX52" s="23">
        <f t="shared" si="6"/>
        <v>3.7228770954800959E-3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27.950000000000014</v>
      </c>
      <c r="D53" s="12">
        <f t="shared" si="32"/>
        <v>8.7412800483747457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283.23093370675252</v>
      </c>
      <c r="H53" s="70">
        <f t="shared" si="1"/>
        <v>357.23731275091933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11.357142857142858</v>
      </c>
      <c r="N53" s="14">
        <f>IF('Données projet'!$A$36&gt;35,N52+M53-V52,IF(A53&lt;'Données projet'!$A$36,$K$205^A53,IF(A53='Données projet'!$A$36,'Données projet'!$B$36,N52+M53-V52)))</f>
        <v>403.42857142857173</v>
      </c>
      <c r="O53" s="14">
        <f>N53*VLOOKUP('Données projet'!$B$9,Paramètres!$A$1:$I$89,3,0)*VLOOKUP('Données projet'!$B$9,Paramètres!$A$1:$I$89,5,0)</f>
        <v>225.51657142857158</v>
      </c>
      <c r="P53" s="14">
        <f t="shared" si="33"/>
        <v>55.312151578387912</v>
      </c>
      <c r="Q53" s="22">
        <f t="shared" si="53"/>
        <v>489.11002590378774</v>
      </c>
      <c r="R53" s="62">
        <f t="shared" si="0"/>
        <v>782.44335923712106</v>
      </c>
      <c r="S53" s="62">
        <f ca="1">AVERAGE(OFFSET($R$3,0,0,'Données projet'!$E$9+1,1))-AVERAGE(OFFSET($H$3,0,0,'Données projet'!$E$9+1,1))</f>
        <v>247.87882458322304</v>
      </c>
      <c r="T53" s="62">
        <f t="shared" si="34"/>
        <v>318.46892604922397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5.9921339891377858</v>
      </c>
      <c r="AB53" s="23">
        <f>EXP(-LN(2)/2)*AB52+(1-EXP(-LN(2)/2))/(LN(2)/2)*V53*Y53*VLOOKUP('Données projet'!$B$9,Paramètres!$A$1:$I$89,3,0)*0.475*44/12</f>
        <v>3.2232531612043608E-3</v>
      </c>
      <c r="AC53" s="24">
        <f t="shared" si="3"/>
        <v>5.99535724229899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3.3333333333333335</v>
      </c>
      <c r="AI53" s="14">
        <f>IF('Données projet'!$A$62&gt;35,AI52+AH53-AQ52,IF(A53&lt;'Données projet'!$A$62,$AF$205^A53,IF(A53='Données projet'!$A$62,'Données projet'!$B$62,AI52+AH53-AQ52)))</f>
        <v>186.66666666666691</v>
      </c>
      <c r="AJ53" s="14">
        <f>AI53*VLOOKUP('Données projet'!$B$10,Paramètres!$A$1:$I$89,3,0)*VLOOKUP('Données projet'!$B$10,Paramètres!$A$1:$I$89,5,0)</f>
        <v>163.07200000000026</v>
      </c>
      <c r="AK53" s="14">
        <f t="shared" si="35"/>
        <v>41.534644786143446</v>
      </c>
      <c r="AL53" s="22">
        <f t="shared" si="4"/>
        <v>356.35657300253359</v>
      </c>
      <c r="AM53" s="62">
        <f t="shared" si="5"/>
        <v>649.68990633586691</v>
      </c>
      <c r="AN53" s="62">
        <f ca="1">AVERAGE(OFFSET($AM$3,0,0,'Données projet'!$E$10+1,1))-AVERAGE(OFFSET($H$3,0,0,'Données projet'!$E$10+1,1))</f>
        <v>179.7474263412401</v>
      </c>
      <c r="AO53" s="62">
        <f t="shared" si="36"/>
        <v>234.90106311484084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2.6324716397380541E-3</v>
      </c>
      <c r="AX53" s="23">
        <f t="shared" si="6"/>
        <v>2.6324716397380541E-3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28.509000000000015</v>
      </c>
      <c r="D54" s="12">
        <f t="shared" si="32"/>
        <v>8.8955774637189755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288.73708919362031</v>
      </c>
      <c r="H54" s="70">
        <f t="shared" si="1"/>
        <v>358.47963908264387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11.357142857142858</v>
      </c>
      <c r="N54" s="14">
        <f>IF('Données projet'!$A$36&gt;35,N53+M54-V53,IF(A54&lt;'Données projet'!$A$36,$K$205^A54,IF(A54='Données projet'!$A$36,'Données projet'!$B$36,N53+M54-V53)))</f>
        <v>414.78571428571456</v>
      </c>
      <c r="O54" s="14">
        <f>N54*VLOOKUP('Données projet'!$B$9,Paramètres!$A$1:$I$89,3,0)*VLOOKUP('Données projet'!$B$9,Paramètres!$A$1:$I$89,5,0)</f>
        <v>231.86521428571444</v>
      </c>
      <c r="P54" s="14">
        <f t="shared" si="33"/>
        <v>56.685794689385133</v>
      </c>
      <c r="Q54" s="22">
        <f t="shared" si="53"/>
        <v>502.55967396496516</v>
      </c>
      <c r="R54" s="62">
        <f t="shared" si="0"/>
        <v>795.89300729829847</v>
      </c>
      <c r="S54" s="62">
        <f ca="1">AVERAGE(OFFSET($R$3,0,0,'Données projet'!$E$9+1,1))-AVERAGE(OFFSET($H$3,0,0,'Données projet'!$E$9+1,1))</f>
        <v>247.87882458322304</v>
      </c>
      <c r="T54" s="62">
        <f t="shared" si="34"/>
        <v>318.46892604922397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5.8282787700921821</v>
      </c>
      <c r="AB54" s="23">
        <f>EXP(-LN(2)/2)*AB53+(1-EXP(-LN(2)/2))/(LN(2)/2)*V54*Y54*VLOOKUP('Données projet'!$B$9,Paramètres!$A$1:$I$89,3,0)*0.475*44/12</f>
        <v>2.2791841677685795E-3</v>
      </c>
      <c r="AC54" s="24">
        <f t="shared" si="3"/>
        <v>5.8305579542599508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3.3333333333333335</v>
      </c>
      <c r="AI54" s="14">
        <f>IF('Données projet'!$A$62&gt;35,AI53+AH54-AQ53,IF(A54&lt;'Données projet'!$A$62,$AF$205^A54,IF(A54='Données projet'!$A$62,'Données projet'!$B$62,AI53+AH54-AQ53)))</f>
        <v>190.00000000000026</v>
      </c>
      <c r="AJ54" s="14">
        <f>AI54*VLOOKUP('Données projet'!$B$10,Paramètres!$A$1:$I$89,3,0)*VLOOKUP('Données projet'!$B$10,Paramètres!$A$1:$I$89,5,0)</f>
        <v>165.98400000000024</v>
      </c>
      <c r="AK54" s="14">
        <f t="shared" si="35"/>
        <v>42.189325525922321</v>
      </c>
      <c r="AL54" s="22">
        <f t="shared" si="4"/>
        <v>362.56854195764845</v>
      </c>
      <c r="AM54" s="62">
        <f t="shared" si="5"/>
        <v>655.90187529098171</v>
      </c>
      <c r="AN54" s="62">
        <f ca="1">AVERAGE(OFFSET($AM$3,0,0,'Données projet'!$E$10+1,1))-AVERAGE(OFFSET($H$3,0,0,'Données projet'!$E$10+1,1))</f>
        <v>179.7474263412401</v>
      </c>
      <c r="AO54" s="62">
        <f t="shared" si="36"/>
        <v>234.90106311484084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1.8614385477400484E-3</v>
      </c>
      <c r="AX54" s="23">
        <f t="shared" si="6"/>
        <v>1.8614385477400484E-3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29.068000000000016</v>
      </c>
      <c r="D55" s="12">
        <f t="shared" si="32"/>
        <v>9.0495230956474586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294.24052915938398</v>
      </c>
      <c r="H55" s="70">
        <f t="shared" si="1"/>
        <v>359.72135272491931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11.357142857142858</v>
      </c>
      <c r="N55" s="14">
        <f>IF('Données projet'!$A$36&gt;35,N54+M55-V54,IF(A55&lt;'Données projet'!$A$36,$K$205^A55,IF(A55='Données projet'!$A$36,'Données projet'!$B$36,N54+M55-V54)))</f>
        <v>426.14285714285739</v>
      </c>
      <c r="O55" s="14">
        <f>N55*VLOOKUP('Données projet'!$B$9,Paramètres!$A$1:$I$89,3,0)*VLOOKUP('Données projet'!$B$9,Paramètres!$A$1:$I$89,5,0)</f>
        <v>238.21385714285731</v>
      </c>
      <c r="P55" s="14">
        <f t="shared" si="33"/>
        <v>58.055066228265488</v>
      </c>
      <c r="Q55" s="22">
        <f t="shared" si="53"/>
        <v>516.00170820470555</v>
      </c>
      <c r="R55" s="62">
        <f t="shared" si="0"/>
        <v>809.33504153803892</v>
      </c>
      <c r="S55" s="62">
        <f ca="1">AVERAGE(OFFSET($R$3,0,0,'Données projet'!$E$9+1,1))-AVERAGE(OFFSET($H$3,0,0,'Données projet'!$E$9+1,1))</f>
        <v>247.87882458322304</v>
      </c>
      <c r="T55" s="62">
        <f t="shared" si="34"/>
        <v>318.46892604922397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5.6689041806281519</v>
      </c>
      <c r="AB55" s="23">
        <f>EXP(-LN(2)/2)*AB54+(1-EXP(-LN(2)/2))/(LN(2)/2)*V55*Y55*VLOOKUP('Données projet'!$B$9,Paramètres!$A$1:$I$89,3,0)*0.475*44/12</f>
        <v>1.6116265806021804E-3</v>
      </c>
      <c r="AC55" s="24">
        <f t="shared" si="3"/>
        <v>5.670515807208754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3.3333333333333335</v>
      </c>
      <c r="AI55" s="14">
        <f>IF('Données projet'!$A$62&gt;35,AI54+AH55-AQ54,IF(A55&lt;'Données projet'!$A$62,$AF$205^A55,IF(A55='Données projet'!$A$62,'Données projet'!$B$62,AI54+AH55-AQ54)))</f>
        <v>193.3333333333336</v>
      </c>
      <c r="AJ55" s="14">
        <f>AI55*VLOOKUP('Données projet'!$B$10,Paramètres!$A$1:$I$89,3,0)*VLOOKUP('Données projet'!$B$10,Paramètres!$A$1:$I$89,5,0)</f>
        <v>168.89600000000024</v>
      </c>
      <c r="AK55" s="14">
        <f t="shared" si="35"/>
        <v>42.84267063042671</v>
      </c>
      <c r="AL55" s="22">
        <f t="shared" si="4"/>
        <v>368.77818468132688</v>
      </c>
      <c r="AM55" s="62">
        <f t="shared" si="5"/>
        <v>662.11151801466019</v>
      </c>
      <c r="AN55" s="62">
        <f ca="1">AVERAGE(OFFSET($AM$3,0,0,'Données projet'!$E$10+1,1))-AVERAGE(OFFSET($H$3,0,0,'Données projet'!$E$10+1,1))</f>
        <v>179.7474263412401</v>
      </c>
      <c r="AO55" s="62">
        <f t="shared" si="36"/>
        <v>234.90106311484084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1.3162358198690273E-3</v>
      </c>
      <c r="AX55" s="23">
        <f t="shared" si="6"/>
        <v>1.3162358198690273E-3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29.627000000000017</v>
      </c>
      <c r="D56" s="12">
        <f t="shared" si="32"/>
        <v>9.2031244891710831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299.74131184623303</v>
      </c>
      <c r="H56" s="70">
        <f t="shared" si="1"/>
        <v>360.96246681863965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11.357142857142858</v>
      </c>
      <c r="N56" s="14">
        <f>IF('Données projet'!$A$36&gt;35,N55+M56-V55,IF(A56&lt;'Données projet'!$A$36,$K$205^A56,IF(A56='Données projet'!$A$36,'Données projet'!$B$36,N55+M56-V55)))</f>
        <v>437.50000000000023</v>
      </c>
      <c r="O56" s="14">
        <f>N56*VLOOKUP('Données projet'!$B$9,Paramètres!$A$1:$I$89,3,0)*VLOOKUP('Données projet'!$B$9,Paramètres!$A$1:$I$89,5,0)</f>
        <v>244.56250000000011</v>
      </c>
      <c r="P56" s="14">
        <f t="shared" si="33"/>
        <v>59.420096092888869</v>
      </c>
      <c r="Q56" s="22">
        <f t="shared" si="53"/>
        <v>529.43635486178152</v>
      </c>
      <c r="R56" s="62">
        <f t="shared" si="0"/>
        <v>822.7696881951149</v>
      </c>
      <c r="S56" s="62">
        <f ca="1">AVERAGE(OFFSET($R$3,0,0,'Données projet'!$E$9+1,1))-AVERAGE(OFFSET($H$3,0,0,'Données projet'!$E$9+1,1))</f>
        <v>247.87882458322304</v>
      </c>
      <c r="T56" s="62">
        <f t="shared" si="34"/>
        <v>318.46892604922397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5.5138876976941607</v>
      </c>
      <c r="AB56" s="23">
        <f>EXP(-LN(2)/2)*AB55+(1-EXP(-LN(2)/2))/(LN(2)/2)*V56*Y56*VLOOKUP('Données projet'!$B$9,Paramètres!$A$1:$I$89,3,0)*0.475*44/12</f>
        <v>1.1395920838842897E-3</v>
      </c>
      <c r="AC56" s="24">
        <f t="shared" si="3"/>
        <v>5.515027289778045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3.3333333333333335</v>
      </c>
      <c r="AI56" s="14">
        <f>IF('Données projet'!$A$62&gt;35,AI55+AH56-AQ55,IF(A56&lt;'Données projet'!$A$62,$AF$205^A56,IF(A56='Données projet'!$A$62,'Données projet'!$B$62,AI55+AH56-AQ55)))</f>
        <v>196.66666666666694</v>
      </c>
      <c r="AJ56" s="14">
        <f>AI56*VLOOKUP('Données projet'!$B$10,Paramètres!$A$1:$I$89,3,0)*VLOOKUP('Données projet'!$B$10,Paramètres!$A$1:$I$89,5,0)</f>
        <v>171.80800000000025</v>
      </c>
      <c r="AK56" s="14">
        <f t="shared" si="35"/>
        <v>43.494705785117837</v>
      </c>
      <c r="AL56" s="22">
        <f t="shared" si="4"/>
        <v>374.98554590908066</v>
      </c>
      <c r="AM56" s="62">
        <f t="shared" si="5"/>
        <v>668.31887924241391</v>
      </c>
      <c r="AN56" s="62">
        <f ca="1">AVERAGE(OFFSET($AM$3,0,0,'Données projet'!$E$10+1,1))-AVERAGE(OFFSET($H$3,0,0,'Données projet'!$E$10+1,1))</f>
        <v>179.7474263412401</v>
      </c>
      <c r="AO56" s="62">
        <f t="shared" si="36"/>
        <v>234.90106311484084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9.3071927387002431E-4</v>
      </c>
      <c r="AX56" s="23">
        <f t="shared" si="6"/>
        <v>9.3071927387002431E-4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30.186000000000018</v>
      </c>
      <c r="D57" s="12">
        <f t="shared" si="32"/>
        <v>9.3563888882898691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305.23949317276401</v>
      </c>
      <c r="H57" s="70">
        <f t="shared" si="1"/>
        <v>362.20299398043818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11.357142857142858</v>
      </c>
      <c r="N57" s="14">
        <f>IF('Données projet'!$A$36&gt;35,N56+M57-V56,IF(A57&lt;'Données projet'!$A$36,$K$205^A57,IF(A57='Données projet'!$A$36,'Données projet'!$B$36,N56+M57-V56)))</f>
        <v>448.85714285714306</v>
      </c>
      <c r="O57" s="14">
        <f>N57*VLOOKUP('Données projet'!$B$9,Paramètres!$A$1:$I$89,3,0)*VLOOKUP('Données projet'!$B$9,Paramètres!$A$1:$I$89,5,0)</f>
        <v>250.91114285714298</v>
      </c>
      <c r="P57" s="14">
        <f t="shared" si="33"/>
        <v>60.781007052879815</v>
      </c>
      <c r="Q57" s="22">
        <f t="shared" si="53"/>
        <v>542.86382775995639</v>
      </c>
      <c r="R57" s="62">
        <f t="shared" si="0"/>
        <v>836.19716109328965</v>
      </c>
      <c r="S57" s="62">
        <f ca="1">AVERAGE(OFFSET($R$3,0,0,'Données projet'!$E$9+1,1))-AVERAGE(OFFSET($H$3,0,0,'Données projet'!$E$9+1,1))</f>
        <v>247.87882458322304</v>
      </c>
      <c r="T57" s="62">
        <f t="shared" si="34"/>
        <v>318.46892604922397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5.3631101486379622</v>
      </c>
      <c r="AB57" s="23">
        <f>EXP(-LN(2)/2)*AB56+(1-EXP(-LN(2)/2))/(LN(2)/2)*V57*Y57*VLOOKUP('Données projet'!$B$9,Paramètres!$A$1:$I$89,3,0)*0.475*44/12</f>
        <v>8.0581329030109019E-4</v>
      </c>
      <c r="AC57" s="24">
        <f t="shared" si="3"/>
        <v>5.3639159619282637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3.3333333333333335</v>
      </c>
      <c r="AI57" s="14">
        <f>IF('Données projet'!$A$62&gt;35,AI56+AH57-AQ56,IF(A57&lt;'Données projet'!$A$62,$AF$205^A57,IF(A57='Données projet'!$A$62,'Données projet'!$B$62,AI56+AH57-AQ56)))</f>
        <v>200.00000000000028</v>
      </c>
      <c r="AJ57" s="14">
        <f>AI57*VLOOKUP('Données projet'!$B$10,Paramètres!$A$1:$I$89,3,0)*VLOOKUP('Données projet'!$B$10,Paramètres!$A$1:$I$89,5,0)</f>
        <v>174.72000000000028</v>
      </c>
      <c r="AK57" s="14">
        <f t="shared" si="35"/>
        <v>44.145455754865324</v>
      </c>
      <c r="AL57" s="22">
        <f t="shared" si="4"/>
        <v>381.19066877305755</v>
      </c>
      <c r="AM57" s="62">
        <f t="shared" si="5"/>
        <v>674.52400210639087</v>
      </c>
      <c r="AN57" s="62">
        <f ca="1">AVERAGE(OFFSET($AM$3,0,0,'Données projet'!$E$10+1,1))-AVERAGE(OFFSET($H$3,0,0,'Données projet'!$E$10+1,1))</f>
        <v>179.7474263412401</v>
      </c>
      <c r="AO57" s="62">
        <f t="shared" si="36"/>
        <v>234.90106311484084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6.5811790993451375E-4</v>
      </c>
      <c r="AX57" s="23">
        <f t="shared" si="6"/>
        <v>6.5811790993451375E-4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30.745000000000019</v>
      </c>
      <c r="D58" s="12">
        <f t="shared" si="32"/>
        <v>9.5093232533499261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310.73512686796454</v>
      </c>
      <c r="H58" s="70">
        <f t="shared" si="1"/>
        <v>363.44294633291781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11.357142857142858</v>
      </c>
      <c r="N58" s="14">
        <f>IF('Données projet'!$A$36&gt;35,N57+M58-V57,IF(A58&lt;'Données projet'!$A$36,$K$205^A58,IF(A58='Données projet'!$A$36,'Données projet'!$B$36,N57+M58-V57)))</f>
        <v>460.21428571428589</v>
      </c>
      <c r="O58" s="14">
        <f>N58*VLOOKUP('Données projet'!$B$9,Paramètres!$A$1:$I$89,3,0)*VLOOKUP('Données projet'!$B$9,Paramètres!$A$1:$I$89,5,0)</f>
        <v>257.25978571428584</v>
      </c>
      <c r="P58" s="14">
        <f t="shared" si="33"/>
        <v>62.137915311120267</v>
      </c>
      <c r="Q58" s="22">
        <f t="shared" si="53"/>
        <v>556.28432928591565</v>
      </c>
      <c r="R58" s="62">
        <f t="shared" si="0"/>
        <v>849.6176626192489</v>
      </c>
      <c r="S58" s="62">
        <f ca="1">AVERAGE(OFFSET($R$3,0,0,'Données projet'!$E$9+1,1))-AVERAGE(OFFSET($H$3,0,0,'Données projet'!$E$9+1,1))</f>
        <v>247.87882458322304</v>
      </c>
      <c r="T58" s="62">
        <f t="shared" si="34"/>
        <v>318.46892604922397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5.2164556195897518</v>
      </c>
      <c r="AB58" s="23">
        <f>EXP(-LN(2)/2)*AB57+(1-EXP(-LN(2)/2))/(LN(2)/2)*V58*Y58*VLOOKUP('Données projet'!$B$9,Paramètres!$A$1:$I$89,3,0)*0.475*44/12</f>
        <v>5.6979604194214487E-4</v>
      </c>
      <c r="AC58" s="24">
        <f t="shared" si="3"/>
        <v>5.217025415631694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3.3333333333333335</v>
      </c>
      <c r="AI58" s="14">
        <f>IF('Données projet'!$A$62&gt;35,AI57+AH58-AQ57,IF(A58&lt;'Données projet'!$A$62,$AF$205^A58,IF(A58='Données projet'!$A$62,'Données projet'!$B$62,AI57+AH58-AQ57)))</f>
        <v>203.33333333333363</v>
      </c>
      <c r="AJ58" s="14">
        <f>AI58*VLOOKUP('Données projet'!$B$10,Paramètres!$A$1:$I$89,3,0)*VLOOKUP('Données projet'!$B$10,Paramètres!$A$1:$I$89,5,0)</f>
        <v>177.63200000000029</v>
      </c>
      <c r="AK58" s="14">
        <f t="shared" si="35"/>
        <v>44.794944431725327</v>
      </c>
      <c r="AL58" s="22">
        <f t="shared" si="4"/>
        <v>387.39359488525542</v>
      </c>
      <c r="AM58" s="62">
        <f t="shared" si="5"/>
        <v>680.72692821858868</v>
      </c>
      <c r="AN58" s="62">
        <f ca="1">AVERAGE(OFFSET($AM$3,0,0,'Données projet'!$E$10+1,1))-AVERAGE(OFFSET($H$3,0,0,'Données projet'!$E$10+1,1))</f>
        <v>179.7474263412401</v>
      </c>
      <c r="AO58" s="62">
        <f t="shared" si="36"/>
        <v>234.90106311484084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4.6535963693501226E-4</v>
      </c>
      <c r="AX58" s="23">
        <f t="shared" si="6"/>
        <v>4.6535963693501226E-4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31.30400000000002</v>
      </c>
      <c r="D59" s="12">
        <f t="shared" si="32"/>
        <v>9.6619342771023238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316.22826459517597</v>
      </c>
      <c r="H59" s="70">
        <f t="shared" si="1"/>
        <v>364.6823355326199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11.357142857142858</v>
      </c>
      <c r="N59" s="14">
        <f>IF('Données projet'!$A$36&gt;35,N58+M59-V58,IF(A59&lt;'Données projet'!$A$36,$K$205^A59,IF(A59='Données projet'!$A$36,'Données projet'!$B$36,N58+M59-V58)))</f>
        <v>471.57142857142873</v>
      </c>
      <c r="O59" s="14">
        <f>N59*VLOOKUP('Données projet'!$B$9,Paramètres!$A$1:$I$89,3,0)*VLOOKUP('Données projet'!$B$9,Paramètres!$A$1:$I$89,5,0)</f>
        <v>263.60842857142865</v>
      </c>
      <c r="P59" s="14">
        <f t="shared" si="33"/>
        <v>63.490931008254947</v>
      </c>
      <c r="Q59" s="22">
        <f t="shared" si="53"/>
        <v>569.69805126794893</v>
      </c>
      <c r="R59" s="62">
        <f t="shared" si="0"/>
        <v>863.0313846012823</v>
      </c>
      <c r="S59" s="62">
        <f ca="1">AVERAGE(OFFSET($R$3,0,0,'Données projet'!$E$9+1,1))-AVERAGE(OFFSET($H$3,0,0,'Données projet'!$E$9+1,1))</f>
        <v>247.87882458322304</v>
      </c>
      <c r="T59" s="62">
        <f t="shared" si="34"/>
        <v>318.46892604922397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5.0738113663505917</v>
      </c>
      <c r="AB59" s="23">
        <f>EXP(-LN(2)/2)*AB58+(1-EXP(-LN(2)/2))/(LN(2)/2)*V59*Y59*VLOOKUP('Données projet'!$B$9,Paramètres!$A$1:$I$89,3,0)*0.475*44/12</f>
        <v>4.029066451505451E-4</v>
      </c>
      <c r="AC59" s="24">
        <f t="shared" si="3"/>
        <v>5.074214272995742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3.3333333333333335</v>
      </c>
      <c r="AI59" s="14">
        <f>IF('Données projet'!$A$62&gt;35,AI58+AH59-AQ58,IF(A59&lt;'Données projet'!$A$62,$AF$205^A59,IF(A59='Données projet'!$A$62,'Données projet'!$B$62,AI58+AH59-AQ58)))</f>
        <v>206.66666666666697</v>
      </c>
      <c r="AJ59" s="14">
        <f>AI59*VLOOKUP('Données projet'!$B$10,Paramètres!$A$1:$I$89,3,0)*VLOOKUP('Données projet'!$B$10,Paramètres!$A$1:$I$89,5,0)</f>
        <v>180.5440000000003</v>
      </c>
      <c r="AK59" s="14">
        <f t="shared" si="35"/>
        <v>45.443194879496765</v>
      </c>
      <c r="AL59" s="22">
        <f t="shared" si="4"/>
        <v>393.59436441512406</v>
      </c>
      <c r="AM59" s="62">
        <f t="shared" si="5"/>
        <v>686.92769774845738</v>
      </c>
      <c r="AN59" s="62">
        <f ca="1">AVERAGE(OFFSET($AM$3,0,0,'Données projet'!$E$10+1,1))-AVERAGE(OFFSET($H$3,0,0,'Données projet'!$E$10+1,1))</f>
        <v>179.7474263412401</v>
      </c>
      <c r="AO59" s="62">
        <f t="shared" si="36"/>
        <v>234.90106311484084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3.2905895496725693E-4</v>
      </c>
      <c r="AX59" s="23">
        <f t="shared" si="6"/>
        <v>3.2905895496725693E-4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31.863000000000021</v>
      </c>
      <c r="D60" s="12">
        <f t="shared" si="32"/>
        <v>9.814228399582424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321.71895606695222</v>
      </c>
      <c r="H60" s="70">
        <f t="shared" si="1"/>
        <v>365.92117279593941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11.357142857142858</v>
      </c>
      <c r="N60" s="14">
        <f>IF('Données projet'!$A$36&gt;35,N59+M60-V59,IF(A60&lt;'Données projet'!$A$36,$K$205^A60,IF(A60='Données projet'!$A$36,'Données projet'!$B$36,N59+M60-V59)))</f>
        <v>482.92857142857156</v>
      </c>
      <c r="O60" s="14">
        <f>N60*VLOOKUP('Données projet'!$B$9,Paramètres!$A$1:$I$89,3,0)*VLOOKUP('Données projet'!$B$9,Paramètres!$A$1:$I$89,5,0)</f>
        <v>269.95707142857151</v>
      </c>
      <c r="P60" s="14">
        <f t="shared" si="33"/>
        <v>64.840158677227947</v>
      </c>
      <c r="Q60" s="22">
        <f t="shared" si="53"/>
        <v>583.10517576760083</v>
      </c>
      <c r="R60" s="62">
        <f t="shared" si="0"/>
        <v>876.4385091009342</v>
      </c>
      <c r="S60" s="62">
        <f ca="1">AVERAGE(OFFSET($R$3,0,0,'Données projet'!$E$9+1,1))-AVERAGE(OFFSET($H$3,0,0,'Données projet'!$E$9+1,1))</f>
        <v>247.87882458322304</v>
      </c>
      <c r="T60" s="62">
        <f t="shared" si="34"/>
        <v>318.46892604922397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4.9350677277175912</v>
      </c>
      <c r="AB60" s="23">
        <f>EXP(-LN(2)/2)*AB59+(1-EXP(-LN(2)/2))/(LN(2)/2)*V60*Y60*VLOOKUP('Données projet'!$B$9,Paramètres!$A$1:$I$89,3,0)*0.475*44/12</f>
        <v>2.8489802097107244E-4</v>
      </c>
      <c r="AC60" s="24">
        <f t="shared" si="3"/>
        <v>4.9353526257385623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3.3333333333333335</v>
      </c>
      <c r="AI60" s="14">
        <f>IF('Données projet'!$A$62&gt;35,AI59+AH60-AQ59,IF(A60&lt;'Données projet'!$A$62,$AF$205^A60,IF(A60='Données projet'!$A$62,'Données projet'!$B$62,AI59+AH60-AQ59)))</f>
        <v>210.00000000000031</v>
      </c>
      <c r="AJ60" s="14">
        <f>AI60*VLOOKUP('Données projet'!$B$10,Paramètres!$A$1:$I$89,3,0)*VLOOKUP('Données projet'!$B$10,Paramètres!$A$1:$I$89,5,0)</f>
        <v>183.4560000000003</v>
      </c>
      <c r="AK60" s="14">
        <f t="shared" si="35"/>
        <v>46.090229375321186</v>
      </c>
      <c r="AL60" s="22">
        <f t="shared" si="4"/>
        <v>399.7930161620182</v>
      </c>
      <c r="AM60" s="62">
        <f t="shared" si="5"/>
        <v>693.12634949535152</v>
      </c>
      <c r="AN60" s="62">
        <f ca="1">AVERAGE(OFFSET($AM$3,0,0,'Données projet'!$E$10+1,1))-AVERAGE(OFFSET($H$3,0,0,'Données projet'!$E$10+1,1))</f>
        <v>179.7474263412401</v>
      </c>
      <c r="AO60" s="62">
        <f t="shared" si="36"/>
        <v>234.90106311484084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2.3267981846750616E-4</v>
      </c>
      <c r="AX60" s="23">
        <f t="shared" si="6"/>
        <v>2.3267981846750616E-4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32.422000000000018</v>
      </c>
      <c r="D61" s="12">
        <f t="shared" si="32"/>
        <v>9.9662118219155289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327.20724915162879</v>
      </c>
      <c r="H61" s="70">
        <f t="shared" si="1"/>
        <v>367.15946892316958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11.357142857142858</v>
      </c>
      <c r="N61" s="14">
        <f>IF('Données projet'!$A$36&gt;35,N60+M61-V60,IF(A61&lt;'Données projet'!$A$36,$K$205^A61,IF(A61='Données projet'!$A$36,'Données projet'!$B$36,N60+M61-V60)))</f>
        <v>494.28571428571439</v>
      </c>
      <c r="O61" s="14">
        <f>N61*VLOOKUP('Données projet'!$B$9,Paramètres!$A$1:$I$89,3,0)*VLOOKUP('Données projet'!$B$9,Paramètres!$A$1:$I$89,5,0)</f>
        <v>276.30571428571432</v>
      </c>
      <c r="P61" s="14">
        <f t="shared" si="33"/>
        <v>66.185697653855897</v>
      </c>
      <c r="Q61" s="22">
        <f t="shared" si="53"/>
        <v>596.50587579475143</v>
      </c>
      <c r="R61" s="62">
        <f t="shared" si="0"/>
        <v>889.8392091280848</v>
      </c>
      <c r="S61" s="62">
        <f ca="1">AVERAGE(OFFSET($R$3,0,0,'Données projet'!$E$9+1,1))-AVERAGE(OFFSET($H$3,0,0,'Données projet'!$E$9+1,1))</f>
        <v>247.87882458322304</v>
      </c>
      <c r="T61" s="62">
        <f t="shared" si="34"/>
        <v>318.46892604922397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4.8001180411792213</v>
      </c>
      <c r="AB61" s="23">
        <f>EXP(-LN(2)/2)*AB60+(1-EXP(-LN(2)/2))/(LN(2)/2)*V61*Y61*VLOOKUP('Données projet'!$B$9,Paramètres!$A$1:$I$89,3,0)*0.475*44/12</f>
        <v>2.0145332257527255E-4</v>
      </c>
      <c r="AC61" s="24">
        <f t="shared" si="3"/>
        <v>4.8003194945017968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3.3333333333333335</v>
      </c>
      <c r="AI61" s="14">
        <f>IF('Données projet'!$A$62&gt;35,AI60+AH61-AQ60,IF(A61&lt;'Données projet'!$A$62,$AF$205^A61,IF(A61='Données projet'!$A$62,'Données projet'!$B$62,AI60+AH61-AQ60)))</f>
        <v>213.33333333333366</v>
      </c>
      <c r="AJ61" s="14">
        <f>AI61*VLOOKUP('Données projet'!$B$10,Paramètres!$A$1:$I$89,3,0)*VLOOKUP('Données projet'!$B$10,Paramètres!$A$1:$I$89,5,0)</f>
        <v>186.36800000000031</v>
      </c>
      <c r="AK61" s="14">
        <f t="shared" si="35"/>
        <v>46.736069448566724</v>
      </c>
      <c r="AL61" s="22">
        <f t="shared" si="4"/>
        <v>405.98958762292091</v>
      </c>
      <c r="AM61" s="62">
        <f t="shared" si="5"/>
        <v>699.32292095625417</v>
      </c>
      <c r="AN61" s="62">
        <f ca="1">AVERAGE(OFFSET($AM$3,0,0,'Données projet'!$E$10+1,1))-AVERAGE(OFFSET($H$3,0,0,'Données projet'!$E$10+1,1))</f>
        <v>179.7474263412401</v>
      </c>
      <c r="AO61" s="62">
        <f t="shared" si="36"/>
        <v>234.90106311484084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1.6452947748362849E-4</v>
      </c>
      <c r="AX61" s="23">
        <f t="shared" si="6"/>
        <v>1.6452947748362849E-4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32.981000000000016</v>
      </c>
      <c r="D62" s="12">
        <f t="shared" si="32"/>
        <v>10.117890519143426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332.69318997233535</v>
      </c>
      <c r="H62" s="70">
        <f t="shared" si="1"/>
        <v>368.39723432084145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11.357142857142858</v>
      </c>
      <c r="N62" s="14">
        <f>IF('Données projet'!$A$36&gt;35,N61+M62-V61,IF(A62&lt;'Données projet'!$A$36,$K$205^A62,IF(A62='Données projet'!$A$36,'Données projet'!$B$36,N61+M62-V61)))</f>
        <v>505.64285714285722</v>
      </c>
      <c r="O62" s="14">
        <f>N62*VLOOKUP('Données projet'!$B$9,Paramètres!$A$1:$I$89,3,0)*VLOOKUP('Données projet'!$B$9,Paramètres!$A$1:$I$89,5,0)</f>
        <v>282.65435714285718</v>
      </c>
      <c r="P62" s="14">
        <f t="shared" si="33"/>
        <v>67.527642448603373</v>
      </c>
      <c r="Q62" s="22">
        <f t="shared" si="53"/>
        <v>609.90031595512721</v>
      </c>
      <c r="R62" s="62">
        <f t="shared" si="0"/>
        <v>903.23364928846058</v>
      </c>
      <c r="S62" s="62">
        <f ca="1">AVERAGE(OFFSET($R$3,0,0,'Données projet'!$E$9+1,1))-AVERAGE(OFFSET($H$3,0,0,'Données projet'!$E$9+1,1))</f>
        <v>247.87882458322304</v>
      </c>
      <c r="T62" s="62">
        <f t="shared" si="34"/>
        <v>318.46892604922397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4.6688585609159388</v>
      </c>
      <c r="AB62" s="23">
        <f>EXP(-LN(2)/2)*AB61+(1-EXP(-LN(2)/2))/(LN(2)/2)*V62*Y62*VLOOKUP('Données projet'!$B$9,Paramètres!$A$1:$I$89,3,0)*0.475*44/12</f>
        <v>1.4244901048553622E-4</v>
      </c>
      <c r="AC62" s="24">
        <f t="shared" si="3"/>
        <v>4.6690010099264239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3.3333333333333335</v>
      </c>
      <c r="AI62" s="14">
        <f>IF('Données projet'!$A$62&gt;35,AI61+AH62-AQ61,IF(A62&lt;'Données projet'!$A$62,$AF$205^A62,IF(A62='Données projet'!$A$62,'Données projet'!$B$62,AI61+AH62-AQ61)))</f>
        <v>216.666666666667</v>
      </c>
      <c r="AJ62" s="14">
        <f>AI62*VLOOKUP('Données projet'!$B$10,Paramètres!$A$1:$I$89,3,0)*VLOOKUP('Données projet'!$B$10,Paramètres!$A$1:$I$89,5,0)</f>
        <v>189.28000000000031</v>
      </c>
      <c r="AK62" s="14">
        <f t="shared" si="35"/>
        <v>47.380735917212895</v>
      </c>
      <c r="AL62" s="22">
        <f t="shared" si="4"/>
        <v>412.18411505581298</v>
      </c>
      <c r="AM62" s="62">
        <f t="shared" si="5"/>
        <v>705.51744838914624</v>
      </c>
      <c r="AN62" s="62">
        <f ca="1">AVERAGE(OFFSET($AM$3,0,0,'Données projet'!$E$10+1,1))-AVERAGE(OFFSET($H$3,0,0,'Données projet'!$E$10+1,1))</f>
        <v>179.7474263412401</v>
      </c>
      <c r="AO62" s="62">
        <f t="shared" si="36"/>
        <v>234.90106311484084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1.1633990923375309E-4</v>
      </c>
      <c r="AX62" s="23">
        <f t="shared" si="6"/>
        <v>1.1633990923375309E-4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33.540000000000013</v>
      </c>
      <c r="D63" s="12">
        <f t="shared" si="32"/>
        <v>10.269270252156671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338.17682299910427</v>
      </c>
      <c r="H63" s="70">
        <f t="shared" si="1"/>
        <v>369.63447902250618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517</v>
      </c>
      <c r="L63" s="13">
        <f>VLOOKUP(A63,'Données projet'!$A$35:$I$55,9,0)</f>
        <v>11.357142857142858</v>
      </c>
      <c r="M63" s="13">
        <f t="array" ref="M63">INDEX(L:L,MIN(IF(ISNUMBER(L63:L259),ROW(L63:L259),"")))</f>
        <v>11.357142857142858</v>
      </c>
      <c r="N63" s="14">
        <f>IF('Données projet'!$A$36&gt;35,N62+M63-V62,IF(A63&lt;'Données projet'!$A$36,$K$205^A63,IF(A63='Données projet'!$A$36,'Données projet'!$B$36,N62+M63-V62)))</f>
        <v>517.00000000000011</v>
      </c>
      <c r="O63" s="14">
        <f>N63*VLOOKUP('Données projet'!$B$9,Paramètres!$A$1:$I$89,3,0)*VLOOKUP('Données projet'!$B$9,Paramètres!$A$1:$I$89,5,0)</f>
        <v>289.0030000000001</v>
      </c>
      <c r="P63" s="14">
        <f t="shared" si="33"/>
        <v>68.866083084015429</v>
      </c>
      <c r="Q63" s="22">
        <f t="shared" si="53"/>
        <v>623.28865303799364</v>
      </c>
      <c r="R63" s="62">
        <f t="shared" si="0"/>
        <v>916.62198637132701</v>
      </c>
      <c r="S63" s="62">
        <f ca="1">AVERAGE(OFFSET($R$3,0,0,'Données projet'!$E$9+1,1))-AVERAGE(OFFSET($H$3,0,0,'Données projet'!$E$9+1,1))</f>
        <v>247.87882458322304</v>
      </c>
      <c r="T63" s="62">
        <f t="shared" si="34"/>
        <v>318.46892604922397</v>
      </c>
      <c r="U63" s="16" t="str">
        <f>IF(ISNA(VLOOKUP(A63,'Données projet'!$A$35:$I$55,3,0)),0,VLOOKUP(A63,'Données projet'!$A$35:$I$55,3,0))</f>
        <v>CR</v>
      </c>
      <c r="V63" s="16">
        <f>IF(ISNA(VLOOKUP(A63,'Données projet'!$A$35:$I$55,4,0)),0,VLOOKUP(A63,'Données projet'!$A$35:$I$55,4,0))</f>
        <v>517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4.5411883780430919</v>
      </c>
      <c r="AB63" s="23">
        <f>EXP(-LN(2)/2)*AB62+(1-EXP(-LN(2)/2))/(LN(2)/2)*V63*Y63*VLOOKUP('Données projet'!$B$9,Paramètres!$A$1:$I$89,3,0)*0.475*44/12</f>
        <v>1.0072666128763627E-4</v>
      </c>
      <c r="AC63" s="24">
        <f t="shared" si="3"/>
        <v>4.5412891047043793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220</v>
      </c>
      <c r="AG63" s="13">
        <f>VLOOKUP(A63,'Données projet'!$A$61:$I$81,9,0)</f>
        <v>3.3333333333333335</v>
      </c>
      <c r="AH63" s="13">
        <f t="array" ref="AH63">INDEX(AG:AG,MIN(IF(ISNUMBER(AG63:AG259),ROW(AG63:AG259),"")))</f>
        <v>3.3333333333333335</v>
      </c>
      <c r="AI63" s="14">
        <f>IF('Données projet'!$A$62&gt;35,AI62+AH63-AQ62,IF(A63&lt;'Données projet'!$A$62,$AF$205^A63,IF(A63='Données projet'!$A$62,'Données projet'!$B$62,AI62+AH63-AQ62)))</f>
        <v>220.00000000000034</v>
      </c>
      <c r="AJ63" s="14">
        <f>AI63*VLOOKUP('Données projet'!$B$10,Paramètres!$A$1:$I$89,3,0)*VLOOKUP('Données projet'!$B$10,Paramètres!$A$1:$I$89,5,0)</f>
        <v>192.19200000000032</v>
      </c>
      <c r="AK63" s="14">
        <f t="shared" si="35"/>
        <v>48.024248921932525</v>
      </c>
      <c r="AL63" s="22">
        <f t="shared" si="4"/>
        <v>418.37663353903304</v>
      </c>
      <c r="AM63" s="62">
        <f t="shared" si="5"/>
        <v>711.70996687236629</v>
      </c>
      <c r="AN63" s="62">
        <f ca="1">AVERAGE(OFFSET($AM$3,0,0,'Données projet'!$E$10+1,1))-AVERAGE(OFFSET($H$3,0,0,'Données projet'!$E$10+1,1))</f>
        <v>179.7474263412401</v>
      </c>
      <c r="AO63" s="62">
        <f t="shared" si="36"/>
        <v>234.90106311484084</v>
      </c>
      <c r="AP63" s="16" t="str">
        <f>IF(ISNA(VLOOKUP(A63,'Données projet'!$A$61:$I$81,3,0)),0,VLOOKUP(A63,'Données projet'!$A$61:$I$81,3,0))</f>
        <v>CR</v>
      </c>
      <c r="AQ63" s="16">
        <f>IF(ISNA(VLOOKUP(A63,'Données projet'!$A$61:$I$81,4,0)),0,VLOOKUP(A63,'Données projet'!$A$61:$I$81,4,0))</f>
        <v>220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8.226473874181426E-5</v>
      </c>
      <c r="AX63" s="23">
        <f t="shared" si="6"/>
        <v>8.226473874181426E-5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34.099000000000011</v>
      </c>
      <c r="D64" s="12">
        <f t="shared" si="32"/>
        <v>10.420356578808908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343.65819113466529</v>
      </c>
      <c r="H64" s="70">
        <f t="shared" si="1"/>
        <v>370.87121270809217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6.3550942286383367E-14</v>
      </c>
      <c r="P64" s="14">
        <f t="shared" si="33"/>
        <v>1.0064464192543978E-12</v>
      </c>
      <c r="Q64" s="22">
        <f t="shared" si="53"/>
        <v>1.8635787380168604E-12</v>
      </c>
      <c r="R64" s="62">
        <f t="shared" si="0"/>
        <v>293.33333333333519</v>
      </c>
      <c r="S64" s="62">
        <f ca="1">AVERAGE(OFFSET($R$3,0,0,'Données projet'!$E$9+1,1))-AVERAGE(OFFSET($H$3,0,0,'Données projet'!$E$9+1,1))</f>
        <v>247.87882458322304</v>
      </c>
      <c r="T64" s="62">
        <f t="shared" si="34"/>
        <v>318.46892604922397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4.4170093430347857</v>
      </c>
      <c r="AB64" s="23">
        <f>EXP(-LN(2)/2)*AB63+(1-EXP(-LN(2)/2))/(LN(2)/2)*V64*Y64*VLOOKUP('Données projet'!$B$9,Paramètres!$A$1:$I$89,3,0)*0.475*44/12</f>
        <v>7.1224505242768109E-5</v>
      </c>
      <c r="AC64" s="24">
        <f t="shared" si="3"/>
        <v>4.4170805675400286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3.4106051316484809E-13</v>
      </c>
      <c r="AJ64" s="14">
        <f>AI64*VLOOKUP('Données projet'!$B$10,Paramètres!$A$1:$I$89,3,0)*VLOOKUP('Données projet'!$B$10,Paramètres!$A$1:$I$89,5,0)</f>
        <v>2.9795046430081134E-13</v>
      </c>
      <c r="AK64" s="14">
        <f t="shared" si="35"/>
        <v>3.9419014464513778E-12</v>
      </c>
      <c r="AL64" s="22">
        <f t="shared" si="4"/>
        <v>7.384408744560063E-12</v>
      </c>
      <c r="AM64" s="62">
        <f t="shared" si="5"/>
        <v>293.3333333333407</v>
      </c>
      <c r="AN64" s="62">
        <f ca="1">AVERAGE(OFFSET($AM$3,0,0,'Données projet'!$E$10+1,1))-AVERAGE(OFFSET($H$3,0,0,'Données projet'!$E$10+1,1))</f>
        <v>179.7474263412401</v>
      </c>
      <c r="AO64" s="62">
        <f t="shared" si="36"/>
        <v>234.90106311484084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5.816995461687656E-5</v>
      </c>
      <c r="AX64" s="23">
        <f t="shared" si="6"/>
        <v>5.816995461687656E-5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34.658000000000008</v>
      </c>
      <c r="D65" s="12">
        <f t="shared" si="32"/>
        <v>10.571154864281649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349.13733579445488</v>
      </c>
      <c r="H65" s="70">
        <f t="shared" si="1"/>
        <v>372.10744472195717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6.3550942286383367E-14</v>
      </c>
      <c r="P65" s="14">
        <f t="shared" si="33"/>
        <v>1.0064464192543978E-12</v>
      </c>
      <c r="Q65" s="22">
        <f t="shared" si="53"/>
        <v>1.8635787380168604E-12</v>
      </c>
      <c r="R65" s="62">
        <f t="shared" si="0"/>
        <v>293.33333333333519</v>
      </c>
      <c r="S65" s="62">
        <f ca="1">AVERAGE(OFFSET($R$3,0,0,'Données projet'!$E$9+1,1))-AVERAGE(OFFSET($H$3,0,0,'Données projet'!$E$9+1,1))</f>
        <v>247.87882458322304</v>
      </c>
      <c r="T65" s="62">
        <f t="shared" si="34"/>
        <v>318.46892604922397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4.2962259902690736</v>
      </c>
      <c r="AB65" s="23">
        <f>EXP(-LN(2)/2)*AB64+(1-EXP(-LN(2)/2))/(LN(2)/2)*V65*Y65*VLOOKUP('Données projet'!$B$9,Paramètres!$A$1:$I$89,3,0)*0.475*44/12</f>
        <v>5.0363330643818137E-5</v>
      </c>
      <c r="AC65" s="24">
        <f t="shared" si="3"/>
        <v>4.2962763535997173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3.4106051316484809E-13</v>
      </c>
      <c r="AJ65" s="14">
        <f>AI65*VLOOKUP('Données projet'!$B$10,Paramètres!$A$1:$I$89,3,0)*VLOOKUP('Données projet'!$B$10,Paramètres!$A$1:$I$89,5,0)</f>
        <v>2.9795046430081134E-13</v>
      </c>
      <c r="AK65" s="14">
        <f t="shared" si="35"/>
        <v>3.9419014464513778E-12</v>
      </c>
      <c r="AL65" s="22">
        <f t="shared" si="4"/>
        <v>7.384408744560063E-12</v>
      </c>
      <c r="AM65" s="62">
        <f t="shared" si="5"/>
        <v>293.3333333333407</v>
      </c>
      <c r="AN65" s="62">
        <f ca="1">AVERAGE(OFFSET($AM$3,0,0,'Données projet'!$E$10+1,1))-AVERAGE(OFFSET($H$3,0,0,'Données projet'!$E$10+1,1))</f>
        <v>179.7474263412401</v>
      </c>
      <c r="AO65" s="62">
        <f t="shared" si="36"/>
        <v>234.90106311484084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4.1132369370907137E-5</v>
      </c>
      <c r="AX65" s="23">
        <f t="shared" si="6"/>
        <v>4.1132369370907137E-5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35.217000000000006</v>
      </c>
      <c r="D66" s="12">
        <f t="shared" si="32"/>
        <v>10.721670290761447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354.6142969813165</v>
      </c>
      <c r="H66" s="70">
        <f t="shared" si="1"/>
        <v>373.34318408974286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6.3550942286383367E-14</v>
      </c>
      <c r="P66" s="14">
        <f t="shared" si="33"/>
        <v>1.0064464192543978E-12</v>
      </c>
      <c r="Q66" s="22">
        <f t="shared" si="53"/>
        <v>1.8635787380168604E-12</v>
      </c>
      <c r="R66" s="62">
        <f t="shared" si="0"/>
        <v>293.33333333333519</v>
      </c>
      <c r="S66" s="62">
        <f ca="1">AVERAGE(OFFSET($R$3,0,0,'Données projet'!$E$9+1,1))-AVERAGE(OFFSET($H$3,0,0,'Données projet'!$E$9+1,1))</f>
        <v>247.87882458322304</v>
      </c>
      <c r="T66" s="62">
        <f t="shared" si="34"/>
        <v>318.46892604922397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4.1787454646364601</v>
      </c>
      <c r="AB66" s="23">
        <f>EXP(-LN(2)/2)*AB65+(1-EXP(-LN(2)/2))/(LN(2)/2)*V66*Y66*VLOOKUP('Données projet'!$B$9,Paramètres!$A$1:$I$89,3,0)*0.475*44/12</f>
        <v>3.5612252621384054E-5</v>
      </c>
      <c r="AC66" s="24">
        <f t="shared" si="3"/>
        <v>4.1787810768890816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3.4106051316484809E-13</v>
      </c>
      <c r="AJ66" s="14">
        <f>AI66*VLOOKUP('Données projet'!$B$10,Paramètres!$A$1:$I$89,3,0)*VLOOKUP('Données projet'!$B$10,Paramètres!$A$1:$I$89,5,0)</f>
        <v>2.9795046430081134E-13</v>
      </c>
      <c r="AK66" s="14">
        <f t="shared" si="35"/>
        <v>3.9419014464513778E-12</v>
      </c>
      <c r="AL66" s="22">
        <f t="shared" si="4"/>
        <v>7.384408744560063E-12</v>
      </c>
      <c r="AM66" s="62">
        <f t="shared" si="5"/>
        <v>293.3333333333407</v>
      </c>
      <c r="AN66" s="62">
        <f ca="1">AVERAGE(OFFSET($AM$3,0,0,'Données projet'!$E$10+1,1))-AVERAGE(OFFSET($H$3,0,0,'Données projet'!$E$10+1,1))</f>
        <v>179.7474263412401</v>
      </c>
      <c r="AO66" s="62">
        <f t="shared" si="36"/>
        <v>234.90106311484084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2.9084977308438283E-5</v>
      </c>
      <c r="AX66" s="23">
        <f t="shared" si="6"/>
        <v>2.9084977308438283E-5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35.776000000000003</v>
      </c>
      <c r="D67" s="12">
        <f t="shared" si="32"/>
        <v>10.871907866485202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360.0891133553244</v>
      </c>
      <c r="H67" s="70">
        <f t="shared" si="1"/>
        <v>374.57843953412839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6.3550942286383367E-14</v>
      </c>
      <c r="P67" s="14">
        <f t="shared" si="33"/>
        <v>1.0064464192543978E-12</v>
      </c>
      <c r="Q67" s="22">
        <f t="shared" ref="Q67:Q98" si="54">(O67+P67)*0.475*44/12</f>
        <v>1.8635787380168604E-12</v>
      </c>
      <c r="R67" s="62">
        <f t="shared" ref="R67:R130" si="55">Q67+(I67+J67)*44/12</f>
        <v>293.33333333333519</v>
      </c>
      <c r="S67" s="62">
        <f ca="1">AVERAGE(OFFSET($R$3,0,0,'Données projet'!$E$9+1,1))-AVERAGE(OFFSET($H$3,0,0,'Données projet'!$E$9+1,1))</f>
        <v>247.87882458322304</v>
      </c>
      <c r="T67" s="62">
        <f t="shared" si="34"/>
        <v>318.46892604922397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4.0644774501553025</v>
      </c>
      <c r="AB67" s="23">
        <f>EXP(-LN(2)/2)*AB66+(1-EXP(-LN(2)/2))/(LN(2)/2)*V67*Y67*VLOOKUP('Données projet'!$B$9,Paramètres!$A$1:$I$89,3,0)*0.475*44/12</f>
        <v>2.5181665321909068E-5</v>
      </c>
      <c r="AC67" s="24">
        <f t="shared" si="3"/>
        <v>4.0645026318206243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3.4106051316484809E-13</v>
      </c>
      <c r="AJ67" s="14">
        <f>AI67*VLOOKUP('Données projet'!$B$10,Paramètres!$A$1:$I$89,3,0)*VLOOKUP('Données projet'!$B$10,Paramètres!$A$1:$I$89,5,0)</f>
        <v>2.9795046430081134E-13</v>
      </c>
      <c r="AK67" s="14">
        <f t="shared" si="35"/>
        <v>3.9419014464513778E-12</v>
      </c>
      <c r="AL67" s="22">
        <f t="shared" si="4"/>
        <v>7.384408744560063E-12</v>
      </c>
      <c r="AM67" s="62">
        <f t="shared" si="5"/>
        <v>293.3333333333407</v>
      </c>
      <c r="AN67" s="62">
        <f ca="1">AVERAGE(OFFSET($AM$3,0,0,'Données projet'!$E$10+1,1))-AVERAGE(OFFSET($H$3,0,0,'Données projet'!$E$10+1,1))</f>
        <v>179.7474263412401</v>
      </c>
      <c r="AO67" s="62">
        <f t="shared" si="36"/>
        <v>234.90106311484084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2.0566184685453572E-5</v>
      </c>
      <c r="AX67" s="23">
        <f t="shared" si="6"/>
        <v>2.0566184685453572E-5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36.335000000000001</v>
      </c>
      <c r="D68" s="12">
        <f t="shared" si="32"/>
        <v>11.02187243420407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365.56182229911923</v>
      </c>
      <c r="H68" s="70">
        <f t="shared" ref="H68:H131" si="56">(B68+E68+F68)*44/12+(C68+D68)*0.475*44/12</f>
        <v>375.81321948957208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6.3550942286383367E-14</v>
      </c>
      <c r="P68" s="14">
        <f t="shared" si="33"/>
        <v>1.0064464192543978E-12</v>
      </c>
      <c r="Q68" s="22">
        <f t="shared" si="54"/>
        <v>1.8635787380168604E-12</v>
      </c>
      <c r="R68" s="62">
        <f t="shared" si="55"/>
        <v>293.33333333333519</v>
      </c>
      <c r="S68" s="62">
        <f ca="1">AVERAGE(OFFSET($R$3,0,0,'Données projet'!$E$9+1,1))-AVERAGE(OFFSET($H$3,0,0,'Données projet'!$E$9+1,1))</f>
        <v>247.87882458322304</v>
      </c>
      <c r="T68" s="62">
        <f t="shared" si="34"/>
        <v>318.46892604922397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3.9533341005392262</v>
      </c>
      <c r="AB68" s="23">
        <f>EXP(-LN(2)/2)*AB67+(1-EXP(-LN(2)/2))/(LN(2)/2)*V68*Y68*VLOOKUP('Données projet'!$B$9,Paramètres!$A$1:$I$89,3,0)*0.475*44/12</f>
        <v>1.7806126310692027E-5</v>
      </c>
      <c r="AC68" s="24">
        <f t="shared" ref="AC68:AC131" si="57">SUM(Z68:AB68)</f>
        <v>3.9533519066655369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3.4106051316484809E-13</v>
      </c>
      <c r="AJ68" s="14">
        <f>AI68*VLOOKUP('Données projet'!$B$10,Paramètres!$A$1:$I$89,3,0)*VLOOKUP('Données projet'!$B$10,Paramètres!$A$1:$I$89,5,0)</f>
        <v>2.9795046430081134E-13</v>
      </c>
      <c r="AK68" s="14">
        <f t="shared" si="35"/>
        <v>3.9419014464513778E-12</v>
      </c>
      <c r="AL68" s="22">
        <f t="shared" ref="AL68:AL131" si="58">(AJ68+AK68)*0.475*44/12</f>
        <v>7.384408744560063E-12</v>
      </c>
      <c r="AM68" s="62">
        <f t="shared" ref="AM68:AM131" si="59">AL68+(AD68+AE68)*44/12</f>
        <v>293.3333333333407</v>
      </c>
      <c r="AN68" s="62">
        <f ca="1">AVERAGE(OFFSET($AM$3,0,0,'Données projet'!$E$10+1,1))-AVERAGE(OFFSET($H$3,0,0,'Données projet'!$E$10+1,1))</f>
        <v>179.7474263412401</v>
      </c>
      <c r="AO68" s="62">
        <f t="shared" si="36"/>
        <v>234.90106311484084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1.4542488654219145E-5</v>
      </c>
      <c r="AX68" s="23">
        <f t="shared" ref="AX68:AX131" si="60">SUM(AU68:AW68)</f>
        <v>1.4542488654219145E-5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36.893999999999998</v>
      </c>
      <c r="D69" s="12">
        <f t="shared" ref="D69:D132" si="86">IFERROR(EXP(-1.0587+0.8836*LN(C69)+0.284),0)</f>
        <v>11.17156867911179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371.03245997910858</v>
      </c>
      <c r="H69" s="70">
        <f t="shared" si="56"/>
        <v>377.04753211611967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6.3550942286383367E-14</v>
      </c>
      <c r="P69" s="14">
        <f t="shared" ref="P69:P132" si="87">EXP(-1.0587+0.8836*LN(O69)+0.284)</f>
        <v>1.0064464192543978E-12</v>
      </c>
      <c r="Q69" s="22">
        <f t="shared" si="54"/>
        <v>1.8635787380168604E-12</v>
      </c>
      <c r="R69" s="62">
        <f t="shared" si="55"/>
        <v>293.33333333333519</v>
      </c>
      <c r="S69" s="62">
        <f ca="1">AVERAGE(OFFSET($R$3,0,0,'Données projet'!$E$9+1,1))-AVERAGE(OFFSET($H$3,0,0,'Données projet'!$E$9+1,1))</f>
        <v>247.87882458322304</v>
      </c>
      <c r="T69" s="62">
        <f t="shared" ref="T69:T132" si="88">$T$3</f>
        <v>318.46892604922397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3.8452299716631764</v>
      </c>
      <c r="AB69" s="23">
        <f>EXP(-LN(2)/2)*AB68+(1-EXP(-LN(2)/2))/(LN(2)/2)*V69*Y69*VLOOKUP('Données projet'!$B$9,Paramètres!$A$1:$I$89,3,0)*0.475*44/12</f>
        <v>1.2590832660954534E-5</v>
      </c>
      <c r="AC69" s="24">
        <f t="shared" si="57"/>
        <v>3.8452425624958373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3.4106051316484809E-13</v>
      </c>
      <c r="AJ69" s="14">
        <f>AI69*VLOOKUP('Données projet'!$B$10,Paramètres!$A$1:$I$89,3,0)*VLOOKUP('Données projet'!$B$10,Paramètres!$A$1:$I$89,5,0)</f>
        <v>2.9795046430081134E-13</v>
      </c>
      <c r="AK69" s="14">
        <f t="shared" ref="AK69:AK132" si="89">EXP(-1.0587+0.8836*LN(AJ69)+0.284)</f>
        <v>3.9419014464513778E-12</v>
      </c>
      <c r="AL69" s="22">
        <f t="shared" si="58"/>
        <v>7.384408744560063E-12</v>
      </c>
      <c r="AM69" s="62">
        <f t="shared" si="59"/>
        <v>293.3333333333407</v>
      </c>
      <c r="AN69" s="62">
        <f ca="1">AVERAGE(OFFSET($AM$3,0,0,'Données projet'!$E$10+1,1))-AVERAGE(OFFSET($H$3,0,0,'Données projet'!$E$10+1,1))</f>
        <v>179.7474263412401</v>
      </c>
      <c r="AO69" s="62">
        <f t="shared" ref="AO69:AO132" si="90">$AO$3</f>
        <v>234.90106311484084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1.0283092342726788E-5</v>
      </c>
      <c r="AX69" s="23">
        <f t="shared" si="60"/>
        <v>1.0283092342726788E-5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37.452999999999996</v>
      </c>
      <c r="D70" s="12">
        <f t="shared" si="86"/>
        <v>11.321001136278802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376.50106140285385</v>
      </c>
      <c r="H70" s="70">
        <f t="shared" si="56"/>
        <v>378.2813853123522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6.3550942286383367E-14</v>
      </c>
      <c r="P70" s="14">
        <f t="shared" si="87"/>
        <v>1.0064464192543978E-12</v>
      </c>
      <c r="Q70" s="22">
        <f t="shared" si="54"/>
        <v>1.8635787380168604E-12</v>
      </c>
      <c r="R70" s="62">
        <f t="shared" si="55"/>
        <v>293.33333333333519</v>
      </c>
      <c r="S70" s="62">
        <f ca="1">AVERAGE(OFFSET($R$3,0,0,'Données projet'!$E$9+1,1))-AVERAGE(OFFSET($H$3,0,0,'Données projet'!$E$9+1,1))</f>
        <v>247.87882458322304</v>
      </c>
      <c r="T70" s="62">
        <f t="shared" si="88"/>
        <v>318.46892604922397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3.7400819558761911</v>
      </c>
      <c r="AB70" s="23">
        <f>EXP(-LN(2)/2)*AB69+(1-EXP(-LN(2)/2))/(LN(2)/2)*V70*Y70*VLOOKUP('Données projet'!$B$9,Paramètres!$A$1:$I$89,3,0)*0.475*44/12</f>
        <v>8.9030631553460136E-6</v>
      </c>
      <c r="AC70" s="24">
        <f t="shared" si="57"/>
        <v>3.7400908589393462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3.4106051316484809E-13</v>
      </c>
      <c r="AJ70" s="14">
        <f>AI70*VLOOKUP('Données projet'!$B$10,Paramètres!$A$1:$I$89,3,0)*VLOOKUP('Données projet'!$B$10,Paramètres!$A$1:$I$89,5,0)</f>
        <v>2.9795046430081134E-13</v>
      </c>
      <c r="AK70" s="14">
        <f t="shared" si="89"/>
        <v>3.9419014464513778E-12</v>
      </c>
      <c r="AL70" s="22">
        <f t="shared" si="58"/>
        <v>7.384408744560063E-12</v>
      </c>
      <c r="AM70" s="62">
        <f t="shared" si="59"/>
        <v>293.3333333333407</v>
      </c>
      <c r="AN70" s="62">
        <f ca="1">AVERAGE(OFFSET($AM$3,0,0,'Données projet'!$E$10+1,1))-AVERAGE(OFFSET($H$3,0,0,'Données projet'!$E$10+1,1))</f>
        <v>179.7474263412401</v>
      </c>
      <c r="AO70" s="62">
        <f t="shared" si="90"/>
        <v>234.90106311484084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7.2712443271095734E-6</v>
      </c>
      <c r="AX70" s="23">
        <f t="shared" si="60"/>
        <v>7.2712443271095734E-6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38.011999999999993</v>
      </c>
      <c r="D71" s="12">
        <f t="shared" si="86"/>
        <v>11.470174197629985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381.96766047293323</v>
      </c>
      <c r="H71" s="70">
        <f t="shared" si="56"/>
        <v>379.51478672753888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6.3550942286383367E-14</v>
      </c>
      <c r="P71" s="14">
        <f t="shared" si="87"/>
        <v>1.0064464192543978E-12</v>
      </c>
      <c r="Q71" s="22">
        <f t="shared" si="54"/>
        <v>1.8635787380168604E-12</v>
      </c>
      <c r="R71" s="62">
        <f t="shared" si="55"/>
        <v>293.33333333333519</v>
      </c>
      <c r="S71" s="62">
        <f ca="1">AVERAGE(OFFSET($R$3,0,0,'Données projet'!$E$9+1,1))-AVERAGE(OFFSET($H$3,0,0,'Données projet'!$E$9+1,1))</f>
        <v>247.87882458322304</v>
      </c>
      <c r="T71" s="62">
        <f t="shared" si="88"/>
        <v>318.46892604922397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3.6378092181103945</v>
      </c>
      <c r="AB71" s="23">
        <f>EXP(-LN(2)/2)*AB70+(1-EXP(-LN(2)/2))/(LN(2)/2)*V71*Y71*VLOOKUP('Données projet'!$B$9,Paramètres!$A$1:$I$89,3,0)*0.475*44/12</f>
        <v>6.2954163304772671E-6</v>
      </c>
      <c r="AC71" s="24">
        <f t="shared" si="57"/>
        <v>3.6378155135267249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3.4106051316484809E-13</v>
      </c>
      <c r="AJ71" s="14">
        <f>AI71*VLOOKUP('Données projet'!$B$10,Paramètres!$A$1:$I$89,3,0)*VLOOKUP('Données projet'!$B$10,Paramètres!$A$1:$I$89,5,0)</f>
        <v>2.9795046430081134E-13</v>
      </c>
      <c r="AK71" s="14">
        <f t="shared" si="89"/>
        <v>3.9419014464513778E-12</v>
      </c>
      <c r="AL71" s="22">
        <f t="shared" si="58"/>
        <v>7.384408744560063E-12</v>
      </c>
      <c r="AM71" s="62">
        <f t="shared" si="59"/>
        <v>293.3333333333407</v>
      </c>
      <c r="AN71" s="62">
        <f ca="1">AVERAGE(OFFSET($AM$3,0,0,'Données projet'!$E$10+1,1))-AVERAGE(OFFSET($H$3,0,0,'Données projet'!$E$10+1,1))</f>
        <v>179.7474263412401</v>
      </c>
      <c r="AO71" s="62">
        <f t="shared" si="90"/>
        <v>234.90106311484084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5.1415461713633946E-6</v>
      </c>
      <c r="AX71" s="23">
        <f t="shared" si="60"/>
        <v>5.1415461713633946E-6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38.570999999999991</v>
      </c>
      <c r="D72" s="12">
        <f t="shared" si="86"/>
        <v>11.619092118500239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387.43229003754567</v>
      </c>
      <c r="H72" s="70">
        <f t="shared" si="56"/>
        <v>380.74774377305454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6.3550942286383367E-14</v>
      </c>
      <c r="P72" s="14">
        <f t="shared" si="87"/>
        <v>1.0064464192543978E-12</v>
      </c>
      <c r="Q72" s="22">
        <f t="shared" si="54"/>
        <v>1.8635787380168604E-12</v>
      </c>
      <c r="R72" s="62">
        <f t="shared" si="55"/>
        <v>293.33333333333519</v>
      </c>
      <c r="S72" s="62">
        <f ca="1">AVERAGE(OFFSET($R$3,0,0,'Données projet'!$E$9+1,1))-AVERAGE(OFFSET($H$3,0,0,'Données projet'!$E$9+1,1))</f>
        <v>247.87882458322304</v>
      </c>
      <c r="T72" s="62">
        <f t="shared" si="88"/>
        <v>318.46892604922397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3.5383331337370931</v>
      </c>
      <c r="AB72" s="23">
        <f>EXP(-LN(2)/2)*AB71+(1-EXP(-LN(2)/2))/(LN(2)/2)*V72*Y72*VLOOKUP('Données projet'!$B$9,Paramètres!$A$1:$I$89,3,0)*0.475*44/12</f>
        <v>4.4515315776730068E-6</v>
      </c>
      <c r="AC72" s="24">
        <f t="shared" si="57"/>
        <v>3.5383375852686707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3.4106051316484809E-13</v>
      </c>
      <c r="AJ72" s="14">
        <f>AI72*VLOOKUP('Données projet'!$B$10,Paramètres!$A$1:$I$89,3,0)*VLOOKUP('Données projet'!$B$10,Paramètres!$A$1:$I$89,5,0)</f>
        <v>2.9795046430081134E-13</v>
      </c>
      <c r="AK72" s="14">
        <f t="shared" si="89"/>
        <v>3.9419014464513778E-12</v>
      </c>
      <c r="AL72" s="22">
        <f t="shared" si="58"/>
        <v>7.384408744560063E-12</v>
      </c>
      <c r="AM72" s="62">
        <f t="shared" si="59"/>
        <v>293.3333333333407</v>
      </c>
      <c r="AN72" s="62">
        <f ca="1">AVERAGE(OFFSET($AM$3,0,0,'Données projet'!$E$10+1,1))-AVERAGE(OFFSET($H$3,0,0,'Données projet'!$E$10+1,1))</f>
        <v>179.7474263412401</v>
      </c>
      <c r="AO72" s="62">
        <f t="shared" si="90"/>
        <v>234.90106311484084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3.6356221635547871E-6</v>
      </c>
      <c r="AX72" s="23">
        <f t="shared" si="60"/>
        <v>3.6356221635547871E-6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39.129999999999988</v>
      </c>
      <c r="D73" s="12">
        <f t="shared" si="86"/>
        <v>11.767759023799293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392.89498193809976</v>
      </c>
      <c r="H73" s="70">
        <f t="shared" si="56"/>
        <v>381.98026363311709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6.3550942286383367E-14</v>
      </c>
      <c r="P73" s="14">
        <f t="shared" si="87"/>
        <v>1.0064464192543978E-12</v>
      </c>
      <c r="Q73" s="22">
        <f t="shared" si="54"/>
        <v>1.8635787380168604E-12</v>
      </c>
      <c r="R73" s="62">
        <f t="shared" si="55"/>
        <v>293.33333333333519</v>
      </c>
      <c r="S73" s="62">
        <f ca="1">AVERAGE(OFFSET($R$3,0,0,'Données projet'!$E$9+1,1))-AVERAGE(OFFSET($H$3,0,0,'Données projet'!$E$9+1,1))</f>
        <v>247.87882458322304</v>
      </c>
      <c r="T73" s="62">
        <f t="shared" si="88"/>
        <v>318.46892604922397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3.4415772281221999</v>
      </c>
      <c r="AB73" s="23">
        <f>EXP(-LN(2)/2)*AB72+(1-EXP(-LN(2)/2))/(LN(2)/2)*V73*Y73*VLOOKUP('Données projet'!$B$9,Paramètres!$A$1:$I$89,3,0)*0.475*44/12</f>
        <v>3.1477081652386336E-6</v>
      </c>
      <c r="AC73" s="24">
        <f t="shared" si="57"/>
        <v>3.4415803758303651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3.4106051316484809E-13</v>
      </c>
      <c r="AJ73" s="14">
        <f>AI73*VLOOKUP('Données projet'!$B$10,Paramètres!$A$1:$I$89,3,0)*VLOOKUP('Données projet'!$B$10,Paramètres!$A$1:$I$89,5,0)</f>
        <v>2.9795046430081134E-13</v>
      </c>
      <c r="AK73" s="14">
        <f t="shared" si="89"/>
        <v>3.9419014464513778E-12</v>
      </c>
      <c r="AL73" s="22">
        <f t="shared" si="58"/>
        <v>7.384408744560063E-12</v>
      </c>
      <c r="AM73" s="62">
        <f t="shared" si="59"/>
        <v>293.3333333333407</v>
      </c>
      <c r="AN73" s="62">
        <f ca="1">AVERAGE(OFFSET($AM$3,0,0,'Données projet'!$E$10+1,1))-AVERAGE(OFFSET($H$3,0,0,'Données projet'!$E$10+1,1))</f>
        <v>179.7474263412401</v>
      </c>
      <c r="AO73" s="62">
        <f t="shared" si="90"/>
        <v>234.90106311484084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2.5707730856816973E-6</v>
      </c>
      <c r="AX73" s="23">
        <f t="shared" si="60"/>
        <v>2.5707730856816973E-6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39.688999999999986</v>
      </c>
      <c r="D74" s="12">
        <f t="shared" si="86"/>
        <v>11.916178913814131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398.35576705400371</v>
      </c>
      <c r="H74" s="70">
        <f t="shared" si="56"/>
        <v>383.21235327489291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6.3550942286383367E-14</v>
      </c>
      <c r="P74" s="14">
        <f t="shared" si="87"/>
        <v>1.0064464192543978E-12</v>
      </c>
      <c r="Q74" s="22">
        <f t="shared" si="54"/>
        <v>1.8635787380168604E-12</v>
      </c>
      <c r="R74" s="62">
        <f t="shared" si="55"/>
        <v>293.33333333333519</v>
      </c>
      <c r="S74" s="62">
        <f ca="1">AVERAGE(OFFSET($R$3,0,0,'Données projet'!$E$9+1,1))-AVERAGE(OFFSET($H$3,0,0,'Données projet'!$E$9+1,1))</f>
        <v>247.87882458322304</v>
      </c>
      <c r="T74" s="62">
        <f t="shared" si="88"/>
        <v>318.46892604922397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3.3474671178345177</v>
      </c>
      <c r="AB74" s="23">
        <f>EXP(-LN(2)/2)*AB73+(1-EXP(-LN(2)/2))/(LN(2)/2)*V74*Y74*VLOOKUP('Données projet'!$B$9,Paramètres!$A$1:$I$89,3,0)*0.475*44/12</f>
        <v>2.2257657888365034E-6</v>
      </c>
      <c r="AC74" s="24">
        <f t="shared" si="57"/>
        <v>3.3474693436003067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3.4106051316484809E-13</v>
      </c>
      <c r="AJ74" s="14">
        <f>AI74*VLOOKUP('Données projet'!$B$10,Paramètres!$A$1:$I$89,3,0)*VLOOKUP('Données projet'!$B$10,Paramètres!$A$1:$I$89,5,0)</f>
        <v>2.9795046430081134E-13</v>
      </c>
      <c r="AK74" s="14">
        <f t="shared" si="89"/>
        <v>3.9419014464513778E-12</v>
      </c>
      <c r="AL74" s="22">
        <f t="shared" si="58"/>
        <v>7.384408744560063E-12</v>
      </c>
      <c r="AM74" s="62">
        <f t="shared" si="59"/>
        <v>293.3333333333407</v>
      </c>
      <c r="AN74" s="62">
        <f ca="1">AVERAGE(OFFSET($AM$3,0,0,'Données projet'!$E$10+1,1))-AVERAGE(OFFSET($H$3,0,0,'Données projet'!$E$10+1,1))</f>
        <v>179.7474263412401</v>
      </c>
      <c r="AO74" s="62">
        <f t="shared" si="90"/>
        <v>234.90106311484084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1.8178110817773936E-6</v>
      </c>
      <c r="AX74" s="23">
        <f t="shared" si="60"/>
        <v>1.8178110817773936E-6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40.247999999999983</v>
      </c>
      <c r="D75" s="12">
        <f t="shared" si="86"/>
        <v>12.064355669675358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403.81467534486228</v>
      </c>
      <c r="H75" s="70">
        <f t="shared" si="56"/>
        <v>384.44401945801786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6.3550942286383367E-14</v>
      </c>
      <c r="P75" s="14">
        <f t="shared" si="87"/>
        <v>1.0064464192543978E-12</v>
      </c>
      <c r="Q75" s="22">
        <f t="shared" si="54"/>
        <v>1.8635787380168604E-12</v>
      </c>
      <c r="R75" s="62">
        <f t="shared" si="55"/>
        <v>293.33333333333519</v>
      </c>
      <c r="S75" s="62">
        <f ca="1">AVERAGE(OFFSET($R$3,0,0,'Données projet'!$E$9+1,1))-AVERAGE(OFFSET($H$3,0,0,'Données projet'!$E$9+1,1))</f>
        <v>247.87882458322304</v>
      </c>
      <c r="T75" s="62">
        <f t="shared" si="88"/>
        <v>318.46892604922397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3.255930453461688</v>
      </c>
      <c r="AB75" s="23">
        <f>EXP(-LN(2)/2)*AB74+(1-EXP(-LN(2)/2))/(LN(2)/2)*V75*Y75*VLOOKUP('Données projet'!$B$9,Paramètres!$A$1:$I$89,3,0)*0.475*44/12</f>
        <v>1.5738540826193168E-6</v>
      </c>
      <c r="AC75" s="24">
        <f t="shared" si="57"/>
        <v>3.2559320273157706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3.4106051316484809E-13</v>
      </c>
      <c r="AJ75" s="14">
        <f>AI75*VLOOKUP('Données projet'!$B$10,Paramètres!$A$1:$I$89,3,0)*VLOOKUP('Données projet'!$B$10,Paramètres!$A$1:$I$89,5,0)</f>
        <v>2.9795046430081134E-13</v>
      </c>
      <c r="AK75" s="14">
        <f t="shared" si="89"/>
        <v>3.9419014464513778E-12</v>
      </c>
      <c r="AL75" s="22">
        <f t="shared" si="58"/>
        <v>7.384408744560063E-12</v>
      </c>
      <c r="AM75" s="62">
        <f t="shared" si="59"/>
        <v>293.3333333333407</v>
      </c>
      <c r="AN75" s="62">
        <f ca="1">AVERAGE(OFFSET($AM$3,0,0,'Données projet'!$E$10+1,1))-AVERAGE(OFFSET($H$3,0,0,'Données projet'!$E$10+1,1))</f>
        <v>179.7474263412401</v>
      </c>
      <c r="AO75" s="62">
        <f t="shared" si="90"/>
        <v>234.90106311484084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1.2853865428408487E-6</v>
      </c>
      <c r="AX75" s="23">
        <f t="shared" si="60"/>
        <v>1.2853865428408487E-6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40.806999999999981</v>
      </c>
      <c r="D76" s="12">
        <f t="shared" si="86"/>
        <v>12.212293058511113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409.27173589026114</v>
      </c>
      <c r="H76" s="70">
        <f t="shared" si="56"/>
        <v>385.67526874357344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6.3550942286383367E-14</v>
      </c>
      <c r="P76" s="14">
        <f t="shared" si="87"/>
        <v>1.0064464192543978E-12</v>
      </c>
      <c r="Q76" s="22">
        <f t="shared" si="54"/>
        <v>1.8635787380168604E-12</v>
      </c>
      <c r="R76" s="62">
        <f t="shared" si="55"/>
        <v>293.33333333333519</v>
      </c>
      <c r="S76" s="62">
        <f ca="1">AVERAGE(OFFSET($R$3,0,0,'Données projet'!$E$9+1,1))-AVERAGE(OFFSET($H$3,0,0,'Données projet'!$E$9+1,1))</f>
        <v>247.87882458322304</v>
      </c>
      <c r="T76" s="62">
        <f t="shared" si="88"/>
        <v>318.46892604922397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3.1668968639898369</v>
      </c>
      <c r="AB76" s="23">
        <f>EXP(-LN(2)/2)*AB75+(1-EXP(-LN(2)/2))/(LN(2)/2)*V76*Y76*VLOOKUP('Données projet'!$B$9,Paramètres!$A$1:$I$89,3,0)*0.475*44/12</f>
        <v>1.1128828944182517E-6</v>
      </c>
      <c r="AC76" s="24">
        <f t="shared" si="57"/>
        <v>3.1668979768727312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3.4106051316484809E-13</v>
      </c>
      <c r="AJ76" s="14">
        <f>AI76*VLOOKUP('Données projet'!$B$10,Paramètres!$A$1:$I$89,3,0)*VLOOKUP('Données projet'!$B$10,Paramètres!$A$1:$I$89,5,0)</f>
        <v>2.9795046430081134E-13</v>
      </c>
      <c r="AK76" s="14">
        <f t="shared" si="89"/>
        <v>3.9419014464513778E-12</v>
      </c>
      <c r="AL76" s="22">
        <f t="shared" si="58"/>
        <v>7.384408744560063E-12</v>
      </c>
      <c r="AM76" s="62">
        <f t="shared" si="59"/>
        <v>293.3333333333407</v>
      </c>
      <c r="AN76" s="62">
        <f ca="1">AVERAGE(OFFSET($AM$3,0,0,'Données projet'!$E$10+1,1))-AVERAGE(OFFSET($H$3,0,0,'Données projet'!$E$10+1,1))</f>
        <v>179.7474263412401</v>
      </c>
      <c r="AO76" s="62">
        <f t="shared" si="90"/>
        <v>234.90106311484084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9.0890554088869678E-7</v>
      </c>
      <c r="AX76" s="23">
        <f t="shared" si="60"/>
        <v>9.0890554088869678E-7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41.365999999999978</v>
      </c>
      <c r="D77" s="12">
        <f t="shared" si="86"/>
        <v>12.359994738310659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414.72697692731026</v>
      </c>
      <c r="H77" s="70">
        <f t="shared" si="56"/>
        <v>386.90610750255769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6.3550942286383367E-14</v>
      </c>
      <c r="P77" s="14">
        <f t="shared" si="87"/>
        <v>1.0064464192543978E-12</v>
      </c>
      <c r="Q77" s="22">
        <f t="shared" si="54"/>
        <v>1.8635787380168604E-12</v>
      </c>
      <c r="R77" s="62">
        <f t="shared" si="55"/>
        <v>293.33333333333519</v>
      </c>
      <c r="S77" s="62">
        <f ca="1">AVERAGE(OFFSET($R$3,0,0,'Données projet'!$E$9+1,1))-AVERAGE(OFFSET($H$3,0,0,'Données projet'!$E$9+1,1))</f>
        <v>247.87882458322304</v>
      </c>
      <c r="T77" s="62">
        <f t="shared" si="88"/>
        <v>318.46892604922397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3.0802979027041668</v>
      </c>
      <c r="AB77" s="23">
        <f>EXP(-LN(2)/2)*AB76+(1-EXP(-LN(2)/2))/(LN(2)/2)*V77*Y77*VLOOKUP('Données projet'!$B$9,Paramètres!$A$1:$I$89,3,0)*0.475*44/12</f>
        <v>7.8692704130965839E-7</v>
      </c>
      <c r="AC77" s="24">
        <f t="shared" si="57"/>
        <v>3.0802986896312081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3.4106051316484809E-13</v>
      </c>
      <c r="AJ77" s="14">
        <f>AI77*VLOOKUP('Données projet'!$B$10,Paramètres!$A$1:$I$89,3,0)*VLOOKUP('Données projet'!$B$10,Paramètres!$A$1:$I$89,5,0)</f>
        <v>2.9795046430081134E-13</v>
      </c>
      <c r="AK77" s="14">
        <f t="shared" si="89"/>
        <v>3.9419014464513778E-12</v>
      </c>
      <c r="AL77" s="22">
        <f t="shared" si="58"/>
        <v>7.384408744560063E-12</v>
      </c>
      <c r="AM77" s="62">
        <f t="shared" si="59"/>
        <v>293.3333333333407</v>
      </c>
      <c r="AN77" s="62">
        <f ca="1">AVERAGE(OFFSET($AM$3,0,0,'Données projet'!$E$10+1,1))-AVERAGE(OFFSET($H$3,0,0,'Données projet'!$E$10+1,1))</f>
        <v>179.7474263412401</v>
      </c>
      <c r="AO77" s="62">
        <f t="shared" si="90"/>
        <v>234.90106311484084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6.4269327142042433E-7</v>
      </c>
      <c r="AX77" s="23">
        <f t="shared" si="60"/>
        <v>6.4269327142042433E-7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41.924999999999976</v>
      </c>
      <c r="D78" s="12">
        <f t="shared" si="86"/>
        <v>12.507464262517514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420.18042588609995</v>
      </c>
      <c r="H78" s="70">
        <f t="shared" si="56"/>
        <v>388.13654192388464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6.3550942286383367E-14</v>
      </c>
      <c r="P78" s="14">
        <f t="shared" si="87"/>
        <v>1.0064464192543978E-12</v>
      </c>
      <c r="Q78" s="22">
        <f t="shared" si="54"/>
        <v>1.8635787380168604E-12</v>
      </c>
      <c r="R78" s="62">
        <f t="shared" si="55"/>
        <v>293.33333333333519</v>
      </c>
      <c r="S78" s="62">
        <f ca="1">AVERAGE(OFFSET($R$3,0,0,'Données projet'!$E$9+1,1))-AVERAGE(OFFSET($H$3,0,0,'Données projet'!$E$9+1,1))</f>
        <v>247.87882458322304</v>
      </c>
      <c r="T78" s="62">
        <f t="shared" si="88"/>
        <v>318.46892604922397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2.9960669945688947</v>
      </c>
      <c r="AB78" s="23">
        <f>EXP(-LN(2)/2)*AB77+(1-EXP(-LN(2)/2))/(LN(2)/2)*V78*Y78*VLOOKUP('Données projet'!$B$9,Paramètres!$A$1:$I$89,3,0)*0.475*44/12</f>
        <v>5.5644144720912585E-7</v>
      </c>
      <c r="AC78" s="24">
        <f t="shared" si="57"/>
        <v>2.9960675510103418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3.4106051316484809E-13</v>
      </c>
      <c r="AJ78" s="14">
        <f>AI78*VLOOKUP('Données projet'!$B$10,Paramètres!$A$1:$I$89,3,0)*VLOOKUP('Données projet'!$B$10,Paramètres!$A$1:$I$89,5,0)</f>
        <v>2.9795046430081134E-13</v>
      </c>
      <c r="AK78" s="14">
        <f t="shared" si="89"/>
        <v>3.9419014464513778E-12</v>
      </c>
      <c r="AL78" s="22">
        <f t="shared" si="58"/>
        <v>7.384408744560063E-12</v>
      </c>
      <c r="AM78" s="62">
        <f t="shared" si="59"/>
        <v>293.3333333333407</v>
      </c>
      <c r="AN78" s="62">
        <f ca="1">AVERAGE(OFFSET($AM$3,0,0,'Données projet'!$E$10+1,1))-AVERAGE(OFFSET($H$3,0,0,'Données projet'!$E$10+1,1))</f>
        <v>179.7474263412401</v>
      </c>
      <c r="AO78" s="62">
        <f t="shared" si="90"/>
        <v>234.90106311484084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4.5445277044434839E-7</v>
      </c>
      <c r="AX78" s="23">
        <f t="shared" si="60"/>
        <v>4.5445277044434839E-7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42.483999999999973</v>
      </c>
      <c r="D79" s="12">
        <f t="shared" si="86"/>
        <v>12.654705084370672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425.63210942321194</v>
      </c>
      <c r="H79" s="70">
        <f t="shared" si="56"/>
        <v>389.36657802194554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6.3550942286383367E-14</v>
      </c>
      <c r="P79" s="14">
        <f t="shared" si="87"/>
        <v>1.0064464192543978E-12</v>
      </c>
      <c r="Q79" s="22">
        <f t="shared" si="54"/>
        <v>1.8635787380168604E-12</v>
      </c>
      <c r="R79" s="62">
        <f t="shared" si="55"/>
        <v>293.33333333333519</v>
      </c>
      <c r="S79" s="62">
        <f ca="1">AVERAGE(OFFSET($R$3,0,0,'Données projet'!$E$9+1,1))-AVERAGE(OFFSET($H$3,0,0,'Données projet'!$E$9+1,1))</f>
        <v>247.87882458322304</v>
      </c>
      <c r="T79" s="62">
        <f t="shared" si="88"/>
        <v>318.46892604922397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2.9141393850460928</v>
      </c>
      <c r="AB79" s="23">
        <f>EXP(-LN(2)/2)*AB78+(1-EXP(-LN(2)/2))/(LN(2)/2)*V79*Y79*VLOOKUP('Données projet'!$B$9,Paramètres!$A$1:$I$89,3,0)*0.475*44/12</f>
        <v>3.934635206548292E-7</v>
      </c>
      <c r="AC79" s="24">
        <f t="shared" si="57"/>
        <v>2.9141397785096137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3.4106051316484809E-13</v>
      </c>
      <c r="AJ79" s="14">
        <f>AI79*VLOOKUP('Données projet'!$B$10,Paramètres!$A$1:$I$89,3,0)*VLOOKUP('Données projet'!$B$10,Paramètres!$A$1:$I$89,5,0)</f>
        <v>2.9795046430081134E-13</v>
      </c>
      <c r="AK79" s="14">
        <f t="shared" si="89"/>
        <v>3.9419014464513778E-12</v>
      </c>
      <c r="AL79" s="22">
        <f t="shared" si="58"/>
        <v>7.384408744560063E-12</v>
      </c>
      <c r="AM79" s="62">
        <f t="shared" si="59"/>
        <v>293.3333333333407</v>
      </c>
      <c r="AN79" s="62">
        <f ca="1">AVERAGE(OFFSET($AM$3,0,0,'Données projet'!$E$10+1,1))-AVERAGE(OFFSET($H$3,0,0,'Données projet'!$E$10+1,1))</f>
        <v>179.7474263412401</v>
      </c>
      <c r="AO79" s="62">
        <f t="shared" si="90"/>
        <v>234.90106311484084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3.2134663571021216E-7</v>
      </c>
      <c r="AX79" s="23">
        <f t="shared" si="60"/>
        <v>3.2134663571021216E-7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43.042999999999971</v>
      </c>
      <c r="D80" s="12">
        <f t="shared" si="86"/>
        <v>12.80172056101086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431.08205345341702</v>
      </c>
      <c r="H80" s="70">
        <f t="shared" si="56"/>
        <v>390.59622164376049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6.3550942286383367E-14</v>
      </c>
      <c r="P80" s="14">
        <f t="shared" si="87"/>
        <v>1.0064464192543978E-12</v>
      </c>
      <c r="Q80" s="22">
        <f t="shared" si="54"/>
        <v>1.8635787380168604E-12</v>
      </c>
      <c r="R80" s="62">
        <f t="shared" si="55"/>
        <v>293.33333333333519</v>
      </c>
      <c r="S80" s="62">
        <f ca="1">AVERAGE(OFFSET($R$3,0,0,'Données projet'!$E$9+1,1))-AVERAGE(OFFSET($H$3,0,0,'Données projet'!$E$9+1,1))</f>
        <v>247.87882458322304</v>
      </c>
      <c r="T80" s="62">
        <f t="shared" si="88"/>
        <v>318.46892604922397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2.8344520903140773</v>
      </c>
      <c r="AB80" s="23">
        <f>EXP(-LN(2)/2)*AB79+(1-EXP(-LN(2)/2))/(LN(2)/2)*V80*Y80*VLOOKUP('Données projet'!$B$9,Paramètres!$A$1:$I$89,3,0)*0.475*44/12</f>
        <v>2.7822072360456293E-7</v>
      </c>
      <c r="AC80" s="24">
        <f t="shared" si="57"/>
        <v>2.8344523685348011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3.4106051316484809E-13</v>
      </c>
      <c r="AJ80" s="14">
        <f>AI80*VLOOKUP('Données projet'!$B$10,Paramètres!$A$1:$I$89,3,0)*VLOOKUP('Données projet'!$B$10,Paramètres!$A$1:$I$89,5,0)</f>
        <v>2.9795046430081134E-13</v>
      </c>
      <c r="AK80" s="14">
        <f t="shared" si="89"/>
        <v>3.9419014464513778E-12</v>
      </c>
      <c r="AL80" s="22">
        <f t="shared" si="58"/>
        <v>7.384408744560063E-12</v>
      </c>
      <c r="AM80" s="62">
        <f t="shared" si="59"/>
        <v>293.3333333333407</v>
      </c>
      <c r="AN80" s="62">
        <f ca="1">AVERAGE(OFFSET($AM$3,0,0,'Données projet'!$E$10+1,1))-AVERAGE(OFFSET($H$3,0,0,'Données projet'!$E$10+1,1))</f>
        <v>179.7474263412401</v>
      </c>
      <c r="AO80" s="62">
        <f t="shared" si="90"/>
        <v>234.90106311484084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2.2722638522217419E-7</v>
      </c>
      <c r="AX80" s="23">
        <f t="shared" si="60"/>
        <v>2.2722638522217419E-7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43.601999999999968</v>
      </c>
      <c r="D81" s="12">
        <f t="shared" si="86"/>
        <v>12.948513957367386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436.53028317967784</v>
      </c>
      <c r="H81" s="70">
        <f t="shared" si="56"/>
        <v>391.82547847574813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6.3550942286383367E-14</v>
      </c>
      <c r="P81" s="14">
        <f t="shared" si="87"/>
        <v>1.0064464192543978E-12</v>
      </c>
      <c r="Q81" s="22">
        <f t="shared" si="54"/>
        <v>1.8635787380168604E-12</v>
      </c>
      <c r="R81" s="62">
        <f t="shared" si="55"/>
        <v>293.33333333333519</v>
      </c>
      <c r="S81" s="62">
        <f ca="1">AVERAGE(OFFSET($R$3,0,0,'Données projet'!$E$9+1,1))-AVERAGE(OFFSET($H$3,0,0,'Données projet'!$E$9+1,1))</f>
        <v>247.87882458322304</v>
      </c>
      <c r="T81" s="62">
        <f t="shared" si="88"/>
        <v>318.46892604922397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2.7569438488470817</v>
      </c>
      <c r="AB81" s="23">
        <f>EXP(-LN(2)/2)*AB80+(1-EXP(-LN(2)/2))/(LN(2)/2)*V81*Y81*VLOOKUP('Données projet'!$B$9,Paramètres!$A$1:$I$89,3,0)*0.475*44/12</f>
        <v>1.967317603274146E-7</v>
      </c>
      <c r="AC81" s="24">
        <f t="shared" si="57"/>
        <v>2.7569440455788419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3.4106051316484809E-13</v>
      </c>
      <c r="AJ81" s="14">
        <f>AI81*VLOOKUP('Données projet'!$B$10,Paramètres!$A$1:$I$89,3,0)*VLOOKUP('Données projet'!$B$10,Paramètres!$A$1:$I$89,5,0)</f>
        <v>2.9795046430081134E-13</v>
      </c>
      <c r="AK81" s="14">
        <f t="shared" si="89"/>
        <v>3.9419014464513778E-12</v>
      </c>
      <c r="AL81" s="22">
        <f t="shared" si="58"/>
        <v>7.384408744560063E-12</v>
      </c>
      <c r="AM81" s="62">
        <f t="shared" si="59"/>
        <v>293.3333333333407</v>
      </c>
      <c r="AN81" s="62">
        <f ca="1">AVERAGE(OFFSET($AM$3,0,0,'Données projet'!$E$10+1,1))-AVERAGE(OFFSET($H$3,0,0,'Données projet'!$E$10+1,1))</f>
        <v>179.7474263412401</v>
      </c>
      <c r="AO81" s="62">
        <f t="shared" si="90"/>
        <v>234.90106311484084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1.6067331785510608E-7</v>
      </c>
      <c r="AX81" s="23">
        <f t="shared" si="60"/>
        <v>1.6067331785510608E-7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44.160999999999966</v>
      </c>
      <c r="D82" s="12">
        <f t="shared" si="86"/>
        <v>13.095088449839977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441.9768231215715</v>
      </c>
      <c r="H82" s="70">
        <f t="shared" si="56"/>
        <v>393.05435405013787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6.3550942286383367E-14</v>
      </c>
      <c r="P82" s="14">
        <f t="shared" si="87"/>
        <v>1.0064464192543978E-12</v>
      </c>
      <c r="Q82" s="22">
        <f t="shared" si="54"/>
        <v>1.8635787380168604E-12</v>
      </c>
      <c r="R82" s="62">
        <f t="shared" si="55"/>
        <v>293.33333333333519</v>
      </c>
      <c r="S82" s="62">
        <f ca="1">AVERAGE(OFFSET($R$3,0,0,'Données projet'!$E$9+1,1))-AVERAGE(OFFSET($H$3,0,0,'Données projet'!$E$9+1,1))</f>
        <v>247.87882458322304</v>
      </c>
      <c r="T82" s="62">
        <f t="shared" si="88"/>
        <v>318.46892604922397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2.6815550743189824</v>
      </c>
      <c r="AB82" s="23">
        <f>EXP(-LN(2)/2)*AB81+(1-EXP(-LN(2)/2))/(LN(2)/2)*V82*Y82*VLOOKUP('Données projet'!$B$9,Paramètres!$A$1:$I$89,3,0)*0.475*44/12</f>
        <v>1.3911036180228146E-7</v>
      </c>
      <c r="AC82" s="24">
        <f t="shared" si="57"/>
        <v>2.6815552134293443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3.4106051316484809E-13</v>
      </c>
      <c r="AJ82" s="14">
        <f>AI82*VLOOKUP('Données projet'!$B$10,Paramètres!$A$1:$I$89,3,0)*VLOOKUP('Données projet'!$B$10,Paramètres!$A$1:$I$89,5,0)</f>
        <v>2.9795046430081134E-13</v>
      </c>
      <c r="AK82" s="14">
        <f t="shared" si="89"/>
        <v>3.9419014464513778E-12</v>
      </c>
      <c r="AL82" s="22">
        <f t="shared" si="58"/>
        <v>7.384408744560063E-12</v>
      </c>
      <c r="AM82" s="62">
        <f t="shared" si="59"/>
        <v>293.3333333333407</v>
      </c>
      <c r="AN82" s="62">
        <f ca="1">AVERAGE(OFFSET($AM$3,0,0,'Données projet'!$E$10+1,1))-AVERAGE(OFFSET($H$3,0,0,'Données projet'!$E$10+1,1))</f>
        <v>179.7474263412401</v>
      </c>
      <c r="AO82" s="62">
        <f t="shared" si="90"/>
        <v>234.90106311484084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1.136131926110871E-7</v>
      </c>
      <c r="AX82" s="23">
        <f t="shared" si="60"/>
        <v>1.136131926110871E-7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44.719999999999963</v>
      </c>
      <c r="D83" s="12">
        <f t="shared" si="86"/>
        <v>13.24144712978892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447.42169714222996</v>
      </c>
      <c r="H83" s="70">
        <f t="shared" si="56"/>
        <v>394.28285375104895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6.3550942286383367E-14</v>
      </c>
      <c r="P83" s="14">
        <f t="shared" si="87"/>
        <v>1.0064464192543978E-12</v>
      </c>
      <c r="Q83" s="22">
        <f t="shared" si="54"/>
        <v>1.8635787380168604E-12</v>
      </c>
      <c r="R83" s="62">
        <f t="shared" si="55"/>
        <v>293.33333333333519</v>
      </c>
      <c r="S83" s="62">
        <f ca="1">AVERAGE(OFFSET($R$3,0,0,'Données projet'!$E$9+1,1))-AVERAGE(OFFSET($H$3,0,0,'Données projet'!$E$9+1,1))</f>
        <v>247.87882458322304</v>
      </c>
      <c r="T83" s="62">
        <f t="shared" si="88"/>
        <v>318.46892604922397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2.6082278097948772</v>
      </c>
      <c r="AB83" s="23">
        <f>EXP(-LN(2)/2)*AB82+(1-EXP(-LN(2)/2))/(LN(2)/2)*V83*Y83*VLOOKUP('Données projet'!$B$9,Paramètres!$A$1:$I$89,3,0)*0.475*44/12</f>
        <v>9.8365880163707299E-8</v>
      </c>
      <c r="AC83" s="24">
        <f t="shared" si="57"/>
        <v>2.6082279081607576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3.4106051316484809E-13</v>
      </c>
      <c r="AJ83" s="14">
        <f>AI83*VLOOKUP('Données projet'!$B$10,Paramètres!$A$1:$I$89,3,0)*VLOOKUP('Données projet'!$B$10,Paramètres!$A$1:$I$89,5,0)</f>
        <v>2.9795046430081134E-13</v>
      </c>
      <c r="AK83" s="14">
        <f t="shared" si="89"/>
        <v>3.9419014464513778E-12</v>
      </c>
      <c r="AL83" s="22">
        <f t="shared" si="58"/>
        <v>7.384408744560063E-12</v>
      </c>
      <c r="AM83" s="62">
        <f t="shared" si="59"/>
        <v>293.3333333333407</v>
      </c>
      <c r="AN83" s="62">
        <f ca="1">AVERAGE(OFFSET($AM$3,0,0,'Données projet'!$E$10+1,1))-AVERAGE(OFFSET($H$3,0,0,'Données projet'!$E$10+1,1))</f>
        <v>179.7474263412401</v>
      </c>
      <c r="AO83" s="62">
        <f t="shared" si="90"/>
        <v>234.90106311484084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8.0336658927553041E-8</v>
      </c>
      <c r="AX83" s="23">
        <f t="shared" si="60"/>
        <v>8.0336658927553041E-8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45.278999999999961</v>
      </c>
      <c r="D84" s="12">
        <f t="shared" si="86"/>
        <v>13.387593006845686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452.86492847389621</v>
      </c>
      <c r="H84" s="70">
        <f t="shared" si="56"/>
        <v>395.51098282025612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6.3550942286383367E-14</v>
      </c>
      <c r="P84" s="14">
        <f t="shared" si="87"/>
        <v>1.0064464192543978E-12</v>
      </c>
      <c r="Q84" s="22">
        <f t="shared" si="54"/>
        <v>1.8635787380168604E-12</v>
      </c>
      <c r="R84" s="62">
        <f t="shared" si="55"/>
        <v>293.33333333333519</v>
      </c>
      <c r="S84" s="62">
        <f ca="1">AVERAGE(OFFSET($R$3,0,0,'Données projet'!$E$9+1,1))-AVERAGE(OFFSET($H$3,0,0,'Données projet'!$E$9+1,1))</f>
        <v>247.87882458322304</v>
      </c>
      <c r="T84" s="62">
        <f t="shared" si="88"/>
        <v>318.46892604922397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2.5369056831752972</v>
      </c>
      <c r="AB84" s="23">
        <f>EXP(-LN(2)/2)*AB83+(1-EXP(-LN(2)/2))/(LN(2)/2)*V84*Y84*VLOOKUP('Données projet'!$B$9,Paramètres!$A$1:$I$89,3,0)*0.475*44/12</f>
        <v>6.9555180901140731E-8</v>
      </c>
      <c r="AC84" s="24">
        <f t="shared" si="57"/>
        <v>2.5369057527304779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3.4106051316484809E-13</v>
      </c>
      <c r="AJ84" s="14">
        <f>AI84*VLOOKUP('Données projet'!$B$10,Paramètres!$A$1:$I$89,3,0)*VLOOKUP('Données projet'!$B$10,Paramètres!$A$1:$I$89,5,0)</f>
        <v>2.9795046430081134E-13</v>
      </c>
      <c r="AK84" s="14">
        <f t="shared" si="89"/>
        <v>3.9419014464513778E-12</v>
      </c>
      <c r="AL84" s="22">
        <f t="shared" si="58"/>
        <v>7.384408744560063E-12</v>
      </c>
      <c r="AM84" s="62">
        <f t="shared" si="59"/>
        <v>293.3333333333407</v>
      </c>
      <c r="AN84" s="62">
        <f ca="1">AVERAGE(OFFSET($AM$3,0,0,'Données projet'!$E$10+1,1))-AVERAGE(OFFSET($H$3,0,0,'Données projet'!$E$10+1,1))</f>
        <v>179.7474263412401</v>
      </c>
      <c r="AO84" s="62">
        <f t="shared" si="90"/>
        <v>234.90106311484084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5.6806596305543548E-8</v>
      </c>
      <c r="AX84" s="23">
        <f t="shared" si="60"/>
        <v>5.6806596305543548E-8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45.837999999999958</v>
      </c>
      <c r="D85" s="12">
        <f t="shared" si="86"/>
        <v>13.533529012055453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458.30653974218217</v>
      </c>
      <c r="H85" s="70">
        <f t="shared" si="56"/>
        <v>396.73874636266316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6.3550942286383367E-14</v>
      </c>
      <c r="P85" s="14">
        <f t="shared" si="87"/>
        <v>1.0064464192543978E-12</v>
      </c>
      <c r="Q85" s="22">
        <f t="shared" si="54"/>
        <v>1.8635787380168604E-12</v>
      </c>
      <c r="R85" s="62">
        <f t="shared" si="55"/>
        <v>293.33333333333519</v>
      </c>
      <c r="S85" s="62">
        <f ca="1">AVERAGE(OFFSET($R$3,0,0,'Données projet'!$E$9+1,1))-AVERAGE(OFFSET($H$3,0,0,'Données projet'!$E$9+1,1))</f>
        <v>247.87882458322304</v>
      </c>
      <c r="T85" s="62">
        <f t="shared" si="88"/>
        <v>318.46892604922397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2.4675338638587969</v>
      </c>
      <c r="AB85" s="23">
        <f>EXP(-LN(2)/2)*AB84+(1-EXP(-LN(2)/2))/(LN(2)/2)*V85*Y85*VLOOKUP('Données projet'!$B$9,Paramètres!$A$1:$I$89,3,0)*0.475*44/12</f>
        <v>4.9182940081853649E-8</v>
      </c>
      <c r="AC85" s="24">
        <f t="shared" si="57"/>
        <v>2.4675339130417369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3.4106051316484809E-13</v>
      </c>
      <c r="AJ85" s="14">
        <f>AI85*VLOOKUP('Données projet'!$B$10,Paramètres!$A$1:$I$89,3,0)*VLOOKUP('Données projet'!$B$10,Paramètres!$A$1:$I$89,5,0)</f>
        <v>2.9795046430081134E-13</v>
      </c>
      <c r="AK85" s="14">
        <f t="shared" si="89"/>
        <v>3.9419014464513778E-12</v>
      </c>
      <c r="AL85" s="22">
        <f t="shared" si="58"/>
        <v>7.384408744560063E-12</v>
      </c>
      <c r="AM85" s="62">
        <f t="shared" si="59"/>
        <v>293.3333333333407</v>
      </c>
      <c r="AN85" s="62">
        <f ca="1">AVERAGE(OFFSET($AM$3,0,0,'Données projet'!$E$10+1,1))-AVERAGE(OFFSET($H$3,0,0,'Données projet'!$E$10+1,1))</f>
        <v>179.7474263412401</v>
      </c>
      <c r="AO85" s="62">
        <f t="shared" si="90"/>
        <v>234.90106311484084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4.016832946377652E-8</v>
      </c>
      <c r="AX85" s="23">
        <f t="shared" si="60"/>
        <v>4.016832946377652E-8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46.396999999999956</v>
      </c>
      <c r="D86" s="12">
        <f t="shared" si="86"/>
        <v>13.679258000861923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463.7465529891092</v>
      </c>
      <c r="H86" s="70">
        <f t="shared" si="56"/>
        <v>397.96614935150109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6.3550942286383367E-14</v>
      </c>
      <c r="P86" s="14">
        <f t="shared" si="87"/>
        <v>1.0064464192543978E-12</v>
      </c>
      <c r="Q86" s="22">
        <f t="shared" si="54"/>
        <v>1.8635787380168604E-12</v>
      </c>
      <c r="R86" s="62">
        <f t="shared" si="55"/>
        <v>293.33333333333519</v>
      </c>
      <c r="S86" s="62">
        <f ca="1">AVERAGE(OFFSET($R$3,0,0,'Données projet'!$E$9+1,1))-AVERAGE(OFFSET($H$3,0,0,'Données projet'!$E$9+1,1))</f>
        <v>247.87882458322304</v>
      </c>
      <c r="T86" s="62">
        <f t="shared" si="88"/>
        <v>318.46892604922397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2.400059020589612</v>
      </c>
      <c r="AB86" s="23">
        <f>EXP(-LN(2)/2)*AB85+(1-EXP(-LN(2)/2))/(LN(2)/2)*V86*Y86*VLOOKUP('Données projet'!$B$9,Paramètres!$A$1:$I$89,3,0)*0.475*44/12</f>
        <v>3.4777590450570366E-8</v>
      </c>
      <c r="AC86" s="24">
        <f t="shared" si="57"/>
        <v>2.4000590553672025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3.4106051316484809E-13</v>
      </c>
      <c r="AJ86" s="14">
        <f>AI86*VLOOKUP('Données projet'!$B$10,Paramètres!$A$1:$I$89,3,0)*VLOOKUP('Données projet'!$B$10,Paramètres!$A$1:$I$89,5,0)</f>
        <v>2.9795046430081134E-13</v>
      </c>
      <c r="AK86" s="14">
        <f t="shared" si="89"/>
        <v>3.9419014464513778E-12</v>
      </c>
      <c r="AL86" s="22">
        <f t="shared" si="58"/>
        <v>7.384408744560063E-12</v>
      </c>
      <c r="AM86" s="62">
        <f t="shared" si="59"/>
        <v>293.3333333333407</v>
      </c>
      <c r="AN86" s="62">
        <f ca="1">AVERAGE(OFFSET($AM$3,0,0,'Données projet'!$E$10+1,1))-AVERAGE(OFFSET($H$3,0,0,'Données projet'!$E$10+1,1))</f>
        <v>179.7474263412401</v>
      </c>
      <c r="AO86" s="62">
        <f t="shared" si="90"/>
        <v>234.90106311484084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2.8403298152771774E-8</v>
      </c>
      <c r="AX86" s="23">
        <f t="shared" si="60"/>
        <v>2.8403298152771774E-8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46.955999999999953</v>
      </c>
      <c r="D87" s="12">
        <f t="shared" si="86"/>
        <v>13.824782755944199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469.18498969500752</v>
      </c>
      <c r="H87" s="70">
        <f t="shared" si="56"/>
        <v>399.19319663326939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6.3550942286383367E-14</v>
      </c>
      <c r="P87" s="14">
        <f t="shared" si="87"/>
        <v>1.0064464192543978E-12</v>
      </c>
      <c r="Q87" s="22">
        <f t="shared" si="54"/>
        <v>1.8635787380168604E-12</v>
      </c>
      <c r="R87" s="62">
        <f t="shared" si="55"/>
        <v>293.33333333333519</v>
      </c>
      <c r="S87" s="62">
        <f ca="1">AVERAGE(OFFSET($R$3,0,0,'Données projet'!$E$9+1,1))-AVERAGE(OFFSET($H$3,0,0,'Données projet'!$E$9+1,1))</f>
        <v>247.87882458322304</v>
      </c>
      <c r="T87" s="62">
        <f t="shared" si="88"/>
        <v>318.46892604922397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2.3344292804579707</v>
      </c>
      <c r="AB87" s="23">
        <f>EXP(-LN(2)/2)*AB86+(1-EXP(-LN(2)/2))/(LN(2)/2)*V87*Y87*VLOOKUP('Données projet'!$B$9,Paramètres!$A$1:$I$89,3,0)*0.475*44/12</f>
        <v>2.4591470040926825E-8</v>
      </c>
      <c r="AC87" s="24">
        <f t="shared" si="57"/>
        <v>2.3344293050494409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3.4106051316484809E-13</v>
      </c>
      <c r="AJ87" s="14">
        <f>AI87*VLOOKUP('Données projet'!$B$10,Paramètres!$A$1:$I$89,3,0)*VLOOKUP('Données projet'!$B$10,Paramètres!$A$1:$I$89,5,0)</f>
        <v>2.9795046430081134E-13</v>
      </c>
      <c r="AK87" s="14">
        <f t="shared" si="89"/>
        <v>3.9419014464513778E-12</v>
      </c>
      <c r="AL87" s="22">
        <f t="shared" si="58"/>
        <v>7.384408744560063E-12</v>
      </c>
      <c r="AM87" s="62">
        <f t="shared" si="59"/>
        <v>293.3333333333407</v>
      </c>
      <c r="AN87" s="62">
        <f ca="1">AVERAGE(OFFSET($AM$3,0,0,'Données projet'!$E$10+1,1))-AVERAGE(OFFSET($H$3,0,0,'Données projet'!$E$10+1,1))</f>
        <v>179.7474263412401</v>
      </c>
      <c r="AO87" s="62">
        <f t="shared" si="90"/>
        <v>234.90106311484084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2.008416473188826E-8</v>
      </c>
      <c r="AX87" s="23">
        <f t="shared" si="60"/>
        <v>2.008416473188826E-8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47.514999999999951</v>
      </c>
      <c r="D88" s="12">
        <f t="shared" si="86"/>
        <v>13.970105989914776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474.62187079934182</v>
      </c>
      <c r="H88" s="70">
        <f t="shared" si="56"/>
        <v>400.41989293243478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6.3550942286383367E-14</v>
      </c>
      <c r="P88" s="14">
        <f t="shared" si="87"/>
        <v>1.0064464192543978E-12</v>
      </c>
      <c r="Q88" s="22">
        <f t="shared" si="54"/>
        <v>1.8635787380168604E-12</v>
      </c>
      <c r="R88" s="62">
        <f t="shared" si="55"/>
        <v>293.33333333333519</v>
      </c>
      <c r="S88" s="62">
        <f ca="1">AVERAGE(OFFSET($R$3,0,0,'Données projet'!$E$9+1,1))-AVERAGE(OFFSET($H$3,0,0,'Données projet'!$E$9+1,1))</f>
        <v>247.87882458322304</v>
      </c>
      <c r="T88" s="62">
        <f t="shared" si="88"/>
        <v>318.46892604922397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2.2705941890215469</v>
      </c>
      <c r="AB88" s="23">
        <f>EXP(-LN(2)/2)*AB87+(1-EXP(-LN(2)/2))/(LN(2)/2)*V88*Y88*VLOOKUP('Données projet'!$B$9,Paramètres!$A$1:$I$89,3,0)*0.475*44/12</f>
        <v>1.7388795225285183E-8</v>
      </c>
      <c r="AC88" s="24">
        <f t="shared" si="57"/>
        <v>2.2705942064103422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3.4106051316484809E-13</v>
      </c>
      <c r="AJ88" s="14">
        <f>AI88*VLOOKUP('Données projet'!$B$10,Paramètres!$A$1:$I$89,3,0)*VLOOKUP('Données projet'!$B$10,Paramètres!$A$1:$I$89,5,0)</f>
        <v>2.9795046430081134E-13</v>
      </c>
      <c r="AK88" s="14">
        <f t="shared" si="89"/>
        <v>3.9419014464513778E-12</v>
      </c>
      <c r="AL88" s="22">
        <f t="shared" si="58"/>
        <v>7.384408744560063E-12</v>
      </c>
      <c r="AM88" s="62">
        <f t="shared" si="59"/>
        <v>293.3333333333407</v>
      </c>
      <c r="AN88" s="62">
        <f ca="1">AVERAGE(OFFSET($AM$3,0,0,'Données projet'!$E$10+1,1))-AVERAGE(OFFSET($H$3,0,0,'Données projet'!$E$10+1,1))</f>
        <v>179.7474263412401</v>
      </c>
      <c r="AO88" s="62">
        <f t="shared" si="90"/>
        <v>234.90106311484084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1.4201649076385887E-8</v>
      </c>
      <c r="AX88" s="23">
        <f t="shared" si="60"/>
        <v>1.4201649076385887E-8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48.073999999999948</v>
      </c>
      <c r="D89" s="12">
        <f t="shared" si="86"/>
        <v>14.115230347886868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480.05721672052988</v>
      </c>
      <c r="H89" s="70">
        <f t="shared" si="56"/>
        <v>401.64624285590287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6.3550942286383367E-14</v>
      </c>
      <c r="P89" s="14">
        <f t="shared" si="87"/>
        <v>1.0064464192543978E-12</v>
      </c>
      <c r="Q89" s="22">
        <f t="shared" si="54"/>
        <v>1.8635787380168604E-12</v>
      </c>
      <c r="R89" s="62">
        <f t="shared" si="55"/>
        <v>293.33333333333519</v>
      </c>
      <c r="S89" s="62">
        <f ca="1">AVERAGE(OFFSET($R$3,0,0,'Données projet'!$E$9+1,1))-AVERAGE(OFFSET($H$3,0,0,'Données projet'!$E$9+1,1))</f>
        <v>247.87882458322304</v>
      </c>
      <c r="T89" s="62">
        <f t="shared" si="88"/>
        <v>318.46892604922397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2.2085046715173937</v>
      </c>
      <c r="AB89" s="23">
        <f>EXP(-LN(2)/2)*AB88+(1-EXP(-LN(2)/2))/(LN(2)/2)*V89*Y89*VLOOKUP('Données projet'!$B$9,Paramètres!$A$1:$I$89,3,0)*0.475*44/12</f>
        <v>1.2295735020463412E-8</v>
      </c>
      <c r="AC89" s="24">
        <f t="shared" si="57"/>
        <v>2.2085046838131288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3.4106051316484809E-13</v>
      </c>
      <c r="AJ89" s="14">
        <f>AI89*VLOOKUP('Données projet'!$B$10,Paramètres!$A$1:$I$89,3,0)*VLOOKUP('Données projet'!$B$10,Paramètres!$A$1:$I$89,5,0)</f>
        <v>2.9795046430081134E-13</v>
      </c>
      <c r="AK89" s="14">
        <f t="shared" si="89"/>
        <v>3.9419014464513778E-12</v>
      </c>
      <c r="AL89" s="22">
        <f t="shared" si="58"/>
        <v>7.384408744560063E-12</v>
      </c>
      <c r="AM89" s="62">
        <f t="shared" si="59"/>
        <v>293.3333333333407</v>
      </c>
      <c r="AN89" s="62">
        <f ca="1">AVERAGE(OFFSET($AM$3,0,0,'Données projet'!$E$10+1,1))-AVERAGE(OFFSET($H$3,0,0,'Données projet'!$E$10+1,1))</f>
        <v>179.7474263412401</v>
      </c>
      <c r="AO89" s="62">
        <f t="shared" si="90"/>
        <v>234.90106311484084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1.004208236594413E-8</v>
      </c>
      <c r="AX89" s="23">
        <f t="shared" si="60"/>
        <v>1.004208236594413E-8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48.632999999999946</v>
      </c>
      <c r="D90" s="12">
        <f t="shared" si="86"/>
        <v>14.260158409918965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485.49104737481269</v>
      </c>
      <c r="H90" s="70">
        <f t="shared" si="56"/>
        <v>402.87225089727542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6.3550942286383367E-14</v>
      </c>
      <c r="P90" s="14">
        <f t="shared" si="87"/>
        <v>1.0064464192543978E-12</v>
      </c>
      <c r="Q90" s="22">
        <f t="shared" si="54"/>
        <v>1.8635787380168604E-12</v>
      </c>
      <c r="R90" s="62">
        <f t="shared" si="55"/>
        <v>293.33333333333519</v>
      </c>
      <c r="S90" s="62">
        <f ca="1">AVERAGE(OFFSET($R$3,0,0,'Données projet'!$E$9+1,1))-AVERAGE(OFFSET($H$3,0,0,'Données projet'!$E$9+1,1))</f>
        <v>247.87882458322304</v>
      </c>
      <c r="T90" s="62">
        <f t="shared" si="88"/>
        <v>318.46892604922397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2.1481129951345377</v>
      </c>
      <c r="AB90" s="23">
        <f>EXP(-LN(2)/2)*AB89+(1-EXP(-LN(2)/2))/(LN(2)/2)*V90*Y90*VLOOKUP('Données projet'!$B$9,Paramètres!$A$1:$I$89,3,0)*0.475*44/12</f>
        <v>8.6943976126425914E-9</v>
      </c>
      <c r="AC90" s="24">
        <f t="shared" si="57"/>
        <v>2.1481130038289353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3.4106051316484809E-13</v>
      </c>
      <c r="AJ90" s="14">
        <f>AI90*VLOOKUP('Données projet'!$B$10,Paramètres!$A$1:$I$89,3,0)*VLOOKUP('Données projet'!$B$10,Paramètres!$A$1:$I$89,5,0)</f>
        <v>2.9795046430081134E-13</v>
      </c>
      <c r="AK90" s="14">
        <f t="shared" si="89"/>
        <v>3.9419014464513778E-12</v>
      </c>
      <c r="AL90" s="22">
        <f t="shared" si="58"/>
        <v>7.384408744560063E-12</v>
      </c>
      <c r="AM90" s="62">
        <f t="shared" si="59"/>
        <v>293.3333333333407</v>
      </c>
      <c r="AN90" s="62">
        <f ca="1">AVERAGE(OFFSET($AM$3,0,0,'Données projet'!$E$10+1,1))-AVERAGE(OFFSET($H$3,0,0,'Données projet'!$E$10+1,1))</f>
        <v>179.7474263412401</v>
      </c>
      <c r="AO90" s="62">
        <f t="shared" si="90"/>
        <v>234.90106311484084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7.1008245381929436E-9</v>
      </c>
      <c r="AX90" s="23">
        <f t="shared" si="60"/>
        <v>7.1008245381929436E-9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49.191999999999943</v>
      </c>
      <c r="D91" s="12">
        <f t="shared" si="86"/>
        <v>14.404892693343806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490.92338219423249</v>
      </c>
      <c r="H91" s="70">
        <f t="shared" si="56"/>
        <v>404.09792144090699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6.3550942286383367E-14</v>
      </c>
      <c r="P91" s="14">
        <f t="shared" si="87"/>
        <v>1.0064464192543978E-12</v>
      </c>
      <c r="Q91" s="22">
        <f t="shared" si="54"/>
        <v>1.8635787380168604E-12</v>
      </c>
      <c r="R91" s="62">
        <f t="shared" si="55"/>
        <v>293.33333333333519</v>
      </c>
      <c r="S91" s="62">
        <f ca="1">AVERAGE(OFFSET($R$3,0,0,'Données projet'!$E$9+1,1))-AVERAGE(OFFSET($H$3,0,0,'Données projet'!$E$9+1,1))</f>
        <v>247.87882458322304</v>
      </c>
      <c r="T91" s="62">
        <f t="shared" si="88"/>
        <v>318.46892604922397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2.089372732318231</v>
      </c>
      <c r="AB91" s="23">
        <f>EXP(-LN(2)/2)*AB90+(1-EXP(-LN(2)/2))/(LN(2)/2)*V91*Y91*VLOOKUP('Données projet'!$B$9,Paramètres!$A$1:$I$89,3,0)*0.475*44/12</f>
        <v>6.1478675102317062E-9</v>
      </c>
      <c r="AC91" s="24">
        <f t="shared" si="57"/>
        <v>2.0893727384660985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3.4106051316484809E-13</v>
      </c>
      <c r="AJ91" s="14">
        <f>AI91*VLOOKUP('Données projet'!$B$10,Paramètres!$A$1:$I$89,3,0)*VLOOKUP('Données projet'!$B$10,Paramètres!$A$1:$I$89,5,0)</f>
        <v>2.9795046430081134E-13</v>
      </c>
      <c r="AK91" s="14">
        <f t="shared" si="89"/>
        <v>3.9419014464513778E-12</v>
      </c>
      <c r="AL91" s="22">
        <f t="shared" si="58"/>
        <v>7.384408744560063E-12</v>
      </c>
      <c r="AM91" s="62">
        <f t="shared" si="59"/>
        <v>293.3333333333407</v>
      </c>
      <c r="AN91" s="62">
        <f ca="1">AVERAGE(OFFSET($AM$3,0,0,'Données projet'!$E$10+1,1))-AVERAGE(OFFSET($H$3,0,0,'Données projet'!$E$10+1,1))</f>
        <v>179.7474263412401</v>
      </c>
      <c r="AO91" s="62">
        <f t="shared" si="90"/>
        <v>234.90106311484084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5.0210411829720651E-9</v>
      </c>
      <c r="AX91" s="23">
        <f t="shared" si="60"/>
        <v>5.0210411829720651E-9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49.750999999999941</v>
      </c>
      <c r="D92" s="12">
        <f t="shared" si="86"/>
        <v>14.549435654988406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496.35424014376969</v>
      </c>
      <c r="H92" s="70">
        <f t="shared" si="56"/>
        <v>405.32325876577136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6.3550942286383367E-14</v>
      </c>
      <c r="P92" s="14">
        <f t="shared" si="87"/>
        <v>1.0064464192543978E-12</v>
      </c>
      <c r="Q92" s="22">
        <f t="shared" si="54"/>
        <v>1.8635787380168604E-12</v>
      </c>
      <c r="R92" s="62">
        <f t="shared" si="55"/>
        <v>293.33333333333519</v>
      </c>
      <c r="S92" s="62">
        <f ca="1">AVERAGE(OFFSET($R$3,0,0,'Données projet'!$E$9+1,1))-AVERAGE(OFFSET($H$3,0,0,'Données projet'!$E$9+1,1))</f>
        <v>247.87882458322304</v>
      </c>
      <c r="T92" s="62">
        <f t="shared" si="88"/>
        <v>318.46892604922397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2.0322387250776521</v>
      </c>
      <c r="AB92" s="23">
        <f>EXP(-LN(2)/2)*AB91+(1-EXP(-LN(2)/2))/(LN(2)/2)*V92*Y92*VLOOKUP('Données projet'!$B$9,Paramètres!$A$1:$I$89,3,0)*0.475*44/12</f>
        <v>4.3471988063212957E-9</v>
      </c>
      <c r="AC92" s="24">
        <f t="shared" si="57"/>
        <v>2.0322387294248507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3.4106051316484809E-13</v>
      </c>
      <c r="AJ92" s="14">
        <f>AI92*VLOOKUP('Données projet'!$B$10,Paramètres!$A$1:$I$89,3,0)*VLOOKUP('Données projet'!$B$10,Paramètres!$A$1:$I$89,5,0)</f>
        <v>2.9795046430081134E-13</v>
      </c>
      <c r="AK92" s="14">
        <f t="shared" si="89"/>
        <v>3.9419014464513778E-12</v>
      </c>
      <c r="AL92" s="22">
        <f t="shared" si="58"/>
        <v>7.384408744560063E-12</v>
      </c>
      <c r="AM92" s="62">
        <f t="shared" si="59"/>
        <v>293.3333333333407</v>
      </c>
      <c r="AN92" s="62">
        <f ca="1">AVERAGE(OFFSET($AM$3,0,0,'Données projet'!$E$10+1,1))-AVERAGE(OFFSET($H$3,0,0,'Données projet'!$E$10+1,1))</f>
        <v>179.7474263412401</v>
      </c>
      <c r="AO92" s="62">
        <f t="shared" si="90"/>
        <v>234.90106311484084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3.5504122690964718E-9</v>
      </c>
      <c r="AX92" s="23">
        <f t="shared" si="60"/>
        <v>3.5504122690964718E-9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50.309999999999938</v>
      </c>
      <c r="D93" s="12">
        <f t="shared" si="86"/>
        <v>14.693789693291537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501.7836397376887</v>
      </c>
      <c r="H93" s="70">
        <f t="shared" si="56"/>
        <v>406.54826704914933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6.3550942286383367E-14</v>
      </c>
      <c r="P93" s="14">
        <f t="shared" si="87"/>
        <v>1.0064464192543978E-12</v>
      </c>
      <c r="Q93" s="22">
        <f t="shared" si="54"/>
        <v>1.8635787380168604E-12</v>
      </c>
      <c r="R93" s="62">
        <f t="shared" si="55"/>
        <v>293.33333333333519</v>
      </c>
      <c r="S93" s="62">
        <f ca="1">AVERAGE(OFFSET($R$3,0,0,'Données projet'!$E$9+1,1))-AVERAGE(OFFSET($H$3,0,0,'Données projet'!$E$9+1,1))</f>
        <v>247.87882458322304</v>
      </c>
      <c r="T93" s="62">
        <f t="shared" si="88"/>
        <v>318.46892604922397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1.976667050269614</v>
      </c>
      <c r="AB93" s="23">
        <f>EXP(-LN(2)/2)*AB92+(1-EXP(-LN(2)/2))/(LN(2)/2)*V93*Y93*VLOOKUP('Données projet'!$B$9,Paramètres!$A$1:$I$89,3,0)*0.475*44/12</f>
        <v>3.0739337551158531E-9</v>
      </c>
      <c r="AC93" s="24">
        <f t="shared" si="57"/>
        <v>1.9766670533435478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3.4106051316484809E-13</v>
      </c>
      <c r="AJ93" s="14">
        <f>AI93*VLOOKUP('Données projet'!$B$10,Paramètres!$A$1:$I$89,3,0)*VLOOKUP('Données projet'!$B$10,Paramètres!$A$1:$I$89,5,0)</f>
        <v>2.9795046430081134E-13</v>
      </c>
      <c r="AK93" s="14">
        <f t="shared" si="89"/>
        <v>3.9419014464513778E-12</v>
      </c>
      <c r="AL93" s="22">
        <f t="shared" si="58"/>
        <v>7.384408744560063E-12</v>
      </c>
      <c r="AM93" s="62">
        <f t="shared" si="59"/>
        <v>293.3333333333407</v>
      </c>
      <c r="AN93" s="62">
        <f ca="1">AVERAGE(OFFSET($AM$3,0,0,'Données projet'!$E$10+1,1))-AVERAGE(OFFSET($H$3,0,0,'Données projet'!$E$10+1,1))</f>
        <v>179.7474263412401</v>
      </c>
      <c r="AO93" s="62">
        <f t="shared" si="90"/>
        <v>234.90106311484084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2.5105205914860325E-9</v>
      </c>
      <c r="AX93" s="23">
        <f t="shared" si="60"/>
        <v>2.5105205914860325E-9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50.868999999999936</v>
      </c>
      <c r="D94" s="12">
        <f t="shared" si="86"/>
        <v>14.837957150324335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507.21159905513474</v>
      </c>
      <c r="H94" s="70">
        <f t="shared" si="56"/>
        <v>407.77295037014807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6.3550942286383367E-14</v>
      </c>
      <c r="P94" s="14">
        <f t="shared" si="87"/>
        <v>1.0064464192543978E-12</v>
      </c>
      <c r="Q94" s="22">
        <f t="shared" si="54"/>
        <v>1.8635787380168604E-12</v>
      </c>
      <c r="R94" s="62">
        <f t="shared" si="55"/>
        <v>293.33333333333519</v>
      </c>
      <c r="S94" s="62">
        <f ca="1">AVERAGE(OFFSET($R$3,0,0,'Données projet'!$E$9+1,1))-AVERAGE(OFFSET($H$3,0,0,'Données projet'!$E$9+1,1))</f>
        <v>247.87882458322304</v>
      </c>
      <c r="T94" s="62">
        <f t="shared" si="88"/>
        <v>318.46892604922397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1.9226149858315889</v>
      </c>
      <c r="AB94" s="23">
        <f>EXP(-LN(2)/2)*AB93+(1-EXP(-LN(2)/2))/(LN(2)/2)*V94*Y94*VLOOKUP('Données projet'!$B$9,Paramètres!$A$1:$I$89,3,0)*0.475*44/12</f>
        <v>2.1735994031606479E-9</v>
      </c>
      <c r="AC94" s="24">
        <f t="shared" si="57"/>
        <v>1.9226149880051882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3.4106051316484809E-13</v>
      </c>
      <c r="AJ94" s="14">
        <f>AI94*VLOOKUP('Données projet'!$B$10,Paramètres!$A$1:$I$89,3,0)*VLOOKUP('Données projet'!$B$10,Paramètres!$A$1:$I$89,5,0)</f>
        <v>2.9795046430081134E-13</v>
      </c>
      <c r="AK94" s="14">
        <f t="shared" si="89"/>
        <v>3.9419014464513778E-12</v>
      </c>
      <c r="AL94" s="22">
        <f t="shared" si="58"/>
        <v>7.384408744560063E-12</v>
      </c>
      <c r="AM94" s="62">
        <f t="shared" si="59"/>
        <v>293.3333333333407</v>
      </c>
      <c r="AN94" s="62">
        <f ca="1">AVERAGE(OFFSET($AM$3,0,0,'Données projet'!$E$10+1,1))-AVERAGE(OFFSET($H$3,0,0,'Données projet'!$E$10+1,1))</f>
        <v>179.7474263412401</v>
      </c>
      <c r="AO94" s="62">
        <f t="shared" si="90"/>
        <v>234.90106311484084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1.7752061345482359E-9</v>
      </c>
      <c r="AX94" s="23">
        <f t="shared" si="60"/>
        <v>1.7752061345482359E-9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51.427999999999933</v>
      </c>
      <c r="D95" s="12">
        <f t="shared" si="86"/>
        <v>14.981940313719656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512.63813575502843</v>
      </c>
      <c r="H95" s="70">
        <f t="shared" si="56"/>
        <v>408.9973127130616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6.3550942286383367E-14</v>
      </c>
      <c r="P95" s="14">
        <f t="shared" si="87"/>
        <v>1.0064464192543978E-12</v>
      </c>
      <c r="Q95" s="22">
        <f t="shared" si="54"/>
        <v>1.8635787380168604E-12</v>
      </c>
      <c r="R95" s="62">
        <f t="shared" si="55"/>
        <v>293.33333333333519</v>
      </c>
      <c r="S95" s="62">
        <f ca="1">AVERAGE(OFFSET($R$3,0,0,'Données projet'!$E$9+1,1))-AVERAGE(OFFSET($H$3,0,0,'Données projet'!$E$9+1,1))</f>
        <v>247.87882458322304</v>
      </c>
      <c r="T95" s="62">
        <f t="shared" si="88"/>
        <v>318.46892604922397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1.8700409779380962</v>
      </c>
      <c r="AB95" s="23">
        <f>EXP(-LN(2)/2)*AB94+(1-EXP(-LN(2)/2))/(LN(2)/2)*V95*Y95*VLOOKUP('Données projet'!$B$9,Paramètres!$A$1:$I$89,3,0)*0.475*44/12</f>
        <v>1.5369668775579265E-9</v>
      </c>
      <c r="AC95" s="24">
        <f t="shared" si="57"/>
        <v>1.870040979475063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3.4106051316484809E-13</v>
      </c>
      <c r="AJ95" s="14">
        <f>AI95*VLOOKUP('Données projet'!$B$10,Paramètres!$A$1:$I$89,3,0)*VLOOKUP('Données projet'!$B$10,Paramètres!$A$1:$I$89,5,0)</f>
        <v>2.9795046430081134E-13</v>
      </c>
      <c r="AK95" s="14">
        <f t="shared" si="89"/>
        <v>3.9419014464513778E-12</v>
      </c>
      <c r="AL95" s="22">
        <f t="shared" si="58"/>
        <v>7.384408744560063E-12</v>
      </c>
      <c r="AM95" s="62">
        <f t="shared" si="59"/>
        <v>293.3333333333407</v>
      </c>
      <c r="AN95" s="62">
        <f ca="1">AVERAGE(OFFSET($AM$3,0,0,'Données projet'!$E$10+1,1))-AVERAGE(OFFSET($H$3,0,0,'Données projet'!$E$10+1,1))</f>
        <v>179.7474263412401</v>
      </c>
      <c r="AO95" s="62">
        <f t="shared" si="90"/>
        <v>234.90106311484084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1.2552602957430163E-9</v>
      </c>
      <c r="AX95" s="23">
        <f t="shared" si="60"/>
        <v>1.2552602957430163E-9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51.986999999999931</v>
      </c>
      <c r="D96" s="12">
        <f t="shared" si="86"/>
        <v>15.125741418515025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518.06326709029088</v>
      </c>
      <c r="H96" s="70">
        <f t="shared" si="56"/>
        <v>410.22135797058019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6.3550942286383367E-14</v>
      </c>
      <c r="P96" s="14">
        <f t="shared" si="87"/>
        <v>1.0064464192543978E-12</v>
      </c>
      <c r="Q96" s="22">
        <f t="shared" si="54"/>
        <v>1.8635787380168604E-12</v>
      </c>
      <c r="R96" s="62">
        <f t="shared" si="55"/>
        <v>293.33333333333519</v>
      </c>
      <c r="S96" s="62">
        <f ca="1">AVERAGE(OFFSET($R$3,0,0,'Données projet'!$E$9+1,1))-AVERAGE(OFFSET($H$3,0,0,'Données projet'!$E$9+1,1))</f>
        <v>247.87882458322304</v>
      </c>
      <c r="T96" s="62">
        <f t="shared" si="88"/>
        <v>318.46892604922397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1.8189046090551979</v>
      </c>
      <c r="AB96" s="23">
        <f>EXP(-LN(2)/2)*AB95+(1-EXP(-LN(2)/2))/(LN(2)/2)*V96*Y96*VLOOKUP('Données projet'!$B$9,Paramètres!$A$1:$I$89,3,0)*0.475*44/12</f>
        <v>1.0867997015803239E-9</v>
      </c>
      <c r="AC96" s="24">
        <f t="shared" si="57"/>
        <v>1.8189046101419977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3.4106051316484809E-13</v>
      </c>
      <c r="AJ96" s="14">
        <f>AI96*VLOOKUP('Données projet'!$B$10,Paramètres!$A$1:$I$89,3,0)*VLOOKUP('Données projet'!$B$10,Paramètres!$A$1:$I$89,5,0)</f>
        <v>2.9795046430081134E-13</v>
      </c>
      <c r="AK96" s="14">
        <f t="shared" si="89"/>
        <v>3.9419014464513778E-12</v>
      </c>
      <c r="AL96" s="22">
        <f t="shared" si="58"/>
        <v>7.384408744560063E-12</v>
      </c>
      <c r="AM96" s="62">
        <f t="shared" si="59"/>
        <v>293.3333333333407</v>
      </c>
      <c r="AN96" s="62">
        <f ca="1">AVERAGE(OFFSET($AM$3,0,0,'Données projet'!$E$10+1,1))-AVERAGE(OFFSET($H$3,0,0,'Données projet'!$E$10+1,1))</f>
        <v>179.7474263412401</v>
      </c>
      <c r="AO96" s="62">
        <f t="shared" si="90"/>
        <v>234.90106311484084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8.8760306727411795E-10</v>
      </c>
      <c r="AX96" s="23">
        <f t="shared" si="60"/>
        <v>8.8760306727411795E-10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52.545999999999928</v>
      </c>
      <c r="D97" s="12">
        <f t="shared" si="86"/>
        <v>15.269362648914145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523.487009921442</v>
      </c>
      <c r="H97" s="70">
        <f t="shared" si="56"/>
        <v>411.44508994685867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6.3550942286383367E-14</v>
      </c>
      <c r="P97" s="14">
        <f t="shared" si="87"/>
        <v>1.0064464192543978E-12</v>
      </c>
      <c r="Q97" s="22">
        <f t="shared" si="54"/>
        <v>1.8635787380168604E-12</v>
      </c>
      <c r="R97" s="62">
        <f t="shared" si="55"/>
        <v>293.33333333333519</v>
      </c>
      <c r="S97" s="62">
        <f ca="1">AVERAGE(OFFSET($R$3,0,0,'Données projet'!$E$9+1,1))-AVERAGE(OFFSET($H$3,0,0,'Données projet'!$E$9+1,1))</f>
        <v>247.87882458322304</v>
      </c>
      <c r="T97" s="62">
        <f t="shared" si="88"/>
        <v>318.46892604922397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1.7691665668685472</v>
      </c>
      <c r="AB97" s="23">
        <f>EXP(-LN(2)/2)*AB96+(1-EXP(-LN(2)/2))/(LN(2)/2)*V97*Y97*VLOOKUP('Données projet'!$B$9,Paramètres!$A$1:$I$89,3,0)*0.475*44/12</f>
        <v>7.6848343877896327E-10</v>
      </c>
      <c r="AC97" s="24">
        <f t="shared" si="57"/>
        <v>1.7691665676370307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3.4106051316484809E-13</v>
      </c>
      <c r="AJ97" s="14">
        <f>AI97*VLOOKUP('Données projet'!$B$10,Paramètres!$A$1:$I$89,3,0)*VLOOKUP('Données projet'!$B$10,Paramètres!$A$1:$I$89,5,0)</f>
        <v>2.9795046430081134E-13</v>
      </c>
      <c r="AK97" s="14">
        <f t="shared" si="89"/>
        <v>3.9419014464513778E-12</v>
      </c>
      <c r="AL97" s="22">
        <f t="shared" si="58"/>
        <v>7.384408744560063E-12</v>
      </c>
      <c r="AM97" s="62">
        <f t="shared" si="59"/>
        <v>293.3333333333407</v>
      </c>
      <c r="AN97" s="62">
        <f ca="1">AVERAGE(OFFSET($AM$3,0,0,'Données projet'!$E$10+1,1))-AVERAGE(OFFSET($H$3,0,0,'Données projet'!$E$10+1,1))</f>
        <v>179.7474263412401</v>
      </c>
      <c r="AO97" s="62">
        <f t="shared" si="90"/>
        <v>234.90106311484084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6.2763014787150813E-10</v>
      </c>
      <c r="AX97" s="23">
        <f t="shared" si="60"/>
        <v>6.2763014787150813E-10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53.104999999999926</v>
      </c>
      <c r="D98" s="12">
        <f t="shared" si="86"/>
        <v>15.412806139971298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528.9093807296025</v>
      </c>
      <c r="H98" s="70">
        <f t="shared" si="56"/>
        <v>412.66851236044988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6.3550942286383367E-14</v>
      </c>
      <c r="P98" s="14">
        <f t="shared" si="87"/>
        <v>1.0064464192543978E-12</v>
      </c>
      <c r="Q98" s="22">
        <f t="shared" si="54"/>
        <v>1.8635787380168604E-12</v>
      </c>
      <c r="R98" s="62">
        <f t="shared" si="55"/>
        <v>293.33333333333519</v>
      </c>
      <c r="S98" s="62">
        <f ca="1">AVERAGE(OFFSET($R$3,0,0,'Données projet'!$E$9+1,1))-AVERAGE(OFFSET($H$3,0,0,'Données projet'!$E$9+1,1))</f>
        <v>247.87882458322304</v>
      </c>
      <c r="T98" s="62">
        <f t="shared" si="88"/>
        <v>318.46892604922397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1.7207886140611006</v>
      </c>
      <c r="AB98" s="23">
        <f>EXP(-LN(2)/2)*AB97+(1-EXP(-LN(2)/2))/(LN(2)/2)*V98*Y98*VLOOKUP('Données projet'!$B$9,Paramètres!$A$1:$I$89,3,0)*0.475*44/12</f>
        <v>5.4339985079016196E-10</v>
      </c>
      <c r="AC98" s="24">
        <f t="shared" si="57"/>
        <v>1.7207886146045004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3.4106051316484809E-13</v>
      </c>
      <c r="AJ98" s="14">
        <f>AI98*VLOOKUP('Données projet'!$B$10,Paramètres!$A$1:$I$89,3,0)*VLOOKUP('Données projet'!$B$10,Paramètres!$A$1:$I$89,5,0)</f>
        <v>2.9795046430081134E-13</v>
      </c>
      <c r="AK98" s="14">
        <f t="shared" si="89"/>
        <v>3.9419014464513778E-12</v>
      </c>
      <c r="AL98" s="22">
        <f t="shared" si="58"/>
        <v>7.384408744560063E-12</v>
      </c>
      <c r="AM98" s="62">
        <f t="shared" si="59"/>
        <v>293.3333333333407</v>
      </c>
      <c r="AN98" s="62">
        <f ca="1">AVERAGE(OFFSET($AM$3,0,0,'Données projet'!$E$10+1,1))-AVERAGE(OFFSET($H$3,0,0,'Données projet'!$E$10+1,1))</f>
        <v>179.7474263412401</v>
      </c>
      <c r="AO98" s="62">
        <f t="shared" si="90"/>
        <v>234.90106311484084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4.4380153363705897E-10</v>
      </c>
      <c r="AX98" s="23">
        <f t="shared" si="60"/>
        <v>4.4380153363705897E-10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53.663999999999923</v>
      </c>
      <c r="D99" s="12">
        <f t="shared" si="86"/>
        <v>15.556073979202761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534.33039562893293</v>
      </c>
      <c r="H99" s="70">
        <f t="shared" si="56"/>
        <v>413.89162884711129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6.3550942286383367E-14</v>
      </c>
      <c r="P99" s="14">
        <f t="shared" si="87"/>
        <v>1.0064464192543978E-12</v>
      </c>
      <c r="Q99" s="22">
        <f t="shared" ref="Q99:Q130" si="107">(O99+P99)*0.475*44/12</f>
        <v>1.8635787380168604E-12</v>
      </c>
      <c r="R99" s="62">
        <f t="shared" si="55"/>
        <v>293.33333333333519</v>
      </c>
      <c r="S99" s="62">
        <f ca="1">AVERAGE(OFFSET($R$3,0,0,'Données projet'!$E$9+1,1))-AVERAGE(OFFSET($H$3,0,0,'Données projet'!$E$9+1,1))</f>
        <v>247.87882458322304</v>
      </c>
      <c r="T99" s="62">
        <f t="shared" si="88"/>
        <v>318.46892604922397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1.6737335589172595</v>
      </c>
      <c r="AB99" s="23">
        <f>EXP(-LN(2)/2)*AB98+(1-EXP(-LN(2)/2))/(LN(2)/2)*V99*Y99*VLOOKUP('Données projet'!$B$9,Paramètres!$A$1:$I$89,3,0)*0.475*44/12</f>
        <v>3.8424171938948164E-10</v>
      </c>
      <c r="AC99" s="24">
        <f t="shared" si="57"/>
        <v>1.6737335593015013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3.4106051316484809E-13</v>
      </c>
      <c r="AJ99" s="14">
        <f>AI99*VLOOKUP('Données projet'!$B$10,Paramètres!$A$1:$I$89,3,0)*VLOOKUP('Données projet'!$B$10,Paramètres!$A$1:$I$89,5,0)</f>
        <v>2.9795046430081134E-13</v>
      </c>
      <c r="AK99" s="14">
        <f t="shared" si="89"/>
        <v>3.9419014464513778E-12</v>
      </c>
      <c r="AL99" s="22">
        <f t="shared" si="58"/>
        <v>7.384408744560063E-12</v>
      </c>
      <c r="AM99" s="62">
        <f t="shared" si="59"/>
        <v>293.3333333333407</v>
      </c>
      <c r="AN99" s="62">
        <f ca="1">AVERAGE(OFFSET($AM$3,0,0,'Données projet'!$E$10+1,1))-AVERAGE(OFFSET($H$3,0,0,'Données projet'!$E$10+1,1))</f>
        <v>179.7474263412401</v>
      </c>
      <c r="AO99" s="62">
        <f t="shared" si="90"/>
        <v>234.90106311484084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3.1381507393575407E-10</v>
      </c>
      <c r="AX99" s="23">
        <f t="shared" si="60"/>
        <v>3.1381507393575407E-10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54.222999999999921</v>
      </c>
      <c r="D100" s="12">
        <f t="shared" si="86"/>
        <v>15.699168208129208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539.75007037854073</v>
      </c>
      <c r="H100" s="70">
        <f t="shared" si="56"/>
        <v>415.11444296249152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6.3550942286383367E-14</v>
      </c>
      <c r="P100" s="14">
        <f t="shared" si="87"/>
        <v>1.0064464192543978E-12</v>
      </c>
      <c r="Q100" s="22">
        <f t="shared" si="107"/>
        <v>1.8635787380168604E-12</v>
      </c>
      <c r="R100" s="62">
        <f t="shared" si="55"/>
        <v>293.33333333333519</v>
      </c>
      <c r="S100" s="62">
        <f ca="1">AVERAGE(OFFSET($R$3,0,0,'Données projet'!$E$9+1,1))-AVERAGE(OFFSET($H$3,0,0,'Données projet'!$E$9+1,1))</f>
        <v>247.87882458322304</v>
      </c>
      <c r="T100" s="62">
        <f t="shared" si="88"/>
        <v>318.46892604922397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1.6279652267308447</v>
      </c>
      <c r="AB100" s="23">
        <f>EXP(-LN(2)/2)*AB99+(1-EXP(-LN(2)/2))/(LN(2)/2)*V100*Y100*VLOOKUP('Données projet'!$B$9,Paramètres!$A$1:$I$89,3,0)*0.475*44/12</f>
        <v>2.7169992539508098E-10</v>
      </c>
      <c r="AC100" s="24">
        <f t="shared" si="57"/>
        <v>1.6279652270025446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3.4106051316484809E-13</v>
      </c>
      <c r="AJ100" s="14">
        <f>AI100*VLOOKUP('Données projet'!$B$10,Paramètres!$A$1:$I$89,3,0)*VLOOKUP('Données projet'!$B$10,Paramètres!$A$1:$I$89,5,0)</f>
        <v>2.9795046430081134E-13</v>
      </c>
      <c r="AK100" s="14">
        <f t="shared" si="89"/>
        <v>3.9419014464513778E-12</v>
      </c>
      <c r="AL100" s="22">
        <f t="shared" si="58"/>
        <v>7.384408744560063E-12</v>
      </c>
      <c r="AM100" s="62">
        <f t="shared" si="59"/>
        <v>293.3333333333407</v>
      </c>
      <c r="AN100" s="62">
        <f ca="1">AVERAGE(OFFSET($AM$3,0,0,'Données projet'!$E$10+1,1))-AVERAGE(OFFSET($H$3,0,0,'Données projet'!$E$10+1,1))</f>
        <v>179.7474263412401</v>
      </c>
      <c r="AO100" s="62">
        <f t="shared" si="90"/>
        <v>234.90106311484084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2.2190076681852949E-10</v>
      </c>
      <c r="AX100" s="23">
        <f t="shared" si="60"/>
        <v>2.2190076681852949E-10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54.781999999999918</v>
      </c>
      <c r="D101" s="12">
        <f t="shared" si="86"/>
        <v>15.842090823752644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545.1684203938795</v>
      </c>
      <c r="H101" s="70">
        <f t="shared" si="56"/>
        <v>416.33695818470238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6.3550942286383367E-14</v>
      </c>
      <c r="P101" s="14">
        <f t="shared" si="87"/>
        <v>1.0064464192543978E-12</v>
      </c>
      <c r="Q101" s="22">
        <f t="shared" si="107"/>
        <v>1.8635787380168604E-12</v>
      </c>
      <c r="R101" s="62">
        <f t="shared" si="55"/>
        <v>293.33333333333519</v>
      </c>
      <c r="S101" s="62">
        <f ca="1">AVERAGE(OFFSET($R$3,0,0,'Données projet'!$E$9+1,1))-AVERAGE(OFFSET($H$3,0,0,'Données projet'!$E$9+1,1))</f>
        <v>247.87882458322304</v>
      </c>
      <c r="T101" s="62">
        <f t="shared" si="88"/>
        <v>318.46892604922397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1.5834484319949191</v>
      </c>
      <c r="AB101" s="23">
        <f>EXP(-LN(2)/2)*AB100+(1-EXP(-LN(2)/2))/(LN(2)/2)*V101*Y101*VLOOKUP('Données projet'!$B$9,Paramètres!$A$1:$I$89,3,0)*0.475*44/12</f>
        <v>1.9212085969474082E-10</v>
      </c>
      <c r="AC101" s="24">
        <f t="shared" si="57"/>
        <v>1.5834484321870399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3.4106051316484809E-13</v>
      </c>
      <c r="AJ101" s="14">
        <f>AI101*VLOOKUP('Données projet'!$B$10,Paramètres!$A$1:$I$89,3,0)*VLOOKUP('Données projet'!$B$10,Paramètres!$A$1:$I$89,5,0)</f>
        <v>2.9795046430081134E-13</v>
      </c>
      <c r="AK101" s="14">
        <f t="shared" si="89"/>
        <v>3.9419014464513778E-12</v>
      </c>
      <c r="AL101" s="22">
        <f t="shared" si="58"/>
        <v>7.384408744560063E-12</v>
      </c>
      <c r="AM101" s="62">
        <f t="shared" si="59"/>
        <v>293.3333333333407</v>
      </c>
      <c r="AN101" s="62">
        <f ca="1">AVERAGE(OFFSET($AM$3,0,0,'Données projet'!$E$10+1,1))-AVERAGE(OFFSET($H$3,0,0,'Données projet'!$E$10+1,1))</f>
        <v>179.7474263412401</v>
      </c>
      <c r="AO101" s="62">
        <f t="shared" si="90"/>
        <v>234.90106311484084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1.5690753696787703E-10</v>
      </c>
      <c r="AX101" s="23">
        <f t="shared" si="60"/>
        <v>1.5690753696787703E-10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55.340999999999916</v>
      </c>
      <c r="D102" s="12">
        <f t="shared" si="86"/>
        <v>15.984843779971341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550.58546075767288</v>
      </c>
      <c r="H102" s="70">
        <f t="shared" si="56"/>
        <v>417.55917791678326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6.3550942286383367E-14</v>
      </c>
      <c r="P102" s="14">
        <f t="shared" si="87"/>
        <v>1.0064464192543978E-12</v>
      </c>
      <c r="Q102" s="22">
        <f t="shared" si="107"/>
        <v>1.8635787380168604E-12</v>
      </c>
      <c r="R102" s="62">
        <f t="shared" si="55"/>
        <v>293.33333333333519</v>
      </c>
      <c r="S102" s="62">
        <f ca="1">AVERAGE(OFFSET($R$3,0,0,'Données projet'!$E$9+1,1))-AVERAGE(OFFSET($H$3,0,0,'Données projet'!$E$9+1,1))</f>
        <v>247.87882458322304</v>
      </c>
      <c r="T102" s="62">
        <f t="shared" si="88"/>
        <v>318.46892604922397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1.5401489513520841</v>
      </c>
      <c r="AB102" s="23">
        <f>EXP(-LN(2)/2)*AB101+(1-EXP(-LN(2)/2))/(LN(2)/2)*V102*Y102*VLOOKUP('Données projet'!$B$9,Paramètres!$A$1:$I$89,3,0)*0.475*44/12</f>
        <v>1.3584996269754049E-10</v>
      </c>
      <c r="AC102" s="24">
        <f t="shared" si="57"/>
        <v>1.5401489514879341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3.4106051316484809E-13</v>
      </c>
      <c r="AJ102" s="14">
        <f>AI102*VLOOKUP('Données projet'!$B$10,Paramètres!$A$1:$I$89,3,0)*VLOOKUP('Données projet'!$B$10,Paramètres!$A$1:$I$89,5,0)</f>
        <v>2.9795046430081134E-13</v>
      </c>
      <c r="AK102" s="14">
        <f t="shared" si="89"/>
        <v>3.9419014464513778E-12</v>
      </c>
      <c r="AL102" s="22">
        <f t="shared" si="58"/>
        <v>7.384408744560063E-12</v>
      </c>
      <c r="AM102" s="62">
        <f t="shared" si="59"/>
        <v>293.3333333333407</v>
      </c>
      <c r="AN102" s="62">
        <f ca="1">AVERAGE(OFFSET($AM$3,0,0,'Données projet'!$E$10+1,1))-AVERAGE(OFFSET($H$3,0,0,'Données projet'!$E$10+1,1))</f>
        <v>179.7474263412401</v>
      </c>
      <c r="AO102" s="62">
        <f t="shared" si="90"/>
        <v>234.90106311484084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1.1095038340926474E-10</v>
      </c>
      <c r="AX102" s="23">
        <f t="shared" si="60"/>
        <v>1.1095038340926474E-10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55.899999999999913</v>
      </c>
      <c r="D103" s="12">
        <f t="shared" si="86"/>
        <v>16.127428988936046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556.00120623038276</v>
      </c>
      <c r="H103" s="70">
        <f t="shared" si="56"/>
        <v>418.78110548906341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6.3550942286383367E-14</v>
      </c>
      <c r="P103" s="14">
        <f t="shared" si="87"/>
        <v>1.0064464192543978E-12</v>
      </c>
      <c r="Q103" s="22">
        <f t="shared" si="107"/>
        <v>1.8635787380168604E-12</v>
      </c>
      <c r="R103" s="62">
        <f t="shared" si="55"/>
        <v>293.33333333333519</v>
      </c>
      <c r="S103" s="62">
        <f ca="1">AVERAGE(OFFSET($R$3,0,0,'Données projet'!$E$9+1,1))-AVERAGE(OFFSET($H$3,0,0,'Données projet'!$E$9+1,1))</f>
        <v>247.87882458322304</v>
      </c>
      <c r="T103" s="62">
        <f t="shared" si="88"/>
        <v>318.46892604922397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1.498033497284448</v>
      </c>
      <c r="AB103" s="23">
        <f>EXP(-LN(2)/2)*AB102+(1-EXP(-LN(2)/2))/(LN(2)/2)*V103*Y103*VLOOKUP('Données projet'!$B$9,Paramètres!$A$1:$I$89,3,0)*0.475*44/12</f>
        <v>9.6060429847370409E-11</v>
      </c>
      <c r="AC103" s="24">
        <f t="shared" si="57"/>
        <v>1.4980334973805085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3.4106051316484809E-13</v>
      </c>
      <c r="AJ103" s="14">
        <f>AI103*VLOOKUP('Données projet'!$B$10,Paramètres!$A$1:$I$89,3,0)*VLOOKUP('Données projet'!$B$10,Paramètres!$A$1:$I$89,5,0)</f>
        <v>2.9795046430081134E-13</v>
      </c>
      <c r="AK103" s="14">
        <f t="shared" si="89"/>
        <v>3.9419014464513778E-12</v>
      </c>
      <c r="AL103" s="22">
        <f t="shared" si="58"/>
        <v>7.384408744560063E-12</v>
      </c>
      <c r="AM103" s="62">
        <f t="shared" si="59"/>
        <v>293.3333333333407</v>
      </c>
      <c r="AN103" s="62">
        <f ca="1">AVERAGE(OFFSET($AM$3,0,0,'Données projet'!$E$10+1,1))-AVERAGE(OFFSET($H$3,0,0,'Données projet'!$E$10+1,1))</f>
        <v>179.7474263412401</v>
      </c>
      <c r="AO103" s="62">
        <f t="shared" si="90"/>
        <v>234.90106311484084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7.8453768483938516E-11</v>
      </c>
      <c r="AX103" s="23">
        <f t="shared" si="60"/>
        <v>7.8453768483938516E-11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56.458999999999911</v>
      </c>
      <c r="D104" s="12">
        <f t="shared" si="86"/>
        <v>16.269848322350242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561.41567126024688</v>
      </c>
      <c r="H104" s="70">
        <f t="shared" si="56"/>
        <v>420.00274416142651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6.3550942286383367E-14</v>
      </c>
      <c r="P104" s="14">
        <f t="shared" si="87"/>
        <v>1.0064464192543978E-12</v>
      </c>
      <c r="Q104" s="22">
        <f t="shared" si="107"/>
        <v>1.8635787380168604E-12</v>
      </c>
      <c r="R104" s="62">
        <f t="shared" si="55"/>
        <v>293.33333333333519</v>
      </c>
      <c r="S104" s="62">
        <f ca="1">AVERAGE(OFFSET($R$3,0,0,'Données projet'!$E$9+1,1))-AVERAGE(OFFSET($H$3,0,0,'Données projet'!$E$9+1,1))</f>
        <v>247.87882458322304</v>
      </c>
      <c r="T104" s="62">
        <f t="shared" si="88"/>
        <v>318.46892604922397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1.4570696925230469</v>
      </c>
      <c r="AB104" s="23">
        <f>EXP(-LN(2)/2)*AB103+(1-EXP(-LN(2)/2))/(LN(2)/2)*V104*Y104*VLOOKUP('Données projet'!$B$9,Paramètres!$A$1:$I$89,3,0)*0.475*44/12</f>
        <v>6.7924981348770245E-11</v>
      </c>
      <c r="AC104" s="24">
        <f t="shared" si="57"/>
        <v>1.4570696925909719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3.4106051316484809E-13</v>
      </c>
      <c r="AJ104" s="14">
        <f>AI104*VLOOKUP('Données projet'!$B$10,Paramètres!$A$1:$I$89,3,0)*VLOOKUP('Données projet'!$B$10,Paramètres!$A$1:$I$89,5,0)</f>
        <v>2.9795046430081134E-13</v>
      </c>
      <c r="AK104" s="14">
        <f t="shared" si="89"/>
        <v>3.9419014464513778E-12</v>
      </c>
      <c r="AL104" s="22">
        <f t="shared" si="58"/>
        <v>7.384408744560063E-12</v>
      </c>
      <c r="AM104" s="62">
        <f t="shared" si="59"/>
        <v>293.3333333333407</v>
      </c>
      <c r="AN104" s="62">
        <f ca="1">AVERAGE(OFFSET($AM$3,0,0,'Données projet'!$E$10+1,1))-AVERAGE(OFFSET($H$3,0,0,'Données projet'!$E$10+1,1))</f>
        <v>179.7474263412401</v>
      </c>
      <c r="AO104" s="62">
        <f t="shared" si="90"/>
        <v>234.90106311484084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5.5475191704632372E-11</v>
      </c>
      <c r="AX104" s="23">
        <f t="shared" si="60"/>
        <v>5.5475191704632372E-11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57.017999999999908</v>
      </c>
      <c r="D105" s="12">
        <f t="shared" si="86"/>
        <v>16.412103612717605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566.82886999290713</v>
      </c>
      <c r="H105" s="70">
        <f t="shared" si="56"/>
        <v>421.22409712548301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6.3550942286383367E-14</v>
      </c>
      <c r="P105" s="14">
        <f t="shared" si="87"/>
        <v>1.0064464192543978E-12</v>
      </c>
      <c r="Q105" s="22">
        <f t="shared" si="107"/>
        <v>1.8635787380168604E-12</v>
      </c>
      <c r="R105" s="62">
        <f t="shared" si="55"/>
        <v>293.33333333333519</v>
      </c>
      <c r="S105" s="62">
        <f ca="1">AVERAGE(OFFSET($R$3,0,0,'Données projet'!$E$9+1,1))-AVERAGE(OFFSET($H$3,0,0,'Données projet'!$E$9+1,1))</f>
        <v>247.87882458322304</v>
      </c>
      <c r="T105" s="62">
        <f t="shared" si="88"/>
        <v>318.46892604922397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1.4172260451570391</v>
      </c>
      <c r="AB105" s="23">
        <f>EXP(-LN(2)/2)*AB104+(1-EXP(-LN(2)/2))/(LN(2)/2)*V105*Y105*VLOOKUP('Données projet'!$B$9,Paramètres!$A$1:$I$89,3,0)*0.475*44/12</f>
        <v>4.8030214923685204E-11</v>
      </c>
      <c r="AC105" s="24">
        <f t="shared" si="57"/>
        <v>1.4172260452050693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3.4106051316484809E-13</v>
      </c>
      <c r="AJ105" s="14">
        <f>AI105*VLOOKUP('Données projet'!$B$10,Paramètres!$A$1:$I$89,3,0)*VLOOKUP('Données projet'!$B$10,Paramètres!$A$1:$I$89,5,0)</f>
        <v>2.9795046430081134E-13</v>
      </c>
      <c r="AK105" s="14">
        <f t="shared" si="89"/>
        <v>3.9419014464513778E-12</v>
      </c>
      <c r="AL105" s="22">
        <f t="shared" si="58"/>
        <v>7.384408744560063E-12</v>
      </c>
      <c r="AM105" s="62">
        <f t="shared" si="59"/>
        <v>293.3333333333407</v>
      </c>
      <c r="AN105" s="62">
        <f ca="1">AVERAGE(OFFSET($AM$3,0,0,'Données projet'!$E$10+1,1))-AVERAGE(OFFSET($H$3,0,0,'Données projet'!$E$10+1,1))</f>
        <v>179.7474263412401</v>
      </c>
      <c r="AO105" s="62">
        <f t="shared" si="90"/>
        <v>234.90106311484084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3.9226884241969258E-11</v>
      </c>
      <c r="AX105" s="23">
        <f t="shared" si="60"/>
        <v>3.9226884241969258E-11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57.576999999999906</v>
      </c>
      <c r="D106" s="12">
        <f t="shared" si="86"/>
        <v>16.554196654539041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572.24081628065153</v>
      </c>
      <c r="H106" s="70">
        <f t="shared" si="56"/>
        <v>422.44516750665525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6.3550942286383367E-14</v>
      </c>
      <c r="P106" s="14">
        <f t="shared" si="87"/>
        <v>1.0064464192543978E-12</v>
      </c>
      <c r="Q106" s="22">
        <f t="shared" si="107"/>
        <v>1.8635787380168604E-12</v>
      </c>
      <c r="R106" s="62">
        <f t="shared" si="55"/>
        <v>293.33333333333519</v>
      </c>
      <c r="S106" s="62">
        <f ca="1">AVERAGE(OFFSET($R$3,0,0,'Données projet'!$E$9+1,1))-AVERAGE(OFFSET($H$3,0,0,'Données projet'!$E$9+1,1))</f>
        <v>247.87882458322304</v>
      </c>
      <c r="T106" s="62">
        <f t="shared" si="88"/>
        <v>318.46892604922397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1.3784719244235413</v>
      </c>
      <c r="AB106" s="23">
        <f>EXP(-LN(2)/2)*AB105+(1-EXP(-LN(2)/2))/(LN(2)/2)*V106*Y106*VLOOKUP('Données projet'!$B$9,Paramètres!$A$1:$I$89,3,0)*0.475*44/12</f>
        <v>3.3962490674385123E-11</v>
      </c>
      <c r="AC106" s="24">
        <f t="shared" si="57"/>
        <v>1.3784719244575037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3.4106051316484809E-13</v>
      </c>
      <c r="AJ106" s="14">
        <f>AI106*VLOOKUP('Données projet'!$B$10,Paramètres!$A$1:$I$89,3,0)*VLOOKUP('Données projet'!$B$10,Paramètres!$A$1:$I$89,5,0)</f>
        <v>2.9795046430081134E-13</v>
      </c>
      <c r="AK106" s="14">
        <f t="shared" si="89"/>
        <v>3.9419014464513778E-12</v>
      </c>
      <c r="AL106" s="22">
        <f t="shared" si="58"/>
        <v>7.384408744560063E-12</v>
      </c>
      <c r="AM106" s="62">
        <f t="shared" si="59"/>
        <v>293.3333333333407</v>
      </c>
      <c r="AN106" s="62">
        <f ca="1">AVERAGE(OFFSET($AM$3,0,0,'Données projet'!$E$10+1,1))-AVERAGE(OFFSET($H$3,0,0,'Données projet'!$E$10+1,1))</f>
        <v>179.7474263412401</v>
      </c>
      <c r="AO106" s="62">
        <f t="shared" si="90"/>
        <v>234.90106311484084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2.7737595852316186E-11</v>
      </c>
      <c r="AX106" s="23">
        <f t="shared" si="60"/>
        <v>2.7737595852316186E-11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58.135999999999903</v>
      </c>
      <c r="D107" s="12">
        <f t="shared" si="86"/>
        <v>16.696129205461904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577.65152369128418</v>
      </c>
      <c r="H107" s="70">
        <f t="shared" si="56"/>
        <v>423.66595836617932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6.3550942286383367E-14</v>
      </c>
      <c r="P107" s="14">
        <f t="shared" si="87"/>
        <v>1.0064464192543978E-12</v>
      </c>
      <c r="Q107" s="22">
        <f t="shared" si="107"/>
        <v>1.8635787380168604E-12</v>
      </c>
      <c r="R107" s="62">
        <f t="shared" si="55"/>
        <v>293.33333333333519</v>
      </c>
      <c r="S107" s="62">
        <f ca="1">AVERAGE(OFFSET($R$3,0,0,'Données projet'!$E$9+1,1))-AVERAGE(OFFSET($H$3,0,0,'Données projet'!$E$9+1,1))</f>
        <v>247.87882458322304</v>
      </c>
      <c r="T107" s="62">
        <f t="shared" si="88"/>
        <v>318.46892604922397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1.3407775371594917</v>
      </c>
      <c r="AB107" s="23">
        <f>EXP(-LN(2)/2)*AB106+(1-EXP(-LN(2)/2))/(LN(2)/2)*V107*Y107*VLOOKUP('Données projet'!$B$9,Paramètres!$A$1:$I$89,3,0)*0.475*44/12</f>
        <v>2.4015107461842602E-11</v>
      </c>
      <c r="AC107" s="24">
        <f t="shared" si="57"/>
        <v>1.3407775371835067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3.4106051316484809E-13</v>
      </c>
      <c r="AJ107" s="14">
        <f>AI107*VLOOKUP('Données projet'!$B$10,Paramètres!$A$1:$I$89,3,0)*VLOOKUP('Données projet'!$B$10,Paramètres!$A$1:$I$89,5,0)</f>
        <v>2.9795046430081134E-13</v>
      </c>
      <c r="AK107" s="14">
        <f t="shared" si="89"/>
        <v>3.9419014464513778E-12</v>
      </c>
      <c r="AL107" s="22">
        <f t="shared" si="58"/>
        <v>7.384408744560063E-12</v>
      </c>
      <c r="AM107" s="62">
        <f t="shared" si="59"/>
        <v>293.3333333333407</v>
      </c>
      <c r="AN107" s="62">
        <f ca="1">AVERAGE(OFFSET($AM$3,0,0,'Données projet'!$E$10+1,1))-AVERAGE(OFFSET($H$3,0,0,'Données projet'!$E$10+1,1))</f>
        <v>179.7474263412401</v>
      </c>
      <c r="AO107" s="62">
        <f t="shared" si="90"/>
        <v>234.90106311484084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1.9613442120984629E-11</v>
      </c>
      <c r="AX107" s="23">
        <f t="shared" si="60"/>
        <v>1.9613442120984629E-11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58.694999999999901</v>
      </c>
      <c r="D108" s="12">
        <f t="shared" si="86"/>
        <v>16.837902987383803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583.06100551664622</v>
      </c>
      <c r="H108" s="70">
        <f t="shared" si="56"/>
        <v>424.88647270302658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6.3550942286383367E-14</v>
      </c>
      <c r="P108" s="14">
        <f t="shared" si="87"/>
        <v>1.0064464192543978E-12</v>
      </c>
      <c r="Q108" s="22">
        <f t="shared" si="107"/>
        <v>1.8635787380168604E-12</v>
      </c>
      <c r="R108" s="62">
        <f t="shared" si="55"/>
        <v>293.33333333333519</v>
      </c>
      <c r="S108" s="62">
        <f ca="1">AVERAGE(OFFSET($R$3,0,0,'Données projet'!$E$9+1,1))-AVERAGE(OFFSET($H$3,0,0,'Données projet'!$E$9+1,1))</f>
        <v>247.87882458322304</v>
      </c>
      <c r="T108" s="62">
        <f t="shared" si="88"/>
        <v>318.46892604922397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1.3041139048974391</v>
      </c>
      <c r="AB108" s="23">
        <f>EXP(-LN(2)/2)*AB107+(1-EXP(-LN(2)/2))/(LN(2)/2)*V108*Y108*VLOOKUP('Données projet'!$B$9,Paramètres!$A$1:$I$89,3,0)*0.475*44/12</f>
        <v>1.6981245337192561E-11</v>
      </c>
      <c r="AC108" s="24">
        <f t="shared" si="57"/>
        <v>1.3041139049144204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3.4106051316484809E-13</v>
      </c>
      <c r="AJ108" s="14">
        <f>AI108*VLOOKUP('Données projet'!$B$10,Paramètres!$A$1:$I$89,3,0)*VLOOKUP('Données projet'!$B$10,Paramètres!$A$1:$I$89,5,0)</f>
        <v>2.9795046430081134E-13</v>
      </c>
      <c r="AK108" s="14">
        <f t="shared" si="89"/>
        <v>3.9419014464513778E-12</v>
      </c>
      <c r="AL108" s="22">
        <f t="shared" si="58"/>
        <v>7.384408744560063E-12</v>
      </c>
      <c r="AM108" s="62">
        <f t="shared" si="59"/>
        <v>293.3333333333407</v>
      </c>
      <c r="AN108" s="62">
        <f ca="1">AVERAGE(OFFSET($AM$3,0,0,'Données projet'!$E$10+1,1))-AVERAGE(OFFSET($H$3,0,0,'Données projet'!$E$10+1,1))</f>
        <v>179.7474263412401</v>
      </c>
      <c r="AO108" s="62">
        <f t="shared" si="90"/>
        <v>234.90106311484084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1.3868797926158093E-11</v>
      </c>
      <c r="AX108" s="23">
        <f t="shared" si="60"/>
        <v>1.3868797926158093E-11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59.253999999999898</v>
      </c>
      <c r="D109" s="12">
        <f t="shared" si="86"/>
        <v>16.97951968751314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588.46927478080249</v>
      </c>
      <c r="H109" s="70">
        <f t="shared" si="56"/>
        <v>426.10671345575184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6.3550942286383367E-14</v>
      </c>
      <c r="P109" s="14">
        <f t="shared" si="87"/>
        <v>1.0064464192543978E-12</v>
      </c>
      <c r="Q109" s="22">
        <f t="shared" si="107"/>
        <v>1.8635787380168604E-12</v>
      </c>
      <c r="R109" s="62">
        <f t="shared" si="55"/>
        <v>293.33333333333519</v>
      </c>
      <c r="S109" s="62">
        <f ca="1">AVERAGE(OFFSET($R$3,0,0,'Données projet'!$E$9+1,1))-AVERAGE(OFFSET($H$3,0,0,'Données projet'!$E$9+1,1))</f>
        <v>247.87882458322304</v>
      </c>
      <c r="T109" s="62">
        <f t="shared" si="88"/>
        <v>318.46892604922397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1.2684528415876488</v>
      </c>
      <c r="AB109" s="23">
        <f>EXP(-LN(2)/2)*AB108+(1-EXP(-LN(2)/2))/(LN(2)/2)*V109*Y109*VLOOKUP('Données projet'!$B$9,Paramètres!$A$1:$I$89,3,0)*0.475*44/12</f>
        <v>1.2007553730921301E-11</v>
      </c>
      <c r="AC109" s="24">
        <f t="shared" si="57"/>
        <v>1.2684528415996563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3.4106051316484809E-13</v>
      </c>
      <c r="AJ109" s="14">
        <f>AI109*VLOOKUP('Données projet'!$B$10,Paramètres!$A$1:$I$89,3,0)*VLOOKUP('Données projet'!$B$10,Paramètres!$A$1:$I$89,5,0)</f>
        <v>2.9795046430081134E-13</v>
      </c>
      <c r="AK109" s="14">
        <f t="shared" si="89"/>
        <v>3.9419014464513778E-12</v>
      </c>
      <c r="AL109" s="22">
        <f t="shared" si="58"/>
        <v>7.384408744560063E-12</v>
      </c>
      <c r="AM109" s="62">
        <f t="shared" si="59"/>
        <v>293.3333333333407</v>
      </c>
      <c r="AN109" s="62">
        <f ca="1">AVERAGE(OFFSET($AM$3,0,0,'Données projet'!$E$10+1,1))-AVERAGE(OFFSET($H$3,0,0,'Données projet'!$E$10+1,1))</f>
        <v>179.7474263412401</v>
      </c>
      <c r="AO109" s="62">
        <f t="shared" si="90"/>
        <v>234.90106311484084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9.8067210604923146E-12</v>
      </c>
      <c r="AX109" s="23">
        <f t="shared" si="60"/>
        <v>9.8067210604923146E-12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59.812999999999896</v>
      </c>
      <c r="D110" s="12">
        <f t="shared" si="86"/>
        <v>17.12098095938844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593.87634424790997</v>
      </c>
      <c r="H110" s="70">
        <f t="shared" si="56"/>
        <v>427.32668350426798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6.3550942286383367E-14</v>
      </c>
      <c r="P110" s="14">
        <f t="shared" si="87"/>
        <v>1.0064464192543978E-12</v>
      </c>
      <c r="Q110" s="22">
        <f t="shared" si="107"/>
        <v>1.8635787380168604E-12</v>
      </c>
      <c r="R110" s="62">
        <f t="shared" si="55"/>
        <v>293.33333333333519</v>
      </c>
      <c r="S110" s="62">
        <f ca="1">AVERAGE(OFFSET($R$3,0,0,'Données projet'!$E$9+1,1))-AVERAGE(OFFSET($H$3,0,0,'Données projet'!$E$9+1,1))</f>
        <v>247.87882458322304</v>
      </c>
      <c r="T110" s="62">
        <f t="shared" si="88"/>
        <v>318.46892604922397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1.2337669319293987</v>
      </c>
      <c r="AB110" s="23">
        <f>EXP(-LN(2)/2)*AB109+(1-EXP(-LN(2)/2))/(LN(2)/2)*V110*Y110*VLOOKUP('Données projet'!$B$9,Paramètres!$A$1:$I$89,3,0)*0.475*44/12</f>
        <v>8.4906226685962807E-12</v>
      </c>
      <c r="AC110" s="24">
        <f t="shared" si="57"/>
        <v>1.2337669319378892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3.4106051316484809E-13</v>
      </c>
      <c r="AJ110" s="14">
        <f>AI110*VLOOKUP('Données projet'!$B$10,Paramètres!$A$1:$I$89,3,0)*VLOOKUP('Données projet'!$B$10,Paramètres!$A$1:$I$89,5,0)</f>
        <v>2.9795046430081134E-13</v>
      </c>
      <c r="AK110" s="14">
        <f t="shared" si="89"/>
        <v>3.9419014464513778E-12</v>
      </c>
      <c r="AL110" s="22">
        <f t="shared" si="58"/>
        <v>7.384408744560063E-12</v>
      </c>
      <c r="AM110" s="62">
        <f t="shared" si="59"/>
        <v>293.3333333333407</v>
      </c>
      <c r="AN110" s="62">
        <f ca="1">AVERAGE(OFFSET($AM$3,0,0,'Données projet'!$E$10+1,1))-AVERAGE(OFFSET($H$3,0,0,'Données projet'!$E$10+1,1))</f>
        <v>179.7474263412401</v>
      </c>
      <c r="AO110" s="62">
        <f t="shared" si="90"/>
        <v>234.90106311484084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6.9343989630790464E-12</v>
      </c>
      <c r="AX110" s="23">
        <f t="shared" si="60"/>
        <v>6.9343989630790464E-12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60.371999999999893</v>
      </c>
      <c r="D111" s="12">
        <f t="shared" si="86"/>
        <v>17.26228842385855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599.28222642978437</v>
      </c>
      <c r="H111" s="70">
        <f t="shared" si="56"/>
        <v>428.54638567155342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6.3550942286383367E-14</v>
      </c>
      <c r="P111" s="14">
        <f t="shared" si="87"/>
        <v>1.0064464192543978E-12</v>
      </c>
      <c r="Q111" s="22">
        <f t="shared" si="107"/>
        <v>1.8635787380168604E-12</v>
      </c>
      <c r="R111" s="62">
        <f t="shared" si="55"/>
        <v>293.33333333333519</v>
      </c>
      <c r="S111" s="62">
        <f ca="1">AVERAGE(OFFSET($R$3,0,0,'Données projet'!$E$9+1,1))-AVERAGE(OFFSET($H$3,0,0,'Données projet'!$E$9+1,1))</f>
        <v>247.87882458322304</v>
      </c>
      <c r="T111" s="62">
        <f t="shared" si="88"/>
        <v>318.46892604922397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1.2000295102948062</v>
      </c>
      <c r="AB111" s="23">
        <f>EXP(-LN(2)/2)*AB110+(1-EXP(-LN(2)/2))/(LN(2)/2)*V111*Y111*VLOOKUP('Données projet'!$B$9,Paramètres!$A$1:$I$89,3,0)*0.475*44/12</f>
        <v>6.0037768654606506E-12</v>
      </c>
      <c r="AC111" s="24">
        <f t="shared" si="57"/>
        <v>1.2000295103008101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3.4106051316484809E-13</v>
      </c>
      <c r="AJ111" s="14">
        <f>AI111*VLOOKUP('Données projet'!$B$10,Paramètres!$A$1:$I$89,3,0)*VLOOKUP('Données projet'!$B$10,Paramètres!$A$1:$I$89,5,0)</f>
        <v>2.9795046430081134E-13</v>
      </c>
      <c r="AK111" s="14">
        <f t="shared" si="89"/>
        <v>3.9419014464513778E-12</v>
      </c>
      <c r="AL111" s="22">
        <f t="shared" si="58"/>
        <v>7.384408744560063E-12</v>
      </c>
      <c r="AM111" s="62">
        <f t="shared" si="59"/>
        <v>293.3333333333407</v>
      </c>
      <c r="AN111" s="62">
        <f ca="1">AVERAGE(OFFSET($AM$3,0,0,'Données projet'!$E$10+1,1))-AVERAGE(OFFSET($H$3,0,0,'Données projet'!$E$10+1,1))</f>
        <v>179.7474263412401</v>
      </c>
      <c r="AO111" s="62">
        <f t="shared" si="90"/>
        <v>234.90106311484084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4.9033605302461573E-12</v>
      </c>
      <c r="AX111" s="23">
        <f t="shared" si="60"/>
        <v>4.9033605302461573E-12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60.930999999999891</v>
      </c>
      <c r="D112" s="12">
        <f t="shared" si="86"/>
        <v>17.403443670025414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604.68693359317786</v>
      </c>
      <c r="H112" s="70">
        <f t="shared" si="56"/>
        <v>429.76582272529407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6.3550942286383367E-14</v>
      </c>
      <c r="P112" s="14">
        <f t="shared" si="87"/>
        <v>1.0064464192543978E-12</v>
      </c>
      <c r="Q112" s="22">
        <f t="shared" si="107"/>
        <v>1.8635787380168604E-12</v>
      </c>
      <c r="R112" s="62">
        <f t="shared" si="55"/>
        <v>293.33333333333519</v>
      </c>
      <c r="S112" s="62">
        <f ca="1">AVERAGE(OFFSET($R$3,0,0,'Données projet'!$E$9+1,1))-AVERAGE(OFFSET($H$3,0,0,'Données projet'!$E$9+1,1))</f>
        <v>247.87882458322304</v>
      </c>
      <c r="T112" s="62">
        <f t="shared" si="88"/>
        <v>318.46892604922397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1.1672146402289856</v>
      </c>
      <c r="AB112" s="23">
        <f>EXP(-LN(2)/2)*AB111+(1-EXP(-LN(2)/2))/(LN(2)/2)*V112*Y112*VLOOKUP('Données projet'!$B$9,Paramètres!$A$1:$I$89,3,0)*0.475*44/12</f>
        <v>4.2453113342981403E-12</v>
      </c>
      <c r="AC112" s="24">
        <f t="shared" si="57"/>
        <v>1.1672146402332308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3.4106051316484809E-13</v>
      </c>
      <c r="AJ112" s="14">
        <f>AI112*VLOOKUP('Données projet'!$B$10,Paramètres!$A$1:$I$89,3,0)*VLOOKUP('Données projet'!$B$10,Paramètres!$A$1:$I$89,5,0)</f>
        <v>2.9795046430081134E-13</v>
      </c>
      <c r="AK112" s="14">
        <f t="shared" si="89"/>
        <v>3.9419014464513778E-12</v>
      </c>
      <c r="AL112" s="22">
        <f t="shared" si="58"/>
        <v>7.384408744560063E-12</v>
      </c>
      <c r="AM112" s="62">
        <f t="shared" si="59"/>
        <v>293.3333333333407</v>
      </c>
      <c r="AN112" s="62">
        <f ca="1">AVERAGE(OFFSET($AM$3,0,0,'Données projet'!$E$10+1,1))-AVERAGE(OFFSET($H$3,0,0,'Données projet'!$E$10+1,1))</f>
        <v>179.7474263412401</v>
      </c>
      <c r="AO112" s="62">
        <f t="shared" si="90"/>
        <v>234.90106311484084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3.4671994815395232E-12</v>
      </c>
      <c r="AX112" s="23">
        <f t="shared" si="60"/>
        <v>3.4671994815395232E-12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61.489999999999888</v>
      </c>
      <c r="D113" s="12">
        <f t="shared" si="86"/>
        <v>17.544448256151377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610.09047776678176</v>
      </c>
      <c r="H113" s="70">
        <f t="shared" si="56"/>
        <v>430.98499737946338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6.3550942286383367E-14</v>
      </c>
      <c r="P113" s="14">
        <f t="shared" si="87"/>
        <v>1.0064464192543978E-12</v>
      </c>
      <c r="Q113" s="22">
        <f t="shared" si="107"/>
        <v>1.8635787380168604E-12</v>
      </c>
      <c r="R113" s="62">
        <f t="shared" si="55"/>
        <v>293.33333333333519</v>
      </c>
      <c r="S113" s="62">
        <f ca="1">AVERAGE(OFFSET($R$3,0,0,'Données projet'!$E$9+1,1))-AVERAGE(OFFSET($H$3,0,0,'Données projet'!$E$9+1,1))</f>
        <v>247.87882458322304</v>
      </c>
      <c r="T113" s="62">
        <f t="shared" si="88"/>
        <v>318.46892604922397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1.1352970945107737</v>
      </c>
      <c r="AB113" s="23">
        <f>EXP(-LN(2)/2)*AB112+(1-EXP(-LN(2)/2))/(LN(2)/2)*V113*Y113*VLOOKUP('Données projet'!$B$9,Paramètres!$A$1:$I$89,3,0)*0.475*44/12</f>
        <v>3.0018884327303253E-12</v>
      </c>
      <c r="AC113" s="24">
        <f t="shared" si="57"/>
        <v>1.1352970945137755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3.4106051316484809E-13</v>
      </c>
      <c r="AJ113" s="14">
        <f>AI113*VLOOKUP('Données projet'!$B$10,Paramètres!$A$1:$I$89,3,0)*VLOOKUP('Données projet'!$B$10,Paramètres!$A$1:$I$89,5,0)</f>
        <v>2.9795046430081134E-13</v>
      </c>
      <c r="AK113" s="14">
        <f t="shared" si="89"/>
        <v>3.9419014464513778E-12</v>
      </c>
      <c r="AL113" s="22">
        <f t="shared" si="58"/>
        <v>7.384408744560063E-12</v>
      </c>
      <c r="AM113" s="62">
        <f t="shared" si="59"/>
        <v>293.3333333333407</v>
      </c>
      <c r="AN113" s="62">
        <f ca="1">AVERAGE(OFFSET($AM$3,0,0,'Données projet'!$E$10+1,1))-AVERAGE(OFFSET($H$3,0,0,'Données projet'!$E$10+1,1))</f>
        <v>179.7474263412401</v>
      </c>
      <c r="AO113" s="62">
        <f t="shared" si="90"/>
        <v>234.90106311484084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2.4516802651230786E-12</v>
      </c>
      <c r="AX113" s="23">
        <f t="shared" si="60"/>
        <v>2.4516802651230786E-12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62.048999999999886</v>
      </c>
      <c r="D114" s="12">
        <f t="shared" si="86"/>
        <v>17.685303710532441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615.49287074796894</v>
      </c>
      <c r="H114" s="70">
        <f t="shared" si="56"/>
        <v>432.20391229584379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6.3550942286383367E-14</v>
      </c>
      <c r="P114" s="14">
        <f t="shared" si="87"/>
        <v>1.0064464192543978E-12</v>
      </c>
      <c r="Q114" s="22">
        <f t="shared" si="107"/>
        <v>1.8635787380168604E-12</v>
      </c>
      <c r="R114" s="62">
        <f t="shared" si="55"/>
        <v>293.33333333333519</v>
      </c>
      <c r="S114" s="62">
        <f ca="1">AVERAGE(OFFSET($R$3,0,0,'Données projet'!$E$9+1,1))-AVERAGE(OFFSET($H$3,0,0,'Données projet'!$E$9+1,1))</f>
        <v>247.87882458322304</v>
      </c>
      <c r="T114" s="62">
        <f t="shared" si="88"/>
        <v>318.46892604922397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1.1042523357586971</v>
      </c>
      <c r="AB114" s="23">
        <f>EXP(-LN(2)/2)*AB113+(1-EXP(-LN(2)/2))/(LN(2)/2)*V114*Y114*VLOOKUP('Données projet'!$B$9,Paramètres!$A$1:$I$89,3,0)*0.475*44/12</f>
        <v>2.1226556671490702E-12</v>
      </c>
      <c r="AC114" s="24">
        <f t="shared" si="57"/>
        <v>1.1042523357608198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3.4106051316484809E-13</v>
      </c>
      <c r="AJ114" s="14">
        <f>AI114*VLOOKUP('Données projet'!$B$10,Paramètres!$A$1:$I$89,3,0)*VLOOKUP('Données projet'!$B$10,Paramètres!$A$1:$I$89,5,0)</f>
        <v>2.9795046430081134E-13</v>
      </c>
      <c r="AK114" s="14">
        <f t="shared" si="89"/>
        <v>3.9419014464513778E-12</v>
      </c>
      <c r="AL114" s="22">
        <f t="shared" si="58"/>
        <v>7.384408744560063E-12</v>
      </c>
      <c r="AM114" s="62">
        <f t="shared" si="59"/>
        <v>293.3333333333407</v>
      </c>
      <c r="AN114" s="62">
        <f ca="1">AVERAGE(OFFSET($AM$3,0,0,'Données projet'!$E$10+1,1))-AVERAGE(OFFSET($H$3,0,0,'Données projet'!$E$10+1,1))</f>
        <v>179.7474263412401</v>
      </c>
      <c r="AO114" s="62">
        <f t="shared" si="90"/>
        <v>234.90106311484084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1.7335997407697616E-12</v>
      </c>
      <c r="AX114" s="23">
        <f t="shared" si="60"/>
        <v>1.7335997407697616E-12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62.607999999999883</v>
      </c>
      <c r="D115" s="12">
        <f t="shared" si="86"/>
        <v>17.826011532339194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620.89412410928401</v>
      </c>
      <c r="H115" s="70">
        <f t="shared" si="56"/>
        <v>433.42257008549052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6.3550942286383367E-14</v>
      </c>
      <c r="P115" s="14">
        <f t="shared" si="87"/>
        <v>1.0064464192543978E-12</v>
      </c>
      <c r="Q115" s="22">
        <f t="shared" si="107"/>
        <v>1.8635787380168604E-12</v>
      </c>
      <c r="R115" s="62">
        <f t="shared" si="55"/>
        <v>293.33333333333519</v>
      </c>
      <c r="S115" s="62">
        <f ca="1">AVERAGE(OFFSET($R$3,0,0,'Données projet'!$E$9+1,1))-AVERAGE(OFFSET($H$3,0,0,'Données projet'!$E$9+1,1))</f>
        <v>247.87882458322304</v>
      </c>
      <c r="T115" s="62">
        <f t="shared" si="88"/>
        <v>318.46892604922397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1.0740564975672691</v>
      </c>
      <c r="AB115" s="23">
        <f>EXP(-LN(2)/2)*AB114+(1-EXP(-LN(2)/2))/(LN(2)/2)*V115*Y115*VLOOKUP('Données projet'!$B$9,Paramètres!$A$1:$I$89,3,0)*0.475*44/12</f>
        <v>1.5009442163651626E-12</v>
      </c>
      <c r="AC115" s="24">
        <f t="shared" si="57"/>
        <v>1.0740564975687701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3.4106051316484809E-13</v>
      </c>
      <c r="AJ115" s="14">
        <f>AI115*VLOOKUP('Données projet'!$B$10,Paramètres!$A$1:$I$89,3,0)*VLOOKUP('Données projet'!$B$10,Paramètres!$A$1:$I$89,5,0)</f>
        <v>2.9795046430081134E-13</v>
      </c>
      <c r="AK115" s="14">
        <f t="shared" si="89"/>
        <v>3.9419014464513778E-12</v>
      </c>
      <c r="AL115" s="22">
        <f t="shared" si="58"/>
        <v>7.384408744560063E-12</v>
      </c>
      <c r="AM115" s="62">
        <f t="shared" si="59"/>
        <v>293.3333333333407</v>
      </c>
      <c r="AN115" s="62">
        <f ca="1">AVERAGE(OFFSET($AM$3,0,0,'Données projet'!$E$10+1,1))-AVERAGE(OFFSET($H$3,0,0,'Données projet'!$E$10+1,1))</f>
        <v>179.7474263412401</v>
      </c>
      <c r="AO115" s="62">
        <f t="shared" si="90"/>
        <v>234.90106311484084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1.2258401325615393E-12</v>
      </c>
      <c r="AX115" s="23">
        <f t="shared" si="60"/>
        <v>1.2258401325615393E-12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63.166999999999881</v>
      </c>
      <c r="D116" s="12">
        <f t="shared" si="86"/>
        <v>17.966573192426846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626.29424920469751</v>
      </c>
      <c r="H116" s="70">
        <f t="shared" si="56"/>
        <v>434.64097331014318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6.3550942286383367E-14</v>
      </c>
      <c r="P116" s="14">
        <f t="shared" si="87"/>
        <v>1.0064464192543978E-12</v>
      </c>
      <c r="Q116" s="22">
        <f t="shared" si="107"/>
        <v>1.8635787380168604E-12</v>
      </c>
      <c r="R116" s="62">
        <f t="shared" si="55"/>
        <v>293.33333333333519</v>
      </c>
      <c r="S116" s="62">
        <f ca="1">AVERAGE(OFFSET($R$3,0,0,'Données projet'!$E$9+1,1))-AVERAGE(OFFSET($H$3,0,0,'Données projet'!$E$9+1,1))</f>
        <v>247.87882458322304</v>
      </c>
      <c r="T116" s="62">
        <f t="shared" si="88"/>
        <v>318.46892604922397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1.0446863661591157</v>
      </c>
      <c r="AB116" s="23">
        <f>EXP(-LN(2)/2)*AB115+(1-EXP(-LN(2)/2))/(LN(2)/2)*V116*Y116*VLOOKUP('Données projet'!$B$9,Paramètres!$A$1:$I$89,3,0)*0.475*44/12</f>
        <v>1.0613278335745351E-12</v>
      </c>
      <c r="AC116" s="24">
        <f t="shared" si="57"/>
        <v>1.0446863661601771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3.4106051316484809E-13</v>
      </c>
      <c r="AJ116" s="14">
        <f>AI116*VLOOKUP('Données projet'!$B$10,Paramètres!$A$1:$I$89,3,0)*VLOOKUP('Données projet'!$B$10,Paramètres!$A$1:$I$89,5,0)</f>
        <v>2.9795046430081134E-13</v>
      </c>
      <c r="AK116" s="14">
        <f t="shared" si="89"/>
        <v>3.9419014464513778E-12</v>
      </c>
      <c r="AL116" s="22">
        <f t="shared" si="58"/>
        <v>7.384408744560063E-12</v>
      </c>
      <c r="AM116" s="62">
        <f t="shared" si="59"/>
        <v>293.3333333333407</v>
      </c>
      <c r="AN116" s="62">
        <f ca="1">AVERAGE(OFFSET($AM$3,0,0,'Données projet'!$E$10+1,1))-AVERAGE(OFFSET($H$3,0,0,'Données projet'!$E$10+1,1))</f>
        <v>179.7474263412401</v>
      </c>
      <c r="AO116" s="62">
        <f t="shared" si="90"/>
        <v>234.90106311484084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8.6679987038488081E-13</v>
      </c>
      <c r="AX116" s="23">
        <f t="shared" si="60"/>
        <v>8.6679987038488081E-13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63.725999999999878</v>
      </c>
      <c r="D117" s="12">
        <f t="shared" si="86"/>
        <v>18.106990134115801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631.69325717562981</v>
      </c>
      <c r="H117" s="70">
        <f t="shared" si="56"/>
        <v>435.85912448358476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6.3550942286383367E-14</v>
      </c>
      <c r="P117" s="14">
        <f t="shared" si="87"/>
        <v>1.0064464192543978E-12</v>
      </c>
      <c r="Q117" s="22">
        <f t="shared" si="107"/>
        <v>1.8635787380168604E-12</v>
      </c>
      <c r="R117" s="62">
        <f t="shared" si="55"/>
        <v>293.33333333333519</v>
      </c>
      <c r="S117" s="62">
        <f ca="1">AVERAGE(OFFSET($R$3,0,0,'Données projet'!$E$9+1,1))-AVERAGE(OFFSET($H$3,0,0,'Données projet'!$E$9+1,1))</f>
        <v>247.87882458322304</v>
      </c>
      <c r="T117" s="62">
        <f t="shared" si="88"/>
        <v>318.46892604922397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1.0161193625388263</v>
      </c>
      <c r="AB117" s="23">
        <f>EXP(-LN(2)/2)*AB116+(1-EXP(-LN(2)/2))/(LN(2)/2)*V117*Y117*VLOOKUP('Données projet'!$B$9,Paramètres!$A$1:$I$89,3,0)*0.475*44/12</f>
        <v>7.5047210818258132E-13</v>
      </c>
      <c r="AC117" s="24">
        <f t="shared" si="57"/>
        <v>1.0161193625395768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3.4106051316484809E-13</v>
      </c>
      <c r="AJ117" s="14">
        <f>AI117*VLOOKUP('Données projet'!$B$10,Paramètres!$A$1:$I$89,3,0)*VLOOKUP('Données projet'!$B$10,Paramètres!$A$1:$I$89,5,0)</f>
        <v>2.9795046430081134E-13</v>
      </c>
      <c r="AK117" s="14">
        <f t="shared" si="89"/>
        <v>3.9419014464513778E-12</v>
      </c>
      <c r="AL117" s="22">
        <f t="shared" si="58"/>
        <v>7.384408744560063E-12</v>
      </c>
      <c r="AM117" s="62">
        <f t="shared" si="59"/>
        <v>293.3333333333407</v>
      </c>
      <c r="AN117" s="62">
        <f ca="1">AVERAGE(OFFSET($AM$3,0,0,'Données projet'!$E$10+1,1))-AVERAGE(OFFSET($H$3,0,0,'Données projet'!$E$10+1,1))</f>
        <v>179.7474263412401</v>
      </c>
      <c r="AO117" s="62">
        <f t="shared" si="90"/>
        <v>234.90106311484084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6.1292006628076966E-13</v>
      </c>
      <c r="AX117" s="23">
        <f t="shared" si="60"/>
        <v>6.1292006628076966E-13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64.284999999999883</v>
      </c>
      <c r="D118" s="12">
        <f t="shared" si="86"/>
        <v>18.247263773943999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637.09115895675984</v>
      </c>
      <c r="H118" s="70">
        <f t="shared" si="56"/>
        <v>437.07702607295221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6.3550942286383367E-14</v>
      </c>
      <c r="P118" s="14">
        <f t="shared" si="87"/>
        <v>1.0064464192543978E-12</v>
      </c>
      <c r="Q118" s="22">
        <f t="shared" si="107"/>
        <v>1.8635787380168604E-12</v>
      </c>
      <c r="R118" s="62">
        <f t="shared" si="55"/>
        <v>293.33333333333519</v>
      </c>
      <c r="S118" s="62">
        <f ca="1">AVERAGE(OFFSET($R$3,0,0,'Données projet'!$E$9+1,1))-AVERAGE(OFFSET($H$3,0,0,'Données projet'!$E$9+1,1))</f>
        <v>247.87882458322304</v>
      </c>
      <c r="T118" s="62">
        <f t="shared" si="88"/>
        <v>318.46892604922397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0.98833352513480721</v>
      </c>
      <c r="AB118" s="23">
        <f>EXP(-LN(2)/2)*AB117+(1-EXP(-LN(2)/2))/(LN(2)/2)*V118*Y118*VLOOKUP('Données projet'!$B$9,Paramètres!$A$1:$I$89,3,0)*0.475*44/12</f>
        <v>5.3066391678726754E-13</v>
      </c>
      <c r="AC118" s="24">
        <f t="shared" si="57"/>
        <v>0.9883335251353379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3.4106051316484809E-13</v>
      </c>
      <c r="AJ118" s="14">
        <f>AI118*VLOOKUP('Données projet'!$B$10,Paramètres!$A$1:$I$89,3,0)*VLOOKUP('Données projet'!$B$10,Paramètres!$A$1:$I$89,5,0)</f>
        <v>2.9795046430081134E-13</v>
      </c>
      <c r="AK118" s="14">
        <f t="shared" si="89"/>
        <v>3.9419014464513778E-12</v>
      </c>
      <c r="AL118" s="22">
        <f t="shared" si="58"/>
        <v>7.384408744560063E-12</v>
      </c>
      <c r="AM118" s="62">
        <f t="shared" si="59"/>
        <v>293.3333333333407</v>
      </c>
      <c r="AN118" s="62">
        <f ca="1">AVERAGE(OFFSET($AM$3,0,0,'Données projet'!$E$10+1,1))-AVERAGE(OFFSET($H$3,0,0,'Données projet'!$E$10+1,1))</f>
        <v>179.7474263412401</v>
      </c>
      <c r="AO118" s="62">
        <f t="shared" si="90"/>
        <v>234.90106311484084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4.333999351924404E-13</v>
      </c>
      <c r="AX118" s="23">
        <f t="shared" si="60"/>
        <v>4.333999351924404E-13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64.84399999999988</v>
      </c>
      <c r="D119" s="12">
        <f t="shared" si="86"/>
        <v>18.387395502392327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642.48796528162404</v>
      </c>
      <c r="H119" s="70">
        <f t="shared" si="56"/>
        <v>438.29468049999969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6.3550942286383367E-14</v>
      </c>
      <c r="P119" s="14">
        <f t="shared" si="87"/>
        <v>1.0064464192543978E-12</v>
      </c>
      <c r="Q119" s="22">
        <f t="shared" si="107"/>
        <v>1.8635787380168604E-12</v>
      </c>
      <c r="R119" s="62">
        <f t="shared" si="55"/>
        <v>293.33333333333519</v>
      </c>
      <c r="S119" s="62">
        <f ca="1">AVERAGE(OFFSET($R$3,0,0,'Données projet'!$E$9+1,1))-AVERAGE(OFFSET($H$3,0,0,'Données projet'!$E$9+1,1))</f>
        <v>247.87882458322304</v>
      </c>
      <c r="T119" s="62">
        <f t="shared" si="88"/>
        <v>318.46892604922397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0.96130749291579465</v>
      </c>
      <c r="AB119" s="23">
        <f>EXP(-LN(2)/2)*AB118+(1-EXP(-LN(2)/2))/(LN(2)/2)*V119*Y119*VLOOKUP('Données projet'!$B$9,Paramètres!$A$1:$I$89,3,0)*0.475*44/12</f>
        <v>3.7523605409129066E-13</v>
      </c>
      <c r="AC119" s="24">
        <f t="shared" si="57"/>
        <v>0.9613074929161699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3.4106051316484809E-13</v>
      </c>
      <c r="AJ119" s="14">
        <f>AI119*VLOOKUP('Données projet'!$B$10,Paramètres!$A$1:$I$89,3,0)*VLOOKUP('Données projet'!$B$10,Paramètres!$A$1:$I$89,5,0)</f>
        <v>2.9795046430081134E-13</v>
      </c>
      <c r="AK119" s="14">
        <f t="shared" si="89"/>
        <v>3.9419014464513778E-12</v>
      </c>
      <c r="AL119" s="22">
        <f t="shared" si="58"/>
        <v>7.384408744560063E-12</v>
      </c>
      <c r="AM119" s="62">
        <f t="shared" si="59"/>
        <v>293.3333333333407</v>
      </c>
      <c r="AN119" s="62">
        <f ca="1">AVERAGE(OFFSET($AM$3,0,0,'Données projet'!$E$10+1,1))-AVERAGE(OFFSET($H$3,0,0,'Données projet'!$E$10+1,1))</f>
        <v>179.7474263412401</v>
      </c>
      <c r="AO119" s="62">
        <f t="shared" si="90"/>
        <v>234.90106311484084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3.0646003314038483E-13</v>
      </c>
      <c r="AX119" s="23">
        <f t="shared" si="60"/>
        <v>3.0646003314038483E-13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65.402999999999878</v>
      </c>
      <c r="D120" s="12">
        <f t="shared" si="86"/>
        <v>18.527386684584421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647.88368668801934</v>
      </c>
      <c r="H120" s="70">
        <f t="shared" si="56"/>
        <v>439.51209014231767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6.3550942286383367E-14</v>
      </c>
      <c r="P120" s="14">
        <f t="shared" si="87"/>
        <v>1.0064464192543978E-12</v>
      </c>
      <c r="Q120" s="22">
        <f t="shared" si="107"/>
        <v>1.8635787380168604E-12</v>
      </c>
      <c r="R120" s="62">
        <f t="shared" si="55"/>
        <v>293.33333333333519</v>
      </c>
      <c r="S120" s="62">
        <f ca="1">AVERAGE(OFFSET($R$3,0,0,'Données projet'!$E$9+1,1))-AVERAGE(OFFSET($H$3,0,0,'Données projet'!$E$9+1,1))</f>
        <v>247.87882458322304</v>
      </c>
      <c r="T120" s="62">
        <f t="shared" si="88"/>
        <v>318.46892604922397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0.93502048896904832</v>
      </c>
      <c r="AB120" s="23">
        <f>EXP(-LN(2)/2)*AB119+(1-EXP(-LN(2)/2))/(LN(2)/2)*V120*Y120*VLOOKUP('Données projet'!$B$9,Paramètres!$A$1:$I$89,3,0)*0.475*44/12</f>
        <v>2.6533195839363377E-13</v>
      </c>
      <c r="AC120" s="24">
        <f t="shared" si="57"/>
        <v>0.93502048896931367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3.4106051316484809E-13</v>
      </c>
      <c r="AJ120" s="14">
        <f>AI120*VLOOKUP('Données projet'!$B$10,Paramètres!$A$1:$I$89,3,0)*VLOOKUP('Données projet'!$B$10,Paramètres!$A$1:$I$89,5,0)</f>
        <v>2.9795046430081134E-13</v>
      </c>
      <c r="AK120" s="14">
        <f t="shared" si="89"/>
        <v>3.9419014464513778E-12</v>
      </c>
      <c r="AL120" s="22">
        <f t="shared" si="58"/>
        <v>7.384408744560063E-12</v>
      </c>
      <c r="AM120" s="62">
        <f t="shared" si="59"/>
        <v>293.3333333333407</v>
      </c>
      <c r="AN120" s="62">
        <f ca="1">AVERAGE(OFFSET($AM$3,0,0,'Données projet'!$E$10+1,1))-AVERAGE(OFFSET($H$3,0,0,'Données projet'!$E$10+1,1))</f>
        <v>179.7474263412401</v>
      </c>
      <c r="AO120" s="62">
        <f t="shared" si="90"/>
        <v>234.90106311484084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2.166999675962202E-13</v>
      </c>
      <c r="AX120" s="23">
        <f t="shared" si="60"/>
        <v>2.166999675962202E-13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65.961999999999875</v>
      </c>
      <c r="D121" s="12">
        <f t="shared" si="86"/>
        <v>18.667238660961754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653.27833352321261</v>
      </c>
      <c r="H121" s="70">
        <f t="shared" si="56"/>
        <v>440.72925733450813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6.3550942286383367E-14</v>
      </c>
      <c r="P121" s="14">
        <f t="shared" si="87"/>
        <v>1.0064464192543978E-12</v>
      </c>
      <c r="Q121" s="22">
        <f t="shared" si="107"/>
        <v>1.8635787380168604E-12</v>
      </c>
      <c r="R121" s="62">
        <f t="shared" si="55"/>
        <v>293.33333333333519</v>
      </c>
      <c r="S121" s="62">
        <f ca="1">AVERAGE(OFFSET($R$3,0,0,'Données projet'!$E$9+1,1))-AVERAGE(OFFSET($H$3,0,0,'Données projet'!$E$9+1,1))</f>
        <v>247.87882458322304</v>
      </c>
      <c r="T121" s="62">
        <f t="shared" si="88"/>
        <v>318.46892604922397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0.90945230452759918</v>
      </c>
      <c r="AB121" s="23">
        <f>EXP(-LN(2)/2)*AB120+(1-EXP(-LN(2)/2))/(LN(2)/2)*V121*Y121*VLOOKUP('Données projet'!$B$9,Paramètres!$A$1:$I$89,3,0)*0.475*44/12</f>
        <v>1.8761802704564533E-13</v>
      </c>
      <c r="AC121" s="24">
        <f t="shared" si="57"/>
        <v>0.9094523045277868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3.4106051316484809E-13</v>
      </c>
      <c r="AJ121" s="14">
        <f>AI121*VLOOKUP('Données projet'!$B$10,Paramètres!$A$1:$I$89,3,0)*VLOOKUP('Données projet'!$B$10,Paramètres!$A$1:$I$89,5,0)</f>
        <v>2.9795046430081134E-13</v>
      </c>
      <c r="AK121" s="14">
        <f t="shared" si="89"/>
        <v>3.9419014464513778E-12</v>
      </c>
      <c r="AL121" s="22">
        <f t="shared" si="58"/>
        <v>7.384408744560063E-12</v>
      </c>
      <c r="AM121" s="62">
        <f t="shared" si="59"/>
        <v>293.3333333333407</v>
      </c>
      <c r="AN121" s="62">
        <f ca="1">AVERAGE(OFFSET($AM$3,0,0,'Données projet'!$E$10+1,1))-AVERAGE(OFFSET($H$3,0,0,'Données projet'!$E$10+1,1))</f>
        <v>179.7474263412401</v>
      </c>
      <c r="AO121" s="62">
        <f t="shared" si="90"/>
        <v>234.90106311484084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1.5323001657019242E-13</v>
      </c>
      <c r="AX121" s="23">
        <f t="shared" si="60"/>
        <v>1.5323001657019242E-13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66.520999999999873</v>
      </c>
      <c r="D122" s="12">
        <f t="shared" si="86"/>
        <v>18.806952747935146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658.67191594897213</v>
      </c>
      <c r="H122" s="70">
        <f t="shared" si="56"/>
        <v>441.94618436932012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6.3550942286383367E-14</v>
      </c>
      <c r="P122" s="14">
        <f t="shared" si="87"/>
        <v>1.0064464192543978E-12</v>
      </c>
      <c r="Q122" s="22">
        <f t="shared" si="107"/>
        <v>1.8635787380168604E-12</v>
      </c>
      <c r="R122" s="62">
        <f t="shared" si="55"/>
        <v>293.33333333333519</v>
      </c>
      <c r="S122" s="62">
        <f ca="1">AVERAGE(OFFSET($R$3,0,0,'Données projet'!$E$9+1,1))-AVERAGE(OFFSET($H$3,0,0,'Données projet'!$E$9+1,1))</f>
        <v>247.87882458322304</v>
      </c>
      <c r="T122" s="62">
        <f t="shared" si="88"/>
        <v>318.46892604922397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0.88458328343427384</v>
      </c>
      <c r="AB122" s="23">
        <f>EXP(-LN(2)/2)*AB121+(1-EXP(-LN(2)/2))/(LN(2)/2)*V122*Y122*VLOOKUP('Données projet'!$B$9,Paramètres!$A$1:$I$89,3,0)*0.475*44/12</f>
        <v>1.3266597919681689E-13</v>
      </c>
      <c r="AC122" s="24">
        <f t="shared" si="57"/>
        <v>0.88458328343440651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3.4106051316484809E-13</v>
      </c>
      <c r="AJ122" s="14">
        <f>AI122*VLOOKUP('Données projet'!$B$10,Paramètres!$A$1:$I$89,3,0)*VLOOKUP('Données projet'!$B$10,Paramètres!$A$1:$I$89,5,0)</f>
        <v>2.9795046430081134E-13</v>
      </c>
      <c r="AK122" s="14">
        <f t="shared" si="89"/>
        <v>3.9419014464513778E-12</v>
      </c>
      <c r="AL122" s="22">
        <f t="shared" si="58"/>
        <v>7.384408744560063E-12</v>
      </c>
      <c r="AM122" s="62">
        <f t="shared" si="59"/>
        <v>293.3333333333407</v>
      </c>
      <c r="AN122" s="62">
        <f ca="1">AVERAGE(OFFSET($AM$3,0,0,'Données projet'!$E$10+1,1))-AVERAGE(OFFSET($H$3,0,0,'Données projet'!$E$10+1,1))</f>
        <v>179.7474263412401</v>
      </c>
      <c r="AO122" s="62">
        <f t="shared" si="90"/>
        <v>234.90106311484084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1.083499837981101E-13</v>
      </c>
      <c r="AX122" s="23">
        <f t="shared" si="60"/>
        <v>1.083499837981101E-13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67.07999999999987</v>
      </c>
      <c r="D123" s="12">
        <f t="shared" si="86"/>
        <v>18.946530238513862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664.06444394642187</v>
      </c>
      <c r="H123" s="70">
        <f t="shared" si="56"/>
        <v>443.16287349874472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6.3550942286383367E-14</v>
      </c>
      <c r="P123" s="14">
        <f t="shared" si="87"/>
        <v>1.0064464192543978E-12</v>
      </c>
      <c r="Q123" s="22">
        <f t="shared" si="107"/>
        <v>1.8635787380168604E-12</v>
      </c>
      <c r="R123" s="62">
        <f t="shared" si="55"/>
        <v>293.33333333333519</v>
      </c>
      <c r="S123" s="62">
        <f ca="1">AVERAGE(OFFSET($R$3,0,0,'Données projet'!$E$9+1,1))-AVERAGE(OFFSET($H$3,0,0,'Données projet'!$E$9+1,1))</f>
        <v>247.87882458322304</v>
      </c>
      <c r="T123" s="62">
        <f t="shared" si="88"/>
        <v>318.46892604922397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0.86039430703055053</v>
      </c>
      <c r="AB123" s="23">
        <f>EXP(-LN(2)/2)*AB122+(1-EXP(-LN(2)/2))/(LN(2)/2)*V123*Y123*VLOOKUP('Données projet'!$B$9,Paramètres!$A$1:$I$89,3,0)*0.475*44/12</f>
        <v>9.3809013522822665E-14</v>
      </c>
      <c r="AC123" s="24">
        <f t="shared" si="57"/>
        <v>0.86039430703064435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3.4106051316484809E-13</v>
      </c>
      <c r="AJ123" s="14">
        <f>AI123*VLOOKUP('Données projet'!$B$10,Paramètres!$A$1:$I$89,3,0)*VLOOKUP('Données projet'!$B$10,Paramètres!$A$1:$I$89,5,0)</f>
        <v>2.9795046430081134E-13</v>
      </c>
      <c r="AK123" s="14">
        <f t="shared" si="89"/>
        <v>3.9419014464513778E-12</v>
      </c>
      <c r="AL123" s="22">
        <f t="shared" si="58"/>
        <v>7.384408744560063E-12</v>
      </c>
      <c r="AM123" s="62">
        <f t="shared" si="59"/>
        <v>293.3333333333407</v>
      </c>
      <c r="AN123" s="62">
        <f ca="1">AVERAGE(OFFSET($AM$3,0,0,'Données projet'!$E$10+1,1))-AVERAGE(OFFSET($H$3,0,0,'Données projet'!$E$10+1,1))</f>
        <v>179.7474263412401</v>
      </c>
      <c r="AO123" s="62">
        <f t="shared" si="90"/>
        <v>234.90106311484084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7.6615008285096208E-14</v>
      </c>
      <c r="AX123" s="23">
        <f t="shared" si="60"/>
        <v>7.6615008285096208E-14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67.638999999999868</v>
      </c>
      <c r="D124" s="12">
        <f t="shared" si="86"/>
        <v>19.085972402913047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669.45592732073135</v>
      </c>
      <c r="H124" s="70">
        <f t="shared" si="56"/>
        <v>444.37932693507332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6.3550942286383367E-14</v>
      </c>
      <c r="P124" s="14">
        <f t="shared" si="87"/>
        <v>1.0064464192543978E-12</v>
      </c>
      <c r="Q124" s="22">
        <f t="shared" si="107"/>
        <v>1.8635787380168604E-12</v>
      </c>
      <c r="R124" s="62">
        <f t="shared" si="55"/>
        <v>293.33333333333519</v>
      </c>
      <c r="S124" s="62">
        <f ca="1">AVERAGE(OFFSET($R$3,0,0,'Données projet'!$E$9+1,1))-AVERAGE(OFFSET($H$3,0,0,'Données projet'!$E$9+1,1))</f>
        <v>247.87882458322304</v>
      </c>
      <c r="T124" s="62">
        <f t="shared" si="88"/>
        <v>318.46892604922397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0.83686677945862997</v>
      </c>
      <c r="AB124" s="23">
        <f>EXP(-LN(2)/2)*AB123+(1-EXP(-LN(2)/2))/(LN(2)/2)*V124*Y124*VLOOKUP('Données projet'!$B$9,Paramètres!$A$1:$I$89,3,0)*0.475*44/12</f>
        <v>6.6332989598408443E-14</v>
      </c>
      <c r="AC124" s="24">
        <f t="shared" si="57"/>
        <v>0.83686677945869625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3.4106051316484809E-13</v>
      </c>
      <c r="AJ124" s="14">
        <f>AI124*VLOOKUP('Données projet'!$B$10,Paramètres!$A$1:$I$89,3,0)*VLOOKUP('Données projet'!$B$10,Paramètres!$A$1:$I$89,5,0)</f>
        <v>2.9795046430081134E-13</v>
      </c>
      <c r="AK124" s="14">
        <f t="shared" si="89"/>
        <v>3.9419014464513778E-12</v>
      </c>
      <c r="AL124" s="22">
        <f t="shared" si="58"/>
        <v>7.384408744560063E-12</v>
      </c>
      <c r="AM124" s="62">
        <f t="shared" si="59"/>
        <v>293.3333333333407</v>
      </c>
      <c r="AN124" s="62">
        <f ca="1">AVERAGE(OFFSET($AM$3,0,0,'Données projet'!$E$10+1,1))-AVERAGE(OFFSET($H$3,0,0,'Données projet'!$E$10+1,1))</f>
        <v>179.7474263412401</v>
      </c>
      <c r="AO124" s="62">
        <f t="shared" si="90"/>
        <v>234.90106311484084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5.417499189905505E-14</v>
      </c>
      <c r="AX124" s="23">
        <f t="shared" si="60"/>
        <v>5.417499189905505E-14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68.197999999999865</v>
      </c>
      <c r="D125" s="12">
        <f t="shared" si="86"/>
        <v>19.225280489140612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674.84637570564576</v>
      </c>
      <c r="H125" s="70">
        <f t="shared" si="56"/>
        <v>445.59554685191961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6.3550942286383367E-14</v>
      </c>
      <c r="P125" s="14">
        <f t="shared" si="87"/>
        <v>1.0064464192543978E-12</v>
      </c>
      <c r="Q125" s="22">
        <f t="shared" si="107"/>
        <v>1.8635787380168604E-12</v>
      </c>
      <c r="R125" s="62">
        <f t="shared" si="55"/>
        <v>293.33333333333519</v>
      </c>
      <c r="S125" s="62">
        <f ca="1">AVERAGE(OFFSET($R$3,0,0,'Données projet'!$E$9+1,1))-AVERAGE(OFFSET($H$3,0,0,'Données projet'!$E$9+1,1))</f>
        <v>247.87882458322304</v>
      </c>
      <c r="T125" s="62">
        <f t="shared" si="88"/>
        <v>318.46892604922397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0.81398261336542244</v>
      </c>
      <c r="AB125" s="23">
        <f>EXP(-LN(2)/2)*AB124+(1-EXP(-LN(2)/2))/(LN(2)/2)*V125*Y125*VLOOKUP('Données projet'!$B$9,Paramètres!$A$1:$I$89,3,0)*0.475*44/12</f>
        <v>4.6904506761411333E-14</v>
      </c>
      <c r="AC125" s="24">
        <f t="shared" si="57"/>
        <v>0.81398261336546929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3.4106051316484809E-13</v>
      </c>
      <c r="AJ125" s="14">
        <f>AI125*VLOOKUP('Données projet'!$B$10,Paramètres!$A$1:$I$89,3,0)*VLOOKUP('Données projet'!$B$10,Paramètres!$A$1:$I$89,5,0)</f>
        <v>2.9795046430081134E-13</v>
      </c>
      <c r="AK125" s="14">
        <f t="shared" si="89"/>
        <v>3.9419014464513778E-12</v>
      </c>
      <c r="AL125" s="22">
        <f t="shared" si="58"/>
        <v>7.384408744560063E-12</v>
      </c>
      <c r="AM125" s="62">
        <f t="shared" si="59"/>
        <v>293.3333333333407</v>
      </c>
      <c r="AN125" s="62">
        <f ca="1">AVERAGE(OFFSET($AM$3,0,0,'Données projet'!$E$10+1,1))-AVERAGE(OFFSET($H$3,0,0,'Données projet'!$E$10+1,1))</f>
        <v>179.7474263412401</v>
      </c>
      <c r="AO125" s="62">
        <f t="shared" si="90"/>
        <v>234.90106311484084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3.8307504142548104E-14</v>
      </c>
      <c r="AX125" s="23">
        <f t="shared" si="60"/>
        <v>3.8307504142548104E-14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68.756999999999863</v>
      </c>
      <c r="D126" s="12">
        <f t="shared" si="86"/>
        <v>19.364455723564159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680.23579856786262</v>
      </c>
      <c r="H126" s="70">
        <f t="shared" si="56"/>
        <v>446.81153538520732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6.3550942286383367E-14</v>
      </c>
      <c r="P126" s="14">
        <f t="shared" si="87"/>
        <v>1.0064464192543978E-12</v>
      </c>
      <c r="Q126" s="22">
        <f t="shared" si="107"/>
        <v>1.8635787380168604E-12</v>
      </c>
      <c r="R126" s="62">
        <f t="shared" si="55"/>
        <v>293.33333333333519</v>
      </c>
      <c r="S126" s="62">
        <f ca="1">AVERAGE(OFFSET($R$3,0,0,'Données projet'!$E$9+1,1))-AVERAGE(OFFSET($H$3,0,0,'Données projet'!$E$9+1,1))</f>
        <v>247.87882458322304</v>
      </c>
      <c r="T126" s="62">
        <f t="shared" si="88"/>
        <v>318.46892604922397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0.79172421599745968</v>
      </c>
      <c r="AB126" s="23">
        <f>EXP(-LN(2)/2)*AB125+(1-EXP(-LN(2)/2))/(LN(2)/2)*V126*Y126*VLOOKUP('Données projet'!$B$9,Paramètres!$A$1:$I$89,3,0)*0.475*44/12</f>
        <v>3.3166494799204221E-14</v>
      </c>
      <c r="AC126" s="24">
        <f t="shared" si="57"/>
        <v>0.79172421599749288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3.4106051316484809E-13</v>
      </c>
      <c r="AJ126" s="14">
        <f>AI126*VLOOKUP('Données projet'!$B$10,Paramètres!$A$1:$I$89,3,0)*VLOOKUP('Données projet'!$B$10,Paramètres!$A$1:$I$89,5,0)</f>
        <v>2.9795046430081134E-13</v>
      </c>
      <c r="AK126" s="14">
        <f t="shared" si="89"/>
        <v>3.9419014464513778E-12</v>
      </c>
      <c r="AL126" s="22">
        <f t="shared" si="58"/>
        <v>7.384408744560063E-12</v>
      </c>
      <c r="AM126" s="62">
        <f t="shared" si="59"/>
        <v>293.3333333333407</v>
      </c>
      <c r="AN126" s="62">
        <f ca="1">AVERAGE(OFFSET($AM$3,0,0,'Données projet'!$E$10+1,1))-AVERAGE(OFFSET($H$3,0,0,'Données projet'!$E$10+1,1))</f>
        <v>179.7474263412401</v>
      </c>
      <c r="AO126" s="62">
        <f t="shared" si="90"/>
        <v>234.90106311484084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2.7087495949527525E-14</v>
      </c>
      <c r="AX126" s="23">
        <f t="shared" si="60"/>
        <v>2.7087495949527525E-14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69.31599999999986</v>
      </c>
      <c r="D127" s="12">
        <f t="shared" si="86"/>
        <v>19.503499311459102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685.62420521126216</v>
      </c>
      <c r="H127" s="70">
        <f t="shared" si="56"/>
        <v>448.02729463412436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6.3550942286383367E-14</v>
      </c>
      <c r="P127" s="14">
        <f t="shared" si="87"/>
        <v>1.0064464192543978E-12</v>
      </c>
      <c r="Q127" s="22">
        <f t="shared" si="107"/>
        <v>1.8635787380168604E-12</v>
      </c>
      <c r="R127" s="62">
        <f t="shared" si="55"/>
        <v>293.33333333333519</v>
      </c>
      <c r="S127" s="62">
        <f ca="1">AVERAGE(OFFSET($R$3,0,0,'Données projet'!$E$9+1,1))-AVERAGE(OFFSET($H$3,0,0,'Données projet'!$E$9+1,1))</f>
        <v>247.87882458322304</v>
      </c>
      <c r="T127" s="62">
        <f t="shared" si="88"/>
        <v>318.46892604922397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0.77007447567604215</v>
      </c>
      <c r="AB127" s="23">
        <f>EXP(-LN(2)/2)*AB126+(1-EXP(-LN(2)/2))/(LN(2)/2)*V127*Y127*VLOOKUP('Données projet'!$B$9,Paramètres!$A$1:$I$89,3,0)*0.475*44/12</f>
        <v>2.3452253380705666E-14</v>
      </c>
      <c r="AC127" s="24">
        <f t="shared" si="57"/>
        <v>0.77007447567606557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3.4106051316484809E-13</v>
      </c>
      <c r="AJ127" s="14">
        <f>AI127*VLOOKUP('Données projet'!$B$10,Paramètres!$A$1:$I$89,3,0)*VLOOKUP('Données projet'!$B$10,Paramètres!$A$1:$I$89,5,0)</f>
        <v>2.9795046430081134E-13</v>
      </c>
      <c r="AK127" s="14">
        <f t="shared" si="89"/>
        <v>3.9419014464513778E-12</v>
      </c>
      <c r="AL127" s="22">
        <f t="shared" si="58"/>
        <v>7.384408744560063E-12</v>
      </c>
      <c r="AM127" s="62">
        <f t="shared" si="59"/>
        <v>293.3333333333407</v>
      </c>
      <c r="AN127" s="62">
        <f ca="1">AVERAGE(OFFSET($AM$3,0,0,'Données projet'!$E$10+1,1))-AVERAGE(OFFSET($H$3,0,0,'Données projet'!$E$10+1,1))</f>
        <v>179.7474263412401</v>
      </c>
      <c r="AO127" s="62">
        <f t="shared" si="90"/>
        <v>234.90106311484084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1.9153752071274052E-14</v>
      </c>
      <c r="AX127" s="23">
        <f t="shared" si="60"/>
        <v>1.9153752071274052E-14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69.874999999999858</v>
      </c>
      <c r="D128" s="12">
        <f t="shared" si="86"/>
        <v>19.642412437538525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691.01160478099803</v>
      </c>
      <c r="H128" s="70">
        <f t="shared" si="56"/>
        <v>449.24282666204601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6.3550942286383367E-14</v>
      </c>
      <c r="P128" s="14">
        <f t="shared" si="87"/>
        <v>1.0064464192543978E-12</v>
      </c>
      <c r="Q128" s="22">
        <f t="shared" si="107"/>
        <v>1.8635787380168604E-12</v>
      </c>
      <c r="R128" s="62">
        <f t="shared" si="55"/>
        <v>293.33333333333519</v>
      </c>
      <c r="S128" s="62">
        <f ca="1">AVERAGE(OFFSET($R$3,0,0,'Données projet'!$E$9+1,1))-AVERAGE(OFFSET($H$3,0,0,'Données projet'!$E$9+1,1))</f>
        <v>247.87882458322304</v>
      </c>
      <c r="T128" s="62">
        <f t="shared" si="88"/>
        <v>318.46892604922397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0.74901674864222412</v>
      </c>
      <c r="AB128" s="23">
        <f>EXP(-LN(2)/2)*AB127+(1-EXP(-LN(2)/2))/(LN(2)/2)*V128*Y128*VLOOKUP('Données projet'!$B$9,Paramètres!$A$1:$I$89,3,0)*0.475*44/12</f>
        <v>1.6583247399602111E-14</v>
      </c>
      <c r="AC128" s="24">
        <f t="shared" si="57"/>
        <v>0.74901674864224066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3.4106051316484809E-13</v>
      </c>
      <c r="AJ128" s="14">
        <f>AI128*VLOOKUP('Données projet'!$B$10,Paramètres!$A$1:$I$89,3,0)*VLOOKUP('Données projet'!$B$10,Paramètres!$A$1:$I$89,5,0)</f>
        <v>2.9795046430081134E-13</v>
      </c>
      <c r="AK128" s="14">
        <f t="shared" si="89"/>
        <v>3.9419014464513778E-12</v>
      </c>
      <c r="AL128" s="22">
        <f t="shared" si="58"/>
        <v>7.384408744560063E-12</v>
      </c>
      <c r="AM128" s="62">
        <f t="shared" si="59"/>
        <v>293.3333333333407</v>
      </c>
      <c r="AN128" s="62">
        <f ca="1">AVERAGE(OFFSET($AM$3,0,0,'Données projet'!$E$10+1,1))-AVERAGE(OFFSET($H$3,0,0,'Données projet'!$E$10+1,1))</f>
        <v>179.7474263412401</v>
      </c>
      <c r="AO128" s="62">
        <f t="shared" si="90"/>
        <v>234.90106311484084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1.3543747974763763E-14</v>
      </c>
      <c r="AX128" s="23">
        <f t="shared" si="60"/>
        <v>1.3543747974763763E-14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70.433999999999855</v>
      </c>
      <c r="D129" s="12">
        <f t="shared" si="86"/>
        <v>19.781196266465557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696.39800626745227</v>
      </c>
      <c r="H129" s="70">
        <f t="shared" si="56"/>
        <v>450.45813349742724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6.3550942286383367E-14</v>
      </c>
      <c r="P129" s="14">
        <f t="shared" si="87"/>
        <v>1.0064464192543978E-12</v>
      </c>
      <c r="Q129" s="22">
        <f t="shared" si="107"/>
        <v>1.8635787380168604E-12</v>
      </c>
      <c r="R129" s="62">
        <f t="shared" si="55"/>
        <v>293.33333333333519</v>
      </c>
      <c r="S129" s="62">
        <f ca="1">AVERAGE(OFFSET($R$3,0,0,'Données projet'!$E$9+1,1))-AVERAGE(OFFSET($H$3,0,0,'Données projet'!$E$9+1,1))</f>
        <v>247.87882458322304</v>
      </c>
      <c r="T129" s="62">
        <f t="shared" si="88"/>
        <v>318.46892604922397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0.72853484626152354</v>
      </c>
      <c r="AB129" s="23">
        <f>EXP(-LN(2)/2)*AB128+(1-EXP(-LN(2)/2))/(LN(2)/2)*V129*Y129*VLOOKUP('Données projet'!$B$9,Paramètres!$A$1:$I$89,3,0)*0.475*44/12</f>
        <v>1.1726126690352833E-14</v>
      </c>
      <c r="AC129" s="24">
        <f t="shared" si="57"/>
        <v>0.72853484626153531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3.4106051316484809E-13</v>
      </c>
      <c r="AJ129" s="14">
        <f>AI129*VLOOKUP('Données projet'!$B$10,Paramètres!$A$1:$I$89,3,0)*VLOOKUP('Données projet'!$B$10,Paramètres!$A$1:$I$89,5,0)</f>
        <v>2.9795046430081134E-13</v>
      </c>
      <c r="AK129" s="14">
        <f t="shared" si="89"/>
        <v>3.9419014464513778E-12</v>
      </c>
      <c r="AL129" s="22">
        <f t="shared" si="58"/>
        <v>7.384408744560063E-12</v>
      </c>
      <c r="AM129" s="62">
        <f t="shared" si="59"/>
        <v>293.3333333333407</v>
      </c>
      <c r="AN129" s="62">
        <f ca="1">AVERAGE(OFFSET($AM$3,0,0,'Données projet'!$E$10+1,1))-AVERAGE(OFFSET($H$3,0,0,'Données projet'!$E$10+1,1))</f>
        <v>179.7474263412401</v>
      </c>
      <c r="AO129" s="62">
        <f t="shared" si="90"/>
        <v>234.90106311484084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9.5768760356370259E-15</v>
      </c>
      <c r="AX129" s="23">
        <f t="shared" si="60"/>
        <v>9.5768760356370259E-15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70.992999999999853</v>
      </c>
      <c r="D130" s="12">
        <f t="shared" si="86"/>
        <v>19.919851943349197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701.78341851006292</v>
      </c>
      <c r="H130" s="70">
        <f t="shared" si="56"/>
        <v>451.67321713466623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6.3550942286383367E-14</v>
      </c>
      <c r="P130" s="14">
        <f t="shared" si="87"/>
        <v>1.0064464192543978E-12</v>
      </c>
      <c r="Q130" s="22">
        <f t="shared" si="107"/>
        <v>1.8635787380168604E-12</v>
      </c>
      <c r="R130" s="62">
        <f t="shared" si="55"/>
        <v>293.33333333333519</v>
      </c>
      <c r="S130" s="62">
        <f ca="1">AVERAGE(OFFSET($R$3,0,0,'Données projet'!$E$9+1,1))-AVERAGE(OFFSET($H$3,0,0,'Données projet'!$E$9+1,1))</f>
        <v>247.87882458322304</v>
      </c>
      <c r="T130" s="62">
        <f t="shared" si="88"/>
        <v>318.46892604922397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0.70861302257851966</v>
      </c>
      <c r="AB130" s="23">
        <f>EXP(-LN(2)/2)*AB129+(1-EXP(-LN(2)/2))/(LN(2)/2)*V130*Y130*VLOOKUP('Données projet'!$B$9,Paramètres!$A$1:$I$89,3,0)*0.475*44/12</f>
        <v>8.2916236998010553E-15</v>
      </c>
      <c r="AC130" s="24">
        <f t="shared" si="57"/>
        <v>0.70861302257852798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3.4106051316484809E-13</v>
      </c>
      <c r="AJ130" s="14">
        <f>AI130*VLOOKUP('Données projet'!$B$10,Paramètres!$A$1:$I$89,3,0)*VLOOKUP('Données projet'!$B$10,Paramètres!$A$1:$I$89,5,0)</f>
        <v>2.9795046430081134E-13</v>
      </c>
      <c r="AK130" s="14">
        <f t="shared" si="89"/>
        <v>3.9419014464513778E-12</v>
      </c>
      <c r="AL130" s="22">
        <f t="shared" si="58"/>
        <v>7.384408744560063E-12</v>
      </c>
      <c r="AM130" s="62">
        <f t="shared" si="59"/>
        <v>293.3333333333407</v>
      </c>
      <c r="AN130" s="62">
        <f ca="1">AVERAGE(OFFSET($AM$3,0,0,'Données projet'!$E$10+1,1))-AVERAGE(OFFSET($H$3,0,0,'Données projet'!$E$10+1,1))</f>
        <v>179.7474263412401</v>
      </c>
      <c r="AO130" s="62">
        <f t="shared" si="90"/>
        <v>234.90106311484084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6.7718739873818813E-15</v>
      </c>
      <c r="AX130" s="23">
        <f t="shared" si="60"/>
        <v>6.7718739873818813E-15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71.55199999999985</v>
      </c>
      <c r="D131" s="12">
        <f t="shared" si="86"/>
        <v>20.058380594223749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707.16785020102441</v>
      </c>
      <c r="H131" s="70">
        <f t="shared" si="56"/>
        <v>452.88807953493938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6.3550942286383367E-14</v>
      </c>
      <c r="P131" s="14">
        <f t="shared" si="87"/>
        <v>1.0064464192543978E-12</v>
      </c>
      <c r="Q131" s="22">
        <f t="shared" ref="Q131:Q153" si="108">(O131+P131)*0.475*44/12</f>
        <v>1.8635787380168604E-12</v>
      </c>
      <c r="R131" s="62">
        <f t="shared" ref="R131:R194" si="109">Q131+(I131+J131)*44/12</f>
        <v>293.33333333333519</v>
      </c>
      <c r="S131" s="62">
        <f ca="1">AVERAGE(OFFSET($R$3,0,0,'Données projet'!$E$9+1,1))-AVERAGE(OFFSET($H$3,0,0,'Données projet'!$E$9+1,1))</f>
        <v>247.87882458322304</v>
      </c>
      <c r="T131" s="62">
        <f t="shared" si="88"/>
        <v>318.46892604922397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0.68923596221177075</v>
      </c>
      <c r="AB131" s="23">
        <f>EXP(-LN(2)/2)*AB130+(1-EXP(-LN(2)/2))/(LN(2)/2)*V131*Y131*VLOOKUP('Données projet'!$B$9,Paramètres!$A$1:$I$89,3,0)*0.475*44/12</f>
        <v>5.8630633451764166E-15</v>
      </c>
      <c r="AC131" s="24">
        <f t="shared" si="57"/>
        <v>0.68923596221177663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3.4106051316484809E-13</v>
      </c>
      <c r="AJ131" s="14">
        <f>AI131*VLOOKUP('Données projet'!$B$10,Paramètres!$A$1:$I$89,3,0)*VLOOKUP('Données projet'!$B$10,Paramètres!$A$1:$I$89,5,0)</f>
        <v>2.9795046430081134E-13</v>
      </c>
      <c r="AK131" s="14">
        <f t="shared" si="89"/>
        <v>3.9419014464513778E-12</v>
      </c>
      <c r="AL131" s="22">
        <f t="shared" si="58"/>
        <v>7.384408744560063E-12</v>
      </c>
      <c r="AM131" s="62">
        <f t="shared" si="59"/>
        <v>293.3333333333407</v>
      </c>
      <c r="AN131" s="62">
        <f ca="1">AVERAGE(OFFSET($AM$3,0,0,'Données projet'!$E$10+1,1))-AVERAGE(OFFSET($H$3,0,0,'Données projet'!$E$10+1,1))</f>
        <v>179.7474263412401</v>
      </c>
      <c r="AO131" s="62">
        <f t="shared" si="90"/>
        <v>234.90106311484084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4.788438017818513E-15</v>
      </c>
      <c r="AX131" s="23">
        <f t="shared" si="60"/>
        <v>4.788438017818513E-15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72.110999999999848</v>
      </c>
      <c r="D132" s="12">
        <f t="shared" si="86"/>
        <v>20.19678332651322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712.55130988887277</v>
      </c>
      <c r="H132" s="70">
        <f t="shared" ref="H132:H195" si="110">(B132+E132+F132)*44/12+(C132+D132)*0.475*44/12</f>
        <v>454.10272262701022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6.3550942286383367E-14</v>
      </c>
      <c r="P132" s="14">
        <f t="shared" si="87"/>
        <v>1.0064464192543978E-12</v>
      </c>
      <c r="Q132" s="22">
        <f t="shared" si="108"/>
        <v>1.8635787380168604E-12</v>
      </c>
      <c r="R132" s="62">
        <f t="shared" si="109"/>
        <v>293.33333333333519</v>
      </c>
      <c r="S132" s="62">
        <f ca="1">AVERAGE(OFFSET($R$3,0,0,'Données projet'!$E$9+1,1))-AVERAGE(OFFSET($H$3,0,0,'Données projet'!$E$9+1,1))</f>
        <v>247.87882458322304</v>
      </c>
      <c r="T132" s="62">
        <f t="shared" si="88"/>
        <v>318.46892604922397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0.67038876857974594</v>
      </c>
      <c r="AB132" s="23">
        <f>EXP(-LN(2)/2)*AB131+(1-EXP(-LN(2)/2))/(LN(2)/2)*V132*Y132*VLOOKUP('Données projet'!$B$9,Paramètres!$A$1:$I$89,3,0)*0.475*44/12</f>
        <v>4.1458118499005277E-15</v>
      </c>
      <c r="AC132" s="24">
        <f t="shared" ref="AC132:AC153" si="111">SUM(Z132:AB132)</f>
        <v>0.67038876857975005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3.4106051316484809E-13</v>
      </c>
      <c r="AJ132" s="14">
        <f>AI132*VLOOKUP('Données projet'!$B$10,Paramètres!$A$1:$I$89,3,0)*VLOOKUP('Données projet'!$B$10,Paramètres!$A$1:$I$89,5,0)</f>
        <v>2.9795046430081134E-13</v>
      </c>
      <c r="AK132" s="14">
        <f t="shared" si="89"/>
        <v>3.9419014464513778E-12</v>
      </c>
      <c r="AL132" s="22">
        <f t="shared" ref="AL132:AL153" si="112">(AJ132+AK132)*0.475*44/12</f>
        <v>7.384408744560063E-12</v>
      </c>
      <c r="AM132" s="62">
        <f t="shared" ref="AM132:AM195" si="113">AL132+(AD132+AE132)*44/12</f>
        <v>293.3333333333407</v>
      </c>
      <c r="AN132" s="62">
        <f ca="1">AVERAGE(OFFSET($AM$3,0,0,'Données projet'!$E$10+1,1))-AVERAGE(OFFSET($H$3,0,0,'Données projet'!$E$10+1,1))</f>
        <v>179.7474263412401</v>
      </c>
      <c r="AO132" s="62">
        <f t="shared" si="90"/>
        <v>234.90106311484084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3.3859369936909406E-15</v>
      </c>
      <c r="AX132" s="23">
        <f t="shared" ref="AX132:AX153" si="114">SUM(AU132:AW132)</f>
        <v>3.3859369936909406E-15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72.669999999999845</v>
      </c>
      <c r="D133" s="12">
        <f t="shared" ref="D133:D196" si="140">IFERROR(EXP(-1.0587+0.8836*LN(C133)+0.284),0)</f>
        <v>20.335061229480619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717.93380598195461</v>
      </c>
      <c r="H133" s="70">
        <f t="shared" si="110"/>
        <v>455.31714830801172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6.3550942286383367E-14</v>
      </c>
      <c r="P133" s="14">
        <f t="shared" ref="P133:P196" si="141">EXP(-1.0587+0.8836*LN(O133)+0.284)</f>
        <v>1.0064464192543978E-12</v>
      </c>
      <c r="Q133" s="22">
        <f t="shared" si="108"/>
        <v>1.8635787380168604E-12</v>
      </c>
      <c r="R133" s="62">
        <f t="shared" si="109"/>
        <v>293.33333333333519</v>
      </c>
      <c r="S133" s="62">
        <f ca="1">AVERAGE(OFFSET($R$3,0,0,'Données projet'!$E$9+1,1))-AVERAGE(OFFSET($H$3,0,0,'Données projet'!$E$9+1,1))</f>
        <v>247.87882458322304</v>
      </c>
      <c r="T133" s="62">
        <f t="shared" ref="T133:T196" si="142">$T$3</f>
        <v>318.46892604922397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0.65205695244871964</v>
      </c>
      <c r="AB133" s="23">
        <f>EXP(-LN(2)/2)*AB132+(1-EXP(-LN(2)/2))/(LN(2)/2)*V133*Y133*VLOOKUP('Données projet'!$B$9,Paramètres!$A$1:$I$89,3,0)*0.475*44/12</f>
        <v>2.9315316725882083E-15</v>
      </c>
      <c r="AC133" s="24">
        <f t="shared" si="111"/>
        <v>0.65205695244872253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3.4106051316484809E-13</v>
      </c>
      <c r="AJ133" s="14">
        <f>AI133*VLOOKUP('Données projet'!$B$10,Paramètres!$A$1:$I$89,3,0)*VLOOKUP('Données projet'!$B$10,Paramètres!$A$1:$I$89,5,0)</f>
        <v>2.9795046430081134E-13</v>
      </c>
      <c r="AK133" s="14">
        <f t="shared" ref="AK133:AK153" si="143">EXP(-1.0587+0.8836*LN(AJ133)+0.284)</f>
        <v>3.9419014464513778E-12</v>
      </c>
      <c r="AL133" s="22">
        <f t="shared" si="112"/>
        <v>7.384408744560063E-12</v>
      </c>
      <c r="AM133" s="62">
        <f t="shared" si="113"/>
        <v>293.3333333333407</v>
      </c>
      <c r="AN133" s="62">
        <f ca="1">AVERAGE(OFFSET($AM$3,0,0,'Données projet'!$E$10+1,1))-AVERAGE(OFFSET($H$3,0,0,'Données projet'!$E$10+1,1))</f>
        <v>179.7474263412401</v>
      </c>
      <c r="AO133" s="62">
        <f t="shared" ref="AO133:AO196" si="144">$AO$3</f>
        <v>234.90106311484084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2.3942190089092565E-15</v>
      </c>
      <c r="AX133" s="23">
        <f t="shared" si="114"/>
        <v>2.3942190089092565E-15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73.228999999999843</v>
      </c>
      <c r="D134" s="12">
        <f t="shared" si="140"/>
        <v>20.473215374663191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723.31534675178489</v>
      </c>
      <c r="H134" s="70">
        <f t="shared" si="110"/>
        <v>456.53135844420478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6.3550942286383367E-14</v>
      </c>
      <c r="P134" s="14">
        <f t="shared" si="141"/>
        <v>1.0064464192543978E-12</v>
      </c>
      <c r="Q134" s="22">
        <f t="shared" si="108"/>
        <v>1.8635787380168604E-12</v>
      </c>
      <c r="R134" s="62">
        <f t="shared" si="109"/>
        <v>293.33333333333519</v>
      </c>
      <c r="S134" s="62">
        <f ca="1">AVERAGE(OFFSET($R$3,0,0,'Données projet'!$E$9+1,1))-AVERAGE(OFFSET($H$3,0,0,'Données projet'!$E$9+1,1))</f>
        <v>247.87882458322304</v>
      </c>
      <c r="T134" s="62">
        <f t="shared" si="142"/>
        <v>318.46892604922397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0.63422642079382452</v>
      </c>
      <c r="AB134" s="23">
        <f>EXP(-LN(2)/2)*AB133+(1-EXP(-LN(2)/2))/(LN(2)/2)*V134*Y134*VLOOKUP('Données projet'!$B$9,Paramètres!$A$1:$I$89,3,0)*0.475*44/12</f>
        <v>2.0729059249502638E-15</v>
      </c>
      <c r="AC134" s="24">
        <f t="shared" si="111"/>
        <v>0.63422642079382663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3.4106051316484809E-13</v>
      </c>
      <c r="AJ134" s="14">
        <f>AI134*VLOOKUP('Données projet'!$B$10,Paramètres!$A$1:$I$89,3,0)*VLOOKUP('Données projet'!$B$10,Paramètres!$A$1:$I$89,5,0)</f>
        <v>2.9795046430081134E-13</v>
      </c>
      <c r="AK134" s="14">
        <f t="shared" si="143"/>
        <v>3.9419014464513778E-12</v>
      </c>
      <c r="AL134" s="22">
        <f t="shared" si="112"/>
        <v>7.384408744560063E-12</v>
      </c>
      <c r="AM134" s="62">
        <f t="shared" si="113"/>
        <v>293.3333333333407</v>
      </c>
      <c r="AN134" s="62">
        <f ca="1">AVERAGE(OFFSET($AM$3,0,0,'Données projet'!$E$10+1,1))-AVERAGE(OFFSET($H$3,0,0,'Données projet'!$E$10+1,1))</f>
        <v>179.7474263412401</v>
      </c>
      <c r="AO134" s="62">
        <f t="shared" si="144"/>
        <v>234.90106311484084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1.6929684968454703E-15</v>
      </c>
      <c r="AX134" s="23">
        <f t="shared" si="114"/>
        <v>1.6929684968454703E-15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73.78799999999984</v>
      </c>
      <c r="D135" s="12">
        <f t="shared" si="140"/>
        <v>20.611246816293903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728.69594033630256</v>
      </c>
      <c r="H135" s="70">
        <f t="shared" si="110"/>
        <v>457.74535487171158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6.3550942286383367E-14</v>
      </c>
      <c r="P135" s="14">
        <f t="shared" si="141"/>
        <v>1.0064464192543978E-12</v>
      </c>
      <c r="Q135" s="22">
        <f t="shared" si="108"/>
        <v>1.8635787380168604E-12</v>
      </c>
      <c r="R135" s="62">
        <f t="shared" si="109"/>
        <v>293.33333333333519</v>
      </c>
      <c r="S135" s="62">
        <f ca="1">AVERAGE(OFFSET($R$3,0,0,'Données projet'!$E$9+1,1))-AVERAGE(OFFSET($H$3,0,0,'Données projet'!$E$9+1,1))</f>
        <v>247.87882458322304</v>
      </c>
      <c r="T135" s="62">
        <f t="shared" si="142"/>
        <v>318.46892604922397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0.61688346596469945</v>
      </c>
      <c r="AB135" s="23">
        <f>EXP(-LN(2)/2)*AB134+(1-EXP(-LN(2)/2))/(LN(2)/2)*V135*Y135*VLOOKUP('Données projet'!$B$9,Paramètres!$A$1:$I$89,3,0)*0.475*44/12</f>
        <v>1.4657658362941041E-15</v>
      </c>
      <c r="AC135" s="24">
        <f t="shared" si="111"/>
        <v>0.61688346596470089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3.4106051316484809E-13</v>
      </c>
      <c r="AJ135" s="14">
        <f>AI135*VLOOKUP('Données projet'!$B$10,Paramètres!$A$1:$I$89,3,0)*VLOOKUP('Données projet'!$B$10,Paramètres!$A$1:$I$89,5,0)</f>
        <v>2.9795046430081134E-13</v>
      </c>
      <c r="AK135" s="14">
        <f t="shared" si="143"/>
        <v>3.9419014464513778E-12</v>
      </c>
      <c r="AL135" s="22">
        <f t="shared" si="112"/>
        <v>7.384408744560063E-12</v>
      </c>
      <c r="AM135" s="62">
        <f t="shared" si="113"/>
        <v>293.3333333333407</v>
      </c>
      <c r="AN135" s="62">
        <f ca="1">AVERAGE(OFFSET($AM$3,0,0,'Données projet'!$E$10+1,1))-AVERAGE(OFFSET($H$3,0,0,'Données projet'!$E$10+1,1))</f>
        <v>179.7474263412401</v>
      </c>
      <c r="AO135" s="62">
        <f t="shared" si="144"/>
        <v>234.90106311484084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1.1971095044546282E-15</v>
      </c>
      <c r="AX135" s="23">
        <f t="shared" si="114"/>
        <v>1.1971095044546282E-15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74.346999999999838</v>
      </c>
      <c r="D136" s="12">
        <f t="shared" si="140"/>
        <v>20.749156591709802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734.07559474302195</v>
      </c>
      <c r="H136" s="70">
        <f t="shared" si="110"/>
        <v>458.9591393972276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6.3550942286383367E-14</v>
      </c>
      <c r="P136" s="14">
        <f t="shared" si="141"/>
        <v>1.0064464192543978E-12</v>
      </c>
      <c r="Q136" s="22">
        <f t="shared" si="108"/>
        <v>1.8635787380168604E-12</v>
      </c>
      <c r="R136" s="62">
        <f t="shared" si="109"/>
        <v>293.33333333333519</v>
      </c>
      <c r="S136" s="62">
        <f ca="1">AVERAGE(OFFSET($R$3,0,0,'Données projet'!$E$9+1,1))-AVERAGE(OFFSET($H$3,0,0,'Données projet'!$E$9+1,1))</f>
        <v>247.87882458322304</v>
      </c>
      <c r="T136" s="62">
        <f t="shared" si="142"/>
        <v>318.46892604922397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0.60001475514740321</v>
      </c>
      <c r="AB136" s="23">
        <f>EXP(-LN(2)/2)*AB135+(1-EXP(-LN(2)/2))/(LN(2)/2)*V136*Y136*VLOOKUP('Données projet'!$B$9,Paramètres!$A$1:$I$89,3,0)*0.475*44/12</f>
        <v>1.0364529624751319E-15</v>
      </c>
      <c r="AC136" s="24">
        <f t="shared" si="111"/>
        <v>0.60001475514740421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3.4106051316484809E-13</v>
      </c>
      <c r="AJ136" s="14">
        <f>AI136*VLOOKUP('Données projet'!$B$10,Paramètres!$A$1:$I$89,3,0)*VLOOKUP('Données projet'!$B$10,Paramètres!$A$1:$I$89,5,0)</f>
        <v>2.9795046430081134E-13</v>
      </c>
      <c r="AK136" s="14">
        <f t="shared" si="143"/>
        <v>3.9419014464513778E-12</v>
      </c>
      <c r="AL136" s="22">
        <f t="shared" si="112"/>
        <v>7.384408744560063E-12</v>
      </c>
      <c r="AM136" s="62">
        <f t="shared" si="113"/>
        <v>293.3333333333407</v>
      </c>
      <c r="AN136" s="62">
        <f ca="1">AVERAGE(OFFSET($AM$3,0,0,'Données projet'!$E$10+1,1))-AVERAGE(OFFSET($H$3,0,0,'Données projet'!$E$10+1,1))</f>
        <v>179.7474263412401</v>
      </c>
      <c r="AO136" s="62">
        <f t="shared" si="144"/>
        <v>234.90106311484084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8.4648424842273516E-16</v>
      </c>
      <c r="AX136" s="23">
        <f t="shared" si="114"/>
        <v>8.4648424842273516E-16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74.905999999999835</v>
      </c>
      <c r="D137" s="12">
        <f t="shared" si="140"/>
        <v>20.886945721747846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739.45431785208746</v>
      </c>
      <c r="H137" s="70">
        <f t="shared" si="110"/>
        <v>460.17271379871056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6.3550942286383367E-14</v>
      </c>
      <c r="P137" s="14">
        <f t="shared" si="141"/>
        <v>1.0064464192543978E-12</v>
      </c>
      <c r="Q137" s="22">
        <f t="shared" si="108"/>
        <v>1.8635787380168604E-12</v>
      </c>
      <c r="R137" s="62">
        <f t="shared" si="109"/>
        <v>293.33333333333519</v>
      </c>
      <c r="S137" s="62">
        <f ca="1">AVERAGE(OFFSET($R$3,0,0,'Données projet'!$E$9+1,1))-AVERAGE(OFFSET($H$3,0,0,'Données projet'!$E$9+1,1))</f>
        <v>247.87882458322304</v>
      </c>
      <c r="T137" s="62">
        <f t="shared" si="142"/>
        <v>318.46892604922397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0.5836073201144929</v>
      </c>
      <c r="AB137" s="23">
        <f>EXP(-LN(2)/2)*AB136+(1-EXP(-LN(2)/2))/(LN(2)/2)*V137*Y137*VLOOKUP('Données projet'!$B$9,Paramètres!$A$1:$I$89,3,0)*0.475*44/12</f>
        <v>7.3288291814705207E-16</v>
      </c>
      <c r="AC137" s="24">
        <f t="shared" si="111"/>
        <v>0.58360732011449368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3.4106051316484809E-13</v>
      </c>
      <c r="AJ137" s="14">
        <f>AI137*VLOOKUP('Données projet'!$B$10,Paramètres!$A$1:$I$89,3,0)*VLOOKUP('Données projet'!$B$10,Paramètres!$A$1:$I$89,5,0)</f>
        <v>2.9795046430081134E-13</v>
      </c>
      <c r="AK137" s="14">
        <f t="shared" si="143"/>
        <v>3.9419014464513778E-12</v>
      </c>
      <c r="AL137" s="22">
        <f t="shared" si="112"/>
        <v>7.384408744560063E-12</v>
      </c>
      <c r="AM137" s="62">
        <f t="shared" si="113"/>
        <v>293.3333333333407</v>
      </c>
      <c r="AN137" s="62">
        <f ca="1">AVERAGE(OFFSET($AM$3,0,0,'Données projet'!$E$10+1,1))-AVERAGE(OFFSET($H$3,0,0,'Données projet'!$E$10+1,1))</f>
        <v>179.7474263412401</v>
      </c>
      <c r="AO137" s="62">
        <f t="shared" si="144"/>
        <v>234.90106311484084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5.9855475222731412E-16</v>
      </c>
      <c r="AX137" s="23">
        <f t="shared" si="114"/>
        <v>5.9855475222731412E-16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75.464999999999833</v>
      </c>
      <c r="D138" s="12">
        <f t="shared" si="140"/>
        <v>21.02461521112831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744.83211741923481</v>
      </c>
      <c r="H138" s="70">
        <f t="shared" si="110"/>
        <v>461.3860798260481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6.3550942286383367E-14</v>
      </c>
      <c r="P138" s="14">
        <f t="shared" si="141"/>
        <v>1.0064464192543978E-12</v>
      </c>
      <c r="Q138" s="22">
        <f t="shared" si="108"/>
        <v>1.8635787380168604E-12</v>
      </c>
      <c r="R138" s="62">
        <f t="shared" si="109"/>
        <v>293.33333333333519</v>
      </c>
      <c r="S138" s="62">
        <f ca="1">AVERAGE(OFFSET($R$3,0,0,'Données projet'!$E$9+1,1))-AVERAGE(OFFSET($H$3,0,0,'Données projet'!$E$9+1,1))</f>
        <v>247.87882458322304</v>
      </c>
      <c r="T138" s="62">
        <f t="shared" si="142"/>
        <v>318.46892604922397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0.56764854725538694</v>
      </c>
      <c r="AB138" s="23">
        <f>EXP(-LN(2)/2)*AB137+(1-EXP(-LN(2)/2))/(LN(2)/2)*V138*Y138*VLOOKUP('Données projet'!$B$9,Paramètres!$A$1:$I$89,3,0)*0.475*44/12</f>
        <v>5.1822648123756596E-16</v>
      </c>
      <c r="AC138" s="24">
        <f t="shared" si="111"/>
        <v>0.56764854725538749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3.4106051316484809E-13</v>
      </c>
      <c r="AJ138" s="14">
        <f>AI138*VLOOKUP('Données projet'!$B$10,Paramètres!$A$1:$I$89,3,0)*VLOOKUP('Données projet'!$B$10,Paramètres!$A$1:$I$89,5,0)</f>
        <v>2.9795046430081134E-13</v>
      </c>
      <c r="AK138" s="14">
        <f t="shared" si="143"/>
        <v>3.9419014464513778E-12</v>
      </c>
      <c r="AL138" s="22">
        <f t="shared" si="112"/>
        <v>7.384408744560063E-12</v>
      </c>
      <c r="AM138" s="62">
        <f t="shared" si="113"/>
        <v>293.3333333333407</v>
      </c>
      <c r="AN138" s="62">
        <f ca="1">AVERAGE(OFFSET($AM$3,0,0,'Données projet'!$E$10+1,1))-AVERAGE(OFFSET($H$3,0,0,'Données projet'!$E$10+1,1))</f>
        <v>179.7474263412401</v>
      </c>
      <c r="AO138" s="62">
        <f t="shared" si="144"/>
        <v>234.90106311484084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4.2324212421136758E-16</v>
      </c>
      <c r="AX138" s="23">
        <f t="shared" si="114"/>
        <v>4.2324212421136758E-16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76.02399999999983</v>
      </c>
      <c r="D139" s="12">
        <f t="shared" si="140"/>
        <v>21.162166048826901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750.20900107866248</v>
      </c>
      <c r="H139" s="70">
        <f t="shared" si="110"/>
        <v>462.59923920170655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6.3550942286383367E-14</v>
      </c>
      <c r="P139" s="14">
        <f t="shared" si="141"/>
        <v>1.0064464192543978E-12</v>
      </c>
      <c r="Q139" s="22">
        <f t="shared" si="108"/>
        <v>1.8635787380168604E-12</v>
      </c>
      <c r="R139" s="62">
        <f t="shared" si="109"/>
        <v>293.33333333333519</v>
      </c>
      <c r="S139" s="62">
        <f ca="1">AVERAGE(OFFSET($R$3,0,0,'Données projet'!$E$9+1,1))-AVERAGE(OFFSET($H$3,0,0,'Données projet'!$E$9+1,1))</f>
        <v>247.87882458322304</v>
      </c>
      <c r="T139" s="62">
        <f t="shared" si="142"/>
        <v>318.46892604922397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0.55212616787934865</v>
      </c>
      <c r="AB139" s="23">
        <f>EXP(-LN(2)/2)*AB138+(1-EXP(-LN(2)/2))/(LN(2)/2)*V139*Y139*VLOOKUP('Données projet'!$B$9,Paramètres!$A$1:$I$89,3,0)*0.475*44/12</f>
        <v>3.6644145907352604E-16</v>
      </c>
      <c r="AC139" s="24">
        <f t="shared" si="111"/>
        <v>0.55212616787934898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3.4106051316484809E-13</v>
      </c>
      <c r="AJ139" s="14">
        <f>AI139*VLOOKUP('Données projet'!$B$10,Paramètres!$A$1:$I$89,3,0)*VLOOKUP('Données projet'!$B$10,Paramètres!$A$1:$I$89,5,0)</f>
        <v>2.9795046430081134E-13</v>
      </c>
      <c r="AK139" s="14">
        <f t="shared" si="143"/>
        <v>3.9419014464513778E-12</v>
      </c>
      <c r="AL139" s="22">
        <f t="shared" si="112"/>
        <v>7.384408744560063E-12</v>
      </c>
      <c r="AM139" s="62">
        <f t="shared" si="113"/>
        <v>293.3333333333407</v>
      </c>
      <c r="AN139" s="62">
        <f ca="1">AVERAGE(OFFSET($AM$3,0,0,'Données projet'!$E$10+1,1))-AVERAGE(OFFSET($H$3,0,0,'Données projet'!$E$10+1,1))</f>
        <v>179.7474263412401</v>
      </c>
      <c r="AO139" s="62">
        <f t="shared" si="144"/>
        <v>234.90106311484084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2.9927737611365706E-16</v>
      </c>
      <c r="AX139" s="23">
        <f t="shared" si="114"/>
        <v>2.9927737611365706E-16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76.582999999999828</v>
      </c>
      <c r="D140" s="12">
        <f t="shared" si="140"/>
        <v>21.299599208435229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755.58497634581454</v>
      </c>
      <c r="H140" s="70">
        <f t="shared" si="110"/>
        <v>463.81219362135766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6.3550942286383367E-14</v>
      </c>
      <c r="P140" s="14">
        <f t="shared" si="141"/>
        <v>1.0064464192543978E-12</v>
      </c>
      <c r="Q140" s="22">
        <f t="shared" si="108"/>
        <v>1.8635787380168604E-12</v>
      </c>
      <c r="R140" s="62">
        <f t="shared" si="109"/>
        <v>293.33333333333519</v>
      </c>
      <c r="S140" s="62">
        <f ca="1">AVERAGE(OFFSET($R$3,0,0,'Données projet'!$E$9+1,1))-AVERAGE(OFFSET($H$3,0,0,'Données projet'!$E$9+1,1))</f>
        <v>247.87882458322304</v>
      </c>
      <c r="T140" s="62">
        <f t="shared" si="142"/>
        <v>318.46892604922397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0.53702824878363464</v>
      </c>
      <c r="AB140" s="23">
        <f>EXP(-LN(2)/2)*AB139+(1-EXP(-LN(2)/2))/(LN(2)/2)*V140*Y140*VLOOKUP('Données projet'!$B$9,Paramètres!$A$1:$I$89,3,0)*0.475*44/12</f>
        <v>2.5911324061878298E-16</v>
      </c>
      <c r="AC140" s="24">
        <f t="shared" si="111"/>
        <v>0.53702824878363487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3.4106051316484809E-13</v>
      </c>
      <c r="AJ140" s="14">
        <f>AI140*VLOOKUP('Données projet'!$B$10,Paramètres!$A$1:$I$89,3,0)*VLOOKUP('Données projet'!$B$10,Paramètres!$A$1:$I$89,5,0)</f>
        <v>2.9795046430081134E-13</v>
      </c>
      <c r="AK140" s="14">
        <f t="shared" si="143"/>
        <v>3.9419014464513778E-12</v>
      </c>
      <c r="AL140" s="22">
        <f t="shared" si="112"/>
        <v>7.384408744560063E-12</v>
      </c>
      <c r="AM140" s="62">
        <f t="shared" si="113"/>
        <v>293.3333333333407</v>
      </c>
      <c r="AN140" s="62">
        <f ca="1">AVERAGE(OFFSET($AM$3,0,0,'Données projet'!$E$10+1,1))-AVERAGE(OFFSET($H$3,0,0,'Données projet'!$E$10+1,1))</f>
        <v>179.7474263412401</v>
      </c>
      <c r="AO140" s="62">
        <f t="shared" si="144"/>
        <v>234.90106311484084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2.1162106210568379E-16</v>
      </c>
      <c r="AX140" s="23">
        <f t="shared" si="114"/>
        <v>2.1162106210568379E-16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77.141999999999825</v>
      </c>
      <c r="D141" s="12">
        <f t="shared" si="140"/>
        <v>21.43691564851072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760.96005062008135</v>
      </c>
      <c r="H141" s="70">
        <f t="shared" si="110"/>
        <v>465.02494475448918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6.3550942286383367E-14</v>
      </c>
      <c r="P141" s="14">
        <f t="shared" si="141"/>
        <v>1.0064464192543978E-12</v>
      </c>
      <c r="Q141" s="22">
        <f t="shared" si="108"/>
        <v>1.8635787380168604E-12</v>
      </c>
      <c r="R141" s="62">
        <f t="shared" si="109"/>
        <v>293.33333333333519</v>
      </c>
      <c r="S141" s="62">
        <f ca="1">AVERAGE(OFFSET($R$3,0,0,'Données projet'!$E$9+1,1))-AVERAGE(OFFSET($H$3,0,0,'Données projet'!$E$9+1,1))</f>
        <v>247.87882458322304</v>
      </c>
      <c r="T141" s="62">
        <f t="shared" si="142"/>
        <v>318.46892604922397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0.52234318307955796</v>
      </c>
      <c r="AB141" s="23">
        <f>EXP(-LN(2)/2)*AB140+(1-EXP(-LN(2)/2))/(LN(2)/2)*V141*Y141*VLOOKUP('Données projet'!$B$9,Paramètres!$A$1:$I$89,3,0)*0.475*44/12</f>
        <v>1.8322072953676302E-16</v>
      </c>
      <c r="AC141" s="24">
        <f t="shared" si="111"/>
        <v>0.52234318307955818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3.4106051316484809E-13</v>
      </c>
      <c r="AJ141" s="14">
        <f>AI141*VLOOKUP('Données projet'!$B$10,Paramètres!$A$1:$I$89,3,0)*VLOOKUP('Données projet'!$B$10,Paramètres!$A$1:$I$89,5,0)</f>
        <v>2.9795046430081134E-13</v>
      </c>
      <c r="AK141" s="14">
        <f t="shared" si="143"/>
        <v>3.9419014464513778E-12</v>
      </c>
      <c r="AL141" s="22">
        <f t="shared" si="112"/>
        <v>7.384408744560063E-12</v>
      </c>
      <c r="AM141" s="62">
        <f t="shared" si="113"/>
        <v>293.3333333333407</v>
      </c>
      <c r="AN141" s="62">
        <f ca="1">AVERAGE(OFFSET($AM$3,0,0,'Données projet'!$E$10+1,1))-AVERAGE(OFFSET($H$3,0,0,'Données projet'!$E$10+1,1))</f>
        <v>179.7474263412401</v>
      </c>
      <c r="AO141" s="62">
        <f t="shared" si="144"/>
        <v>234.90106311484084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1.4963868805682853E-16</v>
      </c>
      <c r="AX141" s="23">
        <f t="shared" si="114"/>
        <v>1.4963868805682853E-16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77.700999999999823</v>
      </c>
      <c r="D142" s="12">
        <f t="shared" si="140"/>
        <v>21.574116312915926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766.33423118741973</v>
      </c>
      <c r="H142" s="70">
        <f t="shared" si="110"/>
        <v>466.23749424499488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6.3550942286383367E-14</v>
      </c>
      <c r="P142" s="14">
        <f t="shared" si="141"/>
        <v>1.0064464192543978E-12</v>
      </c>
      <c r="Q142" s="22">
        <f t="shared" si="108"/>
        <v>1.8635787380168604E-12</v>
      </c>
      <c r="R142" s="62">
        <f t="shared" si="109"/>
        <v>293.33333333333519</v>
      </c>
      <c r="S142" s="62">
        <f ca="1">AVERAGE(OFFSET($R$3,0,0,'Données projet'!$E$9+1,1))-AVERAGE(OFFSET($H$3,0,0,'Données projet'!$E$9+1,1))</f>
        <v>247.87882458322304</v>
      </c>
      <c r="T142" s="62">
        <f t="shared" si="142"/>
        <v>318.46892604922397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0.50805968126941325</v>
      </c>
      <c r="AB142" s="23">
        <f>EXP(-LN(2)/2)*AB141+(1-EXP(-LN(2)/2))/(LN(2)/2)*V142*Y142*VLOOKUP('Données projet'!$B$9,Paramètres!$A$1:$I$89,3,0)*0.475*44/12</f>
        <v>1.2955662030939149E-16</v>
      </c>
      <c r="AC142" s="24">
        <f t="shared" si="111"/>
        <v>0.50805968126941337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3.4106051316484809E-13</v>
      </c>
      <c r="AJ142" s="14">
        <f>AI142*VLOOKUP('Données projet'!$B$10,Paramètres!$A$1:$I$89,3,0)*VLOOKUP('Données projet'!$B$10,Paramètres!$A$1:$I$89,5,0)</f>
        <v>2.9795046430081134E-13</v>
      </c>
      <c r="AK142" s="14">
        <f t="shared" si="143"/>
        <v>3.9419014464513778E-12</v>
      </c>
      <c r="AL142" s="22">
        <f t="shared" si="112"/>
        <v>7.384408744560063E-12</v>
      </c>
      <c r="AM142" s="62">
        <f t="shared" si="113"/>
        <v>293.3333333333407</v>
      </c>
      <c r="AN142" s="62">
        <f ca="1">AVERAGE(OFFSET($AM$3,0,0,'Données projet'!$E$10+1,1))-AVERAGE(OFFSET($H$3,0,0,'Données projet'!$E$10+1,1))</f>
        <v>179.7474263412401</v>
      </c>
      <c r="AO142" s="62">
        <f t="shared" si="144"/>
        <v>234.90106311484084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1.058105310528419E-16</v>
      </c>
      <c r="AX142" s="23">
        <f t="shared" si="114"/>
        <v>1.058105310528419E-16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78.25999999999982</v>
      </c>
      <c r="D143" s="12">
        <f t="shared" si="140"/>
        <v>21.7112021311479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771.70752522289467</v>
      </c>
      <c r="H143" s="70">
        <f t="shared" si="110"/>
        <v>467.44984371174894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6.3550942286383367E-14</v>
      </c>
      <c r="P143" s="14">
        <f t="shared" si="141"/>
        <v>1.0064464192543978E-12</v>
      </c>
      <c r="Q143" s="22">
        <f t="shared" si="108"/>
        <v>1.8635787380168604E-12</v>
      </c>
      <c r="R143" s="62">
        <f t="shared" si="109"/>
        <v>293.33333333333519</v>
      </c>
      <c r="S143" s="62">
        <f ca="1">AVERAGE(OFFSET($R$3,0,0,'Données projet'!$E$9+1,1))-AVERAGE(OFFSET($H$3,0,0,'Données projet'!$E$9+1,1))</f>
        <v>247.87882458322304</v>
      </c>
      <c r="T143" s="62">
        <f t="shared" si="142"/>
        <v>318.46892604922397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0.49416676256740372</v>
      </c>
      <c r="AB143" s="23">
        <f>EXP(-LN(2)/2)*AB142+(1-EXP(-LN(2)/2))/(LN(2)/2)*V143*Y143*VLOOKUP('Données projet'!$B$9,Paramètres!$A$1:$I$89,3,0)*0.475*44/12</f>
        <v>9.1610364768381509E-17</v>
      </c>
      <c r="AC143" s="24">
        <f t="shared" si="111"/>
        <v>0.49416676256740383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3.4106051316484809E-13</v>
      </c>
      <c r="AJ143" s="14">
        <f>AI143*VLOOKUP('Données projet'!$B$10,Paramètres!$A$1:$I$89,3,0)*VLOOKUP('Données projet'!$B$10,Paramètres!$A$1:$I$89,5,0)</f>
        <v>2.9795046430081134E-13</v>
      </c>
      <c r="AK143" s="14">
        <f t="shared" si="143"/>
        <v>3.9419014464513778E-12</v>
      </c>
      <c r="AL143" s="22">
        <f t="shared" si="112"/>
        <v>7.384408744560063E-12</v>
      </c>
      <c r="AM143" s="62">
        <f t="shared" si="113"/>
        <v>293.3333333333407</v>
      </c>
      <c r="AN143" s="62">
        <f ca="1">AVERAGE(OFFSET($AM$3,0,0,'Données projet'!$E$10+1,1))-AVERAGE(OFFSET($H$3,0,0,'Données projet'!$E$10+1,1))</f>
        <v>179.7474263412401</v>
      </c>
      <c r="AO143" s="62">
        <f t="shared" si="144"/>
        <v>234.90106311484084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7.4819344028414265E-17</v>
      </c>
      <c r="AX143" s="23">
        <f t="shared" si="114"/>
        <v>7.4819344028414265E-17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78.818999999999818</v>
      </c>
      <c r="D144" s="12">
        <f t="shared" si="140"/>
        <v>21.848174018657858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777.07993979314699</v>
      </c>
      <c r="H144" s="70">
        <f t="shared" si="110"/>
        <v>468.66199474916209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6.3550942286383367E-14</v>
      </c>
      <c r="P144" s="14">
        <f t="shared" si="141"/>
        <v>1.0064464192543978E-12</v>
      </c>
      <c r="Q144" s="22">
        <f t="shared" si="108"/>
        <v>1.8635787380168604E-12</v>
      </c>
      <c r="R144" s="62">
        <f t="shared" si="109"/>
        <v>293.33333333333519</v>
      </c>
      <c r="S144" s="62">
        <f ca="1">AVERAGE(OFFSET($R$3,0,0,'Données projet'!$E$9+1,1))-AVERAGE(OFFSET($H$3,0,0,'Données projet'!$E$9+1,1))</f>
        <v>247.87882458322304</v>
      </c>
      <c r="T144" s="62">
        <f t="shared" si="142"/>
        <v>318.46892604922397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0.48065374645789744</v>
      </c>
      <c r="AB144" s="23">
        <f>EXP(-LN(2)/2)*AB143+(1-EXP(-LN(2)/2))/(LN(2)/2)*V144*Y144*VLOOKUP('Données projet'!$B$9,Paramètres!$A$1:$I$89,3,0)*0.475*44/12</f>
        <v>6.4778310154695745E-17</v>
      </c>
      <c r="AC144" s="24">
        <f t="shared" si="111"/>
        <v>0.48065374645789749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3.4106051316484809E-13</v>
      </c>
      <c r="AJ144" s="14">
        <f>AI144*VLOOKUP('Données projet'!$B$10,Paramètres!$A$1:$I$89,3,0)*VLOOKUP('Données projet'!$B$10,Paramètres!$A$1:$I$89,5,0)</f>
        <v>2.9795046430081134E-13</v>
      </c>
      <c r="AK144" s="14">
        <f t="shared" si="143"/>
        <v>3.9419014464513778E-12</v>
      </c>
      <c r="AL144" s="22">
        <f t="shared" si="112"/>
        <v>7.384408744560063E-12</v>
      </c>
      <c r="AM144" s="62">
        <f t="shared" si="113"/>
        <v>293.3333333333407</v>
      </c>
      <c r="AN144" s="62">
        <f ca="1">AVERAGE(OFFSET($AM$3,0,0,'Données projet'!$E$10+1,1))-AVERAGE(OFFSET($H$3,0,0,'Données projet'!$E$10+1,1))</f>
        <v>179.7474263412401</v>
      </c>
      <c r="AO144" s="62">
        <f t="shared" si="144"/>
        <v>234.90106311484084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5.2905265526420948E-17</v>
      </c>
      <c r="AX144" s="23">
        <f t="shared" si="114"/>
        <v>5.2905265526420948E-17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79.377999999999815</v>
      </c>
      <c r="D145" s="12">
        <f t="shared" si="140"/>
        <v>21.985032877161469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782.45148185878895</v>
      </c>
      <c r="H145" s="70">
        <f t="shared" si="110"/>
        <v>469.87394892772255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6.3550942286383367E-14</v>
      </c>
      <c r="P145" s="14">
        <f t="shared" si="141"/>
        <v>1.0064464192543978E-12</v>
      </c>
      <c r="Q145" s="22">
        <f t="shared" si="108"/>
        <v>1.8635787380168604E-12</v>
      </c>
      <c r="R145" s="62">
        <f t="shared" si="109"/>
        <v>293.33333333333519</v>
      </c>
      <c r="S145" s="62">
        <f ca="1">AVERAGE(OFFSET($R$3,0,0,'Données projet'!$E$9+1,1))-AVERAGE(OFFSET($H$3,0,0,'Données projet'!$E$9+1,1))</f>
        <v>247.87882458322304</v>
      </c>
      <c r="T145" s="62">
        <f t="shared" si="142"/>
        <v>318.46892604922397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0.46751024448452427</v>
      </c>
      <c r="AB145" s="23">
        <f>EXP(-LN(2)/2)*AB144+(1-EXP(-LN(2)/2))/(LN(2)/2)*V145*Y145*VLOOKUP('Données projet'!$B$9,Paramètres!$A$1:$I$89,3,0)*0.475*44/12</f>
        <v>4.5805182384190754E-17</v>
      </c>
      <c r="AC145" s="24">
        <f t="shared" si="111"/>
        <v>0.46751024448452433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3.4106051316484809E-13</v>
      </c>
      <c r="AJ145" s="14">
        <f>AI145*VLOOKUP('Données projet'!$B$10,Paramètres!$A$1:$I$89,3,0)*VLOOKUP('Données projet'!$B$10,Paramètres!$A$1:$I$89,5,0)</f>
        <v>2.9795046430081134E-13</v>
      </c>
      <c r="AK145" s="14">
        <f t="shared" si="143"/>
        <v>3.9419014464513778E-12</v>
      </c>
      <c r="AL145" s="22">
        <f t="shared" si="112"/>
        <v>7.384408744560063E-12</v>
      </c>
      <c r="AM145" s="62">
        <f t="shared" si="113"/>
        <v>293.3333333333407</v>
      </c>
      <c r="AN145" s="62">
        <f ca="1">AVERAGE(OFFSET($AM$3,0,0,'Données projet'!$E$10+1,1))-AVERAGE(OFFSET($H$3,0,0,'Données projet'!$E$10+1,1))</f>
        <v>179.7474263412401</v>
      </c>
      <c r="AO145" s="62">
        <f t="shared" si="144"/>
        <v>234.90106311484084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3.7409672014207133E-17</v>
      </c>
      <c r="AX145" s="23">
        <f t="shared" si="114"/>
        <v>3.7409672014207133E-17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79.936999999999813</v>
      </c>
      <c r="D146" s="12">
        <f t="shared" si="140"/>
        <v>22.121779594940222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787.82215827673008</v>
      </c>
      <c r="H146" s="70">
        <f t="shared" si="110"/>
        <v>471.08570779452054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6.3550942286383367E-14</v>
      </c>
      <c r="P146" s="14">
        <f t="shared" si="141"/>
        <v>1.0064464192543978E-12</v>
      </c>
      <c r="Q146" s="22">
        <f t="shared" si="108"/>
        <v>1.8635787380168604E-12</v>
      </c>
      <c r="R146" s="62">
        <f t="shared" si="109"/>
        <v>293.33333333333519</v>
      </c>
      <c r="S146" s="62">
        <f ca="1">AVERAGE(OFFSET($R$3,0,0,'Données projet'!$E$9+1,1))-AVERAGE(OFFSET($H$3,0,0,'Données projet'!$E$9+1,1))</f>
        <v>247.87882458322304</v>
      </c>
      <c r="T146" s="62">
        <f t="shared" si="142"/>
        <v>318.46892604922397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0.4547261522637997</v>
      </c>
      <c r="AB146" s="23">
        <f>EXP(-LN(2)/2)*AB145+(1-EXP(-LN(2)/2))/(LN(2)/2)*V146*Y146*VLOOKUP('Données projet'!$B$9,Paramètres!$A$1:$I$89,3,0)*0.475*44/12</f>
        <v>3.2389155077347872E-17</v>
      </c>
      <c r="AC146" s="24">
        <f t="shared" si="111"/>
        <v>0.45472615226379975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3.4106051316484809E-13</v>
      </c>
      <c r="AJ146" s="14">
        <f>AI146*VLOOKUP('Données projet'!$B$10,Paramètres!$A$1:$I$89,3,0)*VLOOKUP('Données projet'!$B$10,Paramètres!$A$1:$I$89,5,0)</f>
        <v>2.9795046430081134E-13</v>
      </c>
      <c r="AK146" s="14">
        <f t="shared" si="143"/>
        <v>3.9419014464513778E-12</v>
      </c>
      <c r="AL146" s="22">
        <f t="shared" si="112"/>
        <v>7.384408744560063E-12</v>
      </c>
      <c r="AM146" s="62">
        <f t="shared" si="113"/>
        <v>293.3333333333407</v>
      </c>
      <c r="AN146" s="62">
        <f ca="1">AVERAGE(OFFSET($AM$3,0,0,'Données projet'!$E$10+1,1))-AVERAGE(OFFSET($H$3,0,0,'Données projet'!$E$10+1,1))</f>
        <v>179.7474263412401</v>
      </c>
      <c r="AO146" s="62">
        <f t="shared" si="144"/>
        <v>234.90106311484084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2.6452632763210474E-17</v>
      </c>
      <c r="AX146" s="23">
        <f t="shared" si="114"/>
        <v>2.6452632763210474E-17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80.49599999999981</v>
      </c>
      <c r="D147" s="12">
        <f t="shared" si="140"/>
        <v>22.258415047134058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793.1919758024369</v>
      </c>
      <c r="H147" s="70">
        <f t="shared" si="110"/>
        <v>472.29727287375817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6.3550942286383367E-14</v>
      </c>
      <c r="P147" s="14">
        <f t="shared" si="141"/>
        <v>1.0064464192543978E-12</v>
      </c>
      <c r="Q147" s="22">
        <f t="shared" si="108"/>
        <v>1.8635787380168604E-12</v>
      </c>
      <c r="R147" s="62">
        <f t="shared" si="109"/>
        <v>293.33333333333519</v>
      </c>
      <c r="S147" s="62">
        <f ca="1">AVERAGE(OFFSET($R$3,0,0,'Données projet'!$E$9+1,1))-AVERAGE(OFFSET($H$3,0,0,'Données projet'!$E$9+1,1))</f>
        <v>247.87882458322304</v>
      </c>
      <c r="T147" s="62">
        <f t="shared" si="142"/>
        <v>318.46892604922397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0.44229164171713703</v>
      </c>
      <c r="AB147" s="23">
        <f>EXP(-LN(2)/2)*AB146+(1-EXP(-LN(2)/2))/(LN(2)/2)*V147*Y147*VLOOKUP('Données projet'!$B$9,Paramètres!$A$1:$I$89,3,0)*0.475*44/12</f>
        <v>2.2902591192095377E-17</v>
      </c>
      <c r="AC147" s="24">
        <f t="shared" si="111"/>
        <v>0.44229164171713703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3.4106051316484809E-13</v>
      </c>
      <c r="AJ147" s="14">
        <f>AI147*VLOOKUP('Données projet'!$B$10,Paramètres!$A$1:$I$89,3,0)*VLOOKUP('Données projet'!$B$10,Paramètres!$A$1:$I$89,5,0)</f>
        <v>2.9795046430081134E-13</v>
      </c>
      <c r="AK147" s="14">
        <f t="shared" si="143"/>
        <v>3.9419014464513778E-12</v>
      </c>
      <c r="AL147" s="22">
        <f t="shared" si="112"/>
        <v>7.384408744560063E-12</v>
      </c>
      <c r="AM147" s="62">
        <f t="shared" si="113"/>
        <v>293.3333333333407</v>
      </c>
      <c r="AN147" s="62">
        <f ca="1">AVERAGE(OFFSET($AM$3,0,0,'Données projet'!$E$10+1,1))-AVERAGE(OFFSET($H$3,0,0,'Données projet'!$E$10+1,1))</f>
        <v>179.7474263412401</v>
      </c>
      <c r="AO147" s="62">
        <f t="shared" si="144"/>
        <v>234.90106311484084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1.8704836007103566E-17</v>
      </c>
      <c r="AX147" s="23">
        <f t="shared" si="114"/>
        <v>1.8704836007103566E-17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81.054999999999808</v>
      </c>
      <c r="D148" s="12">
        <f t="shared" si="140"/>
        <v>22.394940096025689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798.56094109212665</v>
      </c>
      <c r="H148" s="70">
        <f t="shared" si="110"/>
        <v>473.50864566724437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6.3550942286383367E-14</v>
      </c>
      <c r="P148" s="14">
        <f t="shared" si="141"/>
        <v>1.0064464192543978E-12</v>
      </c>
      <c r="Q148" s="22">
        <f t="shared" si="108"/>
        <v>1.8635787380168604E-12</v>
      </c>
      <c r="R148" s="62">
        <f t="shared" si="109"/>
        <v>293.33333333333519</v>
      </c>
      <c r="S148" s="62">
        <f ca="1">AVERAGE(OFFSET($R$3,0,0,'Données projet'!$E$9+1,1))-AVERAGE(OFFSET($H$3,0,0,'Données projet'!$E$9+1,1))</f>
        <v>247.87882458322304</v>
      </c>
      <c r="T148" s="62">
        <f t="shared" si="142"/>
        <v>318.46892604922397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0.43019715351527538</v>
      </c>
      <c r="AB148" s="23">
        <f>EXP(-LN(2)/2)*AB147+(1-EXP(-LN(2)/2))/(LN(2)/2)*V148*Y148*VLOOKUP('Données projet'!$B$9,Paramètres!$A$1:$I$89,3,0)*0.475*44/12</f>
        <v>1.6194577538673936E-17</v>
      </c>
      <c r="AC148" s="24">
        <f t="shared" si="111"/>
        <v>0.43019715351527538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3.4106051316484809E-13</v>
      </c>
      <c r="AJ148" s="14">
        <f>AI148*VLOOKUP('Données projet'!$B$10,Paramètres!$A$1:$I$89,3,0)*VLOOKUP('Données projet'!$B$10,Paramètres!$A$1:$I$89,5,0)</f>
        <v>2.9795046430081134E-13</v>
      </c>
      <c r="AK148" s="14">
        <f t="shared" si="143"/>
        <v>3.9419014464513778E-12</v>
      </c>
      <c r="AL148" s="22">
        <f t="shared" si="112"/>
        <v>7.384408744560063E-12</v>
      </c>
      <c r="AM148" s="62">
        <f t="shared" si="113"/>
        <v>293.3333333333407</v>
      </c>
      <c r="AN148" s="62">
        <f ca="1">AVERAGE(OFFSET($AM$3,0,0,'Données projet'!$E$10+1,1))-AVERAGE(OFFSET($H$3,0,0,'Données projet'!$E$10+1,1))</f>
        <v>179.7474263412401</v>
      </c>
      <c r="AO148" s="62">
        <f t="shared" si="144"/>
        <v>234.90106311484084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1.3226316381605237E-17</v>
      </c>
      <c r="AX148" s="23">
        <f t="shared" si="114"/>
        <v>1.3226316381605237E-17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81.613999999999805</v>
      </c>
      <c r="D149" s="12">
        <f t="shared" si="140"/>
        <v>22.531355591316824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803.92906070490028</v>
      </c>
      <c r="H149" s="70">
        <f t="shared" si="110"/>
        <v>474.71982765487644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6.3550942286383367E-14</v>
      </c>
      <c r="P149" s="14">
        <f t="shared" si="141"/>
        <v>1.0064464192543978E-12</v>
      </c>
      <c r="Q149" s="22">
        <f t="shared" si="108"/>
        <v>1.8635787380168604E-12</v>
      </c>
      <c r="R149" s="62">
        <f t="shared" si="109"/>
        <v>293.33333333333519</v>
      </c>
      <c r="S149" s="62">
        <f ca="1">AVERAGE(OFFSET($R$3,0,0,'Données projet'!$E$9+1,1))-AVERAGE(OFFSET($H$3,0,0,'Données projet'!$E$9+1,1))</f>
        <v>247.87882458322304</v>
      </c>
      <c r="T149" s="62">
        <f t="shared" si="142"/>
        <v>318.46892604922397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0.4184333897293151</v>
      </c>
      <c r="AB149" s="23">
        <f>EXP(-LN(2)/2)*AB148+(1-EXP(-LN(2)/2))/(LN(2)/2)*V149*Y149*VLOOKUP('Données projet'!$B$9,Paramètres!$A$1:$I$89,3,0)*0.475*44/12</f>
        <v>1.1451295596047689E-17</v>
      </c>
      <c r="AC149" s="24">
        <f t="shared" si="111"/>
        <v>0.4184333897293151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3.4106051316484809E-13</v>
      </c>
      <c r="AJ149" s="14">
        <f>AI149*VLOOKUP('Données projet'!$B$10,Paramètres!$A$1:$I$89,3,0)*VLOOKUP('Données projet'!$B$10,Paramètres!$A$1:$I$89,5,0)</f>
        <v>2.9795046430081134E-13</v>
      </c>
      <c r="AK149" s="14">
        <f t="shared" si="143"/>
        <v>3.9419014464513778E-12</v>
      </c>
      <c r="AL149" s="22">
        <f t="shared" si="112"/>
        <v>7.384408744560063E-12</v>
      </c>
      <c r="AM149" s="62">
        <f t="shared" si="113"/>
        <v>293.3333333333407</v>
      </c>
      <c r="AN149" s="62">
        <f ca="1">AVERAGE(OFFSET($AM$3,0,0,'Données projet'!$E$10+1,1))-AVERAGE(OFFSET($H$3,0,0,'Données projet'!$E$10+1,1))</f>
        <v>179.7474263412401</v>
      </c>
      <c r="AO149" s="62">
        <f t="shared" si="144"/>
        <v>234.90106311484084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9.3524180035517831E-18</v>
      </c>
      <c r="AX149" s="23">
        <f t="shared" si="114"/>
        <v>9.3524180035517831E-18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82.172999999999803</v>
      </c>
      <c r="D150" s="12">
        <f t="shared" si="140"/>
        <v>22.667662370396606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809.29634110481447</v>
      </c>
      <c r="H150" s="70">
        <f t="shared" si="110"/>
        <v>475.93082029510708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6.3550942286383367E-14</v>
      </c>
      <c r="P150" s="14">
        <f t="shared" si="141"/>
        <v>1.0064464192543978E-12</v>
      </c>
      <c r="Q150" s="22">
        <f t="shared" si="108"/>
        <v>1.8635787380168604E-12</v>
      </c>
      <c r="R150" s="62">
        <f t="shared" si="109"/>
        <v>293.33333333333519</v>
      </c>
      <c r="S150" s="62">
        <f ca="1">AVERAGE(OFFSET($R$3,0,0,'Données projet'!$E$9+1,1))-AVERAGE(OFFSET($H$3,0,0,'Données projet'!$E$9+1,1))</f>
        <v>247.87882458322304</v>
      </c>
      <c r="T150" s="62">
        <f t="shared" si="142"/>
        <v>318.46892604922397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0.40699130668271133</v>
      </c>
      <c r="AB150" s="23">
        <f>EXP(-LN(2)/2)*AB149+(1-EXP(-LN(2)/2))/(LN(2)/2)*V150*Y150*VLOOKUP('Données projet'!$B$9,Paramètres!$A$1:$I$89,3,0)*0.475*44/12</f>
        <v>8.0972887693369681E-18</v>
      </c>
      <c r="AC150" s="24">
        <f t="shared" si="111"/>
        <v>0.40699130668271133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3.4106051316484809E-13</v>
      </c>
      <c r="AJ150" s="14">
        <f>AI150*VLOOKUP('Données projet'!$B$10,Paramètres!$A$1:$I$89,3,0)*VLOOKUP('Données projet'!$B$10,Paramètres!$A$1:$I$89,5,0)</f>
        <v>2.9795046430081134E-13</v>
      </c>
      <c r="AK150" s="14">
        <f t="shared" si="143"/>
        <v>3.9419014464513778E-12</v>
      </c>
      <c r="AL150" s="22">
        <f t="shared" si="112"/>
        <v>7.384408744560063E-12</v>
      </c>
      <c r="AM150" s="62">
        <f t="shared" si="113"/>
        <v>293.3333333333407</v>
      </c>
      <c r="AN150" s="62">
        <f ca="1">AVERAGE(OFFSET($AM$3,0,0,'Données projet'!$E$10+1,1))-AVERAGE(OFFSET($H$3,0,0,'Données projet'!$E$10+1,1))</f>
        <v>179.7474263412401</v>
      </c>
      <c r="AO150" s="62">
        <f t="shared" si="144"/>
        <v>234.90106311484084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6.6131581908026185E-18</v>
      </c>
      <c r="AX150" s="23">
        <f t="shared" si="114"/>
        <v>6.6131581908026185E-18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82.7319999999998</v>
      </c>
      <c r="D151" s="12">
        <f t="shared" si="140"/>
        <v>22.803861258602545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814.66278866289542</v>
      </c>
      <c r="H151" s="70">
        <f t="shared" si="110"/>
        <v>477.14162502539909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6.3550942286383367E-14</v>
      </c>
      <c r="P151" s="14">
        <f t="shared" si="141"/>
        <v>1.0064464192543978E-12</v>
      </c>
      <c r="Q151" s="22">
        <f t="shared" si="108"/>
        <v>1.8635787380168604E-12</v>
      </c>
      <c r="R151" s="62">
        <f t="shared" si="109"/>
        <v>293.33333333333519</v>
      </c>
      <c r="S151" s="62">
        <f ca="1">AVERAGE(OFFSET($R$3,0,0,'Données projet'!$E$9+1,1))-AVERAGE(OFFSET($H$3,0,0,'Données projet'!$E$9+1,1))</f>
        <v>247.87882458322304</v>
      </c>
      <c r="T151" s="62">
        <f t="shared" si="142"/>
        <v>318.46892604922397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0.39586210799872995</v>
      </c>
      <c r="AB151" s="23">
        <f>EXP(-LN(2)/2)*AB150+(1-EXP(-LN(2)/2))/(LN(2)/2)*V151*Y151*VLOOKUP('Données projet'!$B$9,Paramètres!$A$1:$I$89,3,0)*0.475*44/12</f>
        <v>5.7256477980238443E-18</v>
      </c>
      <c r="AC151" s="24">
        <f t="shared" si="111"/>
        <v>0.39586210799872995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3.4106051316484809E-13</v>
      </c>
      <c r="AJ151" s="14">
        <f>AI151*VLOOKUP('Données projet'!$B$10,Paramètres!$A$1:$I$89,3,0)*VLOOKUP('Données projet'!$B$10,Paramètres!$A$1:$I$89,5,0)</f>
        <v>2.9795046430081134E-13</v>
      </c>
      <c r="AK151" s="14">
        <f t="shared" si="143"/>
        <v>3.9419014464513778E-12</v>
      </c>
      <c r="AL151" s="22">
        <f t="shared" si="112"/>
        <v>7.384408744560063E-12</v>
      </c>
      <c r="AM151" s="62">
        <f t="shared" si="113"/>
        <v>293.3333333333407</v>
      </c>
      <c r="AN151" s="62">
        <f ca="1">AVERAGE(OFFSET($AM$3,0,0,'Données projet'!$E$10+1,1))-AVERAGE(OFFSET($H$3,0,0,'Données projet'!$E$10+1,1))</f>
        <v>179.7474263412401</v>
      </c>
      <c r="AO151" s="62">
        <f t="shared" si="144"/>
        <v>234.90106311484084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4.6762090017758916E-18</v>
      </c>
      <c r="AX151" s="23">
        <f t="shared" si="114"/>
        <v>4.6762090017758916E-18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83.290999999999798</v>
      </c>
      <c r="D152" s="12">
        <f t="shared" si="140"/>
        <v>22.939953069474232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820.02840965909775</v>
      </c>
      <c r="H152" s="70">
        <f t="shared" si="110"/>
        <v>478.35224326266723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6.3550942286383367E-14</v>
      </c>
      <c r="P152" s="14">
        <f t="shared" si="141"/>
        <v>1.0064464192543978E-12</v>
      </c>
      <c r="Q152" s="22">
        <f t="shared" si="108"/>
        <v>1.8635787380168604E-12</v>
      </c>
      <c r="R152" s="62">
        <f t="shared" si="109"/>
        <v>293.33333333333519</v>
      </c>
      <c r="S152" s="62">
        <f ca="1">AVERAGE(OFFSET($R$3,0,0,'Données projet'!$E$9+1,1))-AVERAGE(OFFSET($H$3,0,0,'Données projet'!$E$9+1,1))</f>
        <v>247.87882458322304</v>
      </c>
      <c r="T152" s="62">
        <f t="shared" si="142"/>
        <v>318.46892604922397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0.38503723783802118</v>
      </c>
      <c r="AB152" s="23">
        <f>EXP(-LN(2)/2)*AB151+(1-EXP(-LN(2)/2))/(LN(2)/2)*V152*Y152*VLOOKUP('Données projet'!$B$9,Paramètres!$A$1:$I$89,3,0)*0.475*44/12</f>
        <v>4.0486443846684841E-18</v>
      </c>
      <c r="AC152" s="24">
        <f t="shared" si="111"/>
        <v>0.38503723783802118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3.4106051316484809E-13</v>
      </c>
      <c r="AJ152" s="14">
        <f>AI152*VLOOKUP('Données projet'!$B$10,Paramètres!$A$1:$I$89,3,0)*VLOOKUP('Données projet'!$B$10,Paramètres!$A$1:$I$89,5,0)</f>
        <v>2.9795046430081134E-13</v>
      </c>
      <c r="AK152" s="14">
        <f t="shared" si="143"/>
        <v>3.9419014464513778E-12</v>
      </c>
      <c r="AL152" s="22">
        <f t="shared" si="112"/>
        <v>7.384408744560063E-12</v>
      </c>
      <c r="AM152" s="62">
        <f t="shared" si="113"/>
        <v>293.3333333333407</v>
      </c>
      <c r="AN152" s="62">
        <f ca="1">AVERAGE(OFFSET($AM$3,0,0,'Données projet'!$E$10+1,1))-AVERAGE(OFFSET($H$3,0,0,'Données projet'!$E$10+1,1))</f>
        <v>179.7474263412401</v>
      </c>
      <c r="AO152" s="62">
        <f t="shared" si="144"/>
        <v>234.90106311484084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3.3065790954013092E-18</v>
      </c>
      <c r="AX152" s="23">
        <f t="shared" si="114"/>
        <v>3.3065790954013092E-18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83.849999999999795</v>
      </c>
      <c r="D153" s="12">
        <f t="shared" si="140"/>
        <v>23.075938604999934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825.39321028420852</v>
      </c>
      <c r="H153" s="70">
        <f t="shared" si="110"/>
        <v>479.56267640370783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6.3550942286383367E-14</v>
      </c>
      <c r="P153" s="14">
        <f t="shared" si="141"/>
        <v>1.0064464192543978E-12</v>
      </c>
      <c r="Q153" s="22">
        <f t="shared" si="108"/>
        <v>1.8635787380168604E-12</v>
      </c>
      <c r="R153" s="62">
        <f t="shared" si="109"/>
        <v>293.33333333333519</v>
      </c>
      <c r="S153" s="62">
        <f ca="1">AVERAGE(OFFSET($R$3,0,0,'Données projet'!$E$9+1,1))-AVERAGE(OFFSET($H$3,0,0,'Données projet'!$E$9+1,1))</f>
        <v>247.87882458322304</v>
      </c>
      <c r="T153" s="62">
        <f t="shared" si="142"/>
        <v>318.46892604922397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0.37450837432111217</v>
      </c>
      <c r="AB153" s="23">
        <f>EXP(-LN(2)/2)*AB152+(1-EXP(-LN(2)/2))/(LN(2)/2)*V153*Y153*VLOOKUP('Données projet'!$B$9,Paramètres!$A$1:$I$89,3,0)*0.475*44/12</f>
        <v>2.8628238990119221E-18</v>
      </c>
      <c r="AC153" s="24">
        <f t="shared" si="111"/>
        <v>0.37450837432111217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3.4106051316484809E-13</v>
      </c>
      <c r="AJ153" s="14">
        <f>AI153*VLOOKUP('Données projet'!$B$10,Paramètres!$A$1:$I$89,3,0)*VLOOKUP('Données projet'!$B$10,Paramètres!$A$1:$I$89,5,0)</f>
        <v>2.9795046430081134E-13</v>
      </c>
      <c r="AK153" s="14">
        <f t="shared" si="143"/>
        <v>3.9419014464513778E-12</v>
      </c>
      <c r="AL153" s="22">
        <f t="shared" si="112"/>
        <v>7.384408744560063E-12</v>
      </c>
      <c r="AM153" s="62">
        <f t="shared" si="113"/>
        <v>293.3333333333407</v>
      </c>
      <c r="AN153" s="62">
        <f ca="1">AVERAGE(OFFSET($AM$3,0,0,'Données projet'!$E$10+1,1))-AVERAGE(OFFSET($H$3,0,0,'Données projet'!$E$10+1,1))</f>
        <v>179.7474263412401</v>
      </c>
      <c r="AO153" s="62">
        <f t="shared" si="144"/>
        <v>234.90106311484084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2.3381045008879458E-18</v>
      </c>
      <c r="AX153" s="23">
        <f t="shared" si="114"/>
        <v>2.3381045008879458E-18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84.408999999999793</v>
      </c>
      <c r="D154" s="12">
        <f t="shared" si="140"/>
        <v>23.211818655856568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830.75719664169821</v>
      </c>
      <c r="H154" s="70">
        <f t="shared" si="110"/>
        <v>480.77292582561648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6.3550942286383367E-14</v>
      </c>
      <c r="P154" s="14">
        <f t="shared" si="141"/>
        <v>1.0064464192543978E-12</v>
      </c>
      <c r="Q154" s="22">
        <f t="shared" ref="Q154:Q203" si="162">(O154+P154)*0.475*44/12</f>
        <v>1.8635787380168604E-12</v>
      </c>
      <c r="R154" s="62">
        <f t="shared" si="109"/>
        <v>293.33333333333519</v>
      </c>
      <c r="S154" s="62">
        <f ca="1">AVERAGE(OFFSET($R$3,0,0,'Données projet'!$E$9+1,1))-AVERAGE(OFFSET($H$3,0,0,'Données projet'!$E$9+1,1))</f>
        <v>247.87882458322304</v>
      </c>
      <c r="T154" s="62">
        <f t="shared" si="142"/>
        <v>318.46892604922397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0.36426742313076188</v>
      </c>
      <c r="AB154" s="23">
        <f>EXP(-LN(2)/2)*AB153+(1-EXP(-LN(2)/2))/(LN(2)/2)*V154*Y154*VLOOKUP('Données projet'!$B$9,Paramètres!$A$1:$I$89,3,0)*0.475*44/12</f>
        <v>2.024322192334242E-18</v>
      </c>
      <c r="AC154" s="24">
        <f t="shared" ref="AC154:AC203" si="163">SUM(Z154:AB154)</f>
        <v>0.36426742313076188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3.4106051316484809E-13</v>
      </c>
      <c r="AJ154" s="14">
        <f>AI154*VLOOKUP('Données projet'!$B$10,Paramètres!$A$1:$I$89,3,0)*VLOOKUP('Données projet'!$B$10,Paramètres!$A$1:$I$89,5,0)</f>
        <v>2.9795046430081134E-13</v>
      </c>
      <c r="AK154" s="14">
        <f t="shared" ref="AK154:AK203" si="164">EXP(-1.0587+0.8836*LN(AJ154)+0.284)</f>
        <v>3.9419014464513778E-12</v>
      </c>
      <c r="AL154" s="22">
        <f t="shared" ref="AL154:AL203" si="165">(AJ154+AK154)*0.475*44/12</f>
        <v>7.384408744560063E-12</v>
      </c>
      <c r="AM154" s="62">
        <f t="shared" si="113"/>
        <v>293.3333333333407</v>
      </c>
      <c r="AN154" s="62">
        <f ca="1">AVERAGE(OFFSET($AM$3,0,0,'Données projet'!$E$10+1,1))-AVERAGE(OFFSET($H$3,0,0,'Données projet'!$E$10+1,1))</f>
        <v>179.7474263412401</v>
      </c>
      <c r="AO154" s="62">
        <f t="shared" si="144"/>
        <v>234.90106311484084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1.6532895477006546E-18</v>
      </c>
      <c r="AX154" s="23">
        <f t="shared" ref="AX154:AX203" si="166">SUM(AU154:AW154)</f>
        <v>1.6532895477006546E-18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84.96799999999979</v>
      </c>
      <c r="D155" s="12">
        <f t="shared" si="140"/>
        <v>23.347594001643007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836.12037474952342</v>
      </c>
      <c r="H155" s="70">
        <f t="shared" si="110"/>
        <v>481.98299288619449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6.3550942286383367E-14</v>
      </c>
      <c r="P155" s="14">
        <f t="shared" si="141"/>
        <v>1.0064464192543978E-12</v>
      </c>
      <c r="Q155" s="22">
        <f t="shared" si="162"/>
        <v>1.8635787380168604E-12</v>
      </c>
      <c r="R155" s="62">
        <f t="shared" si="109"/>
        <v>293.33333333333519</v>
      </c>
      <c r="S155" s="62">
        <f ca="1">AVERAGE(OFFSET($R$3,0,0,'Données projet'!$E$9+1,1))-AVERAGE(OFFSET($H$3,0,0,'Données projet'!$E$9+1,1))</f>
        <v>247.87882458322304</v>
      </c>
      <c r="T155" s="62">
        <f t="shared" si="142"/>
        <v>318.46892604922397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0.35430651128925994</v>
      </c>
      <c r="AB155" s="23">
        <f>EXP(-LN(2)/2)*AB154+(1-EXP(-LN(2)/2))/(LN(2)/2)*V155*Y155*VLOOKUP('Données projet'!$B$9,Paramètres!$A$1:$I$89,3,0)*0.475*44/12</f>
        <v>1.4314119495059611E-18</v>
      </c>
      <c r="AC155" s="24">
        <f t="shared" si="163"/>
        <v>0.35430651128925994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3.4106051316484809E-13</v>
      </c>
      <c r="AJ155" s="14">
        <f>AI155*VLOOKUP('Données projet'!$B$10,Paramètres!$A$1:$I$89,3,0)*VLOOKUP('Données projet'!$B$10,Paramètres!$A$1:$I$89,5,0)</f>
        <v>2.9795046430081134E-13</v>
      </c>
      <c r="AK155" s="14">
        <f t="shared" si="164"/>
        <v>3.9419014464513778E-12</v>
      </c>
      <c r="AL155" s="22">
        <f t="shared" si="165"/>
        <v>7.384408744560063E-12</v>
      </c>
      <c r="AM155" s="62">
        <f t="shared" si="113"/>
        <v>293.3333333333407</v>
      </c>
      <c r="AN155" s="62">
        <f ca="1">AVERAGE(OFFSET($AM$3,0,0,'Données projet'!$E$10+1,1))-AVERAGE(OFFSET($H$3,0,0,'Données projet'!$E$10+1,1))</f>
        <v>179.7474263412401</v>
      </c>
      <c r="AO155" s="62">
        <f t="shared" si="144"/>
        <v>234.90106311484084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1.1690522504439729E-18</v>
      </c>
      <c r="AX155" s="23">
        <f t="shared" si="166"/>
        <v>1.1690522504439729E-18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85.526999999999788</v>
      </c>
      <c r="D156" s="12">
        <f t="shared" si="140"/>
        <v>23.483265411107197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841.48275054187854</v>
      </c>
      <c r="H156" s="70">
        <f t="shared" si="110"/>
        <v>483.19287892434465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6.3550942286383367E-14</v>
      </c>
      <c r="P156" s="14">
        <f t="shared" si="141"/>
        <v>1.0064464192543978E-12</v>
      </c>
      <c r="Q156" s="22">
        <f t="shared" si="162"/>
        <v>1.8635787380168604E-12</v>
      </c>
      <c r="R156" s="62">
        <f t="shared" si="109"/>
        <v>293.33333333333519</v>
      </c>
      <c r="S156" s="62">
        <f ca="1">AVERAGE(OFFSET($R$3,0,0,'Données projet'!$E$9+1,1))-AVERAGE(OFFSET($H$3,0,0,'Données projet'!$E$9+1,1))</f>
        <v>247.87882458322304</v>
      </c>
      <c r="T156" s="62">
        <f t="shared" si="142"/>
        <v>318.46892604922397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0.34461798110588548</v>
      </c>
      <c r="AB156" s="23">
        <f>EXP(-LN(2)/2)*AB155+(1-EXP(-LN(2)/2))/(LN(2)/2)*V156*Y156*VLOOKUP('Données projet'!$B$9,Paramètres!$A$1:$I$89,3,0)*0.475*44/12</f>
        <v>1.012161096167121E-18</v>
      </c>
      <c r="AC156" s="24">
        <f t="shared" si="163"/>
        <v>0.34461798110588548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3.4106051316484809E-13</v>
      </c>
      <c r="AJ156" s="14">
        <f>AI156*VLOOKUP('Données projet'!$B$10,Paramètres!$A$1:$I$89,3,0)*VLOOKUP('Données projet'!$B$10,Paramètres!$A$1:$I$89,5,0)</f>
        <v>2.9795046430081134E-13</v>
      </c>
      <c r="AK156" s="14">
        <f t="shared" si="164"/>
        <v>3.9419014464513778E-12</v>
      </c>
      <c r="AL156" s="22">
        <f t="shared" si="165"/>
        <v>7.384408744560063E-12</v>
      </c>
      <c r="AM156" s="62">
        <f t="shared" si="113"/>
        <v>293.3333333333407</v>
      </c>
      <c r="AN156" s="62">
        <f ca="1">AVERAGE(OFFSET($AM$3,0,0,'Données projet'!$E$10+1,1))-AVERAGE(OFFSET($H$3,0,0,'Données projet'!$E$10+1,1))</f>
        <v>179.7474263412401</v>
      </c>
      <c r="AO156" s="62">
        <f t="shared" si="144"/>
        <v>234.90106311484084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8.2664477385032731E-19</v>
      </c>
      <c r="AX156" s="23">
        <f t="shared" si="166"/>
        <v>8.2664477385032731E-19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86.085999999999785</v>
      </c>
      <c r="D157" s="12">
        <f t="shared" si="140"/>
        <v>23.618833642367036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846.84432987090179</v>
      </c>
      <c r="H157" s="70">
        <f t="shared" si="110"/>
        <v>484.40258526045551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6.3550942286383367E-14</v>
      </c>
      <c r="P157" s="14">
        <f t="shared" si="141"/>
        <v>1.0064464192543978E-12</v>
      </c>
      <c r="Q157" s="22">
        <f t="shared" si="162"/>
        <v>1.8635787380168604E-12</v>
      </c>
      <c r="R157" s="62">
        <f t="shared" si="109"/>
        <v>293.33333333333519</v>
      </c>
      <c r="S157" s="62">
        <f ca="1">AVERAGE(OFFSET($R$3,0,0,'Données projet'!$E$9+1,1))-AVERAGE(OFFSET($H$3,0,0,'Données projet'!$E$9+1,1))</f>
        <v>247.87882458322304</v>
      </c>
      <c r="T157" s="62">
        <f t="shared" si="142"/>
        <v>318.46892604922397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0.33519438428987308</v>
      </c>
      <c r="AB157" s="23">
        <f>EXP(-LN(2)/2)*AB156+(1-EXP(-LN(2)/2))/(LN(2)/2)*V157*Y157*VLOOKUP('Données projet'!$B$9,Paramètres!$A$1:$I$89,3,0)*0.475*44/12</f>
        <v>7.1570597475298054E-19</v>
      </c>
      <c r="AC157" s="24">
        <f t="shared" si="163"/>
        <v>0.33519438428987308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3.4106051316484809E-13</v>
      </c>
      <c r="AJ157" s="14">
        <f>AI157*VLOOKUP('Données projet'!$B$10,Paramètres!$A$1:$I$89,3,0)*VLOOKUP('Données projet'!$B$10,Paramètres!$A$1:$I$89,5,0)</f>
        <v>2.9795046430081134E-13</v>
      </c>
      <c r="AK157" s="14">
        <f t="shared" si="164"/>
        <v>3.9419014464513778E-12</v>
      </c>
      <c r="AL157" s="22">
        <f t="shared" si="165"/>
        <v>7.384408744560063E-12</v>
      </c>
      <c r="AM157" s="62">
        <f t="shared" si="113"/>
        <v>293.3333333333407</v>
      </c>
      <c r="AN157" s="62">
        <f ca="1">AVERAGE(OFFSET($AM$3,0,0,'Données projet'!$E$10+1,1))-AVERAGE(OFFSET($H$3,0,0,'Données projet'!$E$10+1,1))</f>
        <v>179.7474263412401</v>
      </c>
      <c r="AO157" s="62">
        <f t="shared" si="144"/>
        <v>234.90106311484084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5.8452612522198645E-19</v>
      </c>
      <c r="AX157" s="23">
        <f t="shared" si="166"/>
        <v>5.8452612522198645E-19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86.644999999999783</v>
      </c>
      <c r="D158" s="12">
        <f t="shared" si="140"/>
        <v>23.75429944312544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852.20511850833509</v>
      </c>
      <c r="H158" s="70">
        <f t="shared" si="110"/>
        <v>485.61211319677642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6.3550942286383367E-14</v>
      </c>
      <c r="P158" s="14">
        <f t="shared" si="141"/>
        <v>1.0064464192543978E-12</v>
      </c>
      <c r="Q158" s="22">
        <f t="shared" si="162"/>
        <v>1.8635787380168604E-12</v>
      </c>
      <c r="R158" s="62">
        <f t="shared" si="109"/>
        <v>293.33333333333519</v>
      </c>
      <c r="S158" s="62">
        <f ca="1">AVERAGE(OFFSET($R$3,0,0,'Données projet'!$E$9+1,1))-AVERAGE(OFFSET($H$3,0,0,'Données projet'!$E$9+1,1))</f>
        <v>247.87882458322304</v>
      </c>
      <c r="T158" s="62">
        <f t="shared" si="142"/>
        <v>318.46892604922397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0.32602847622435993</v>
      </c>
      <c r="AB158" s="23">
        <f>EXP(-LN(2)/2)*AB157+(1-EXP(-LN(2)/2))/(LN(2)/2)*V158*Y158*VLOOKUP('Données projet'!$B$9,Paramètres!$A$1:$I$89,3,0)*0.475*44/12</f>
        <v>5.0608054808356051E-19</v>
      </c>
      <c r="AC158" s="24">
        <f t="shared" si="163"/>
        <v>0.32602847622435993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3.4106051316484809E-13</v>
      </c>
      <c r="AJ158" s="14">
        <f>AI158*VLOOKUP('Données projet'!$B$10,Paramètres!$A$1:$I$89,3,0)*VLOOKUP('Données projet'!$B$10,Paramètres!$A$1:$I$89,5,0)</f>
        <v>2.9795046430081134E-13</v>
      </c>
      <c r="AK158" s="14">
        <f t="shared" si="164"/>
        <v>3.9419014464513778E-12</v>
      </c>
      <c r="AL158" s="22">
        <f t="shared" si="165"/>
        <v>7.384408744560063E-12</v>
      </c>
      <c r="AM158" s="62">
        <f t="shared" si="113"/>
        <v>293.3333333333407</v>
      </c>
      <c r="AN158" s="62">
        <f ca="1">AVERAGE(OFFSET($AM$3,0,0,'Données projet'!$E$10+1,1))-AVERAGE(OFFSET($H$3,0,0,'Données projet'!$E$10+1,1))</f>
        <v>179.7474263412401</v>
      </c>
      <c r="AO158" s="62">
        <f t="shared" si="144"/>
        <v>234.90106311484084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4.1332238692516365E-19</v>
      </c>
      <c r="AX158" s="23">
        <f t="shared" si="166"/>
        <v>4.1332238692516365E-19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87.20399999999978</v>
      </c>
      <c r="D159" s="12">
        <f t="shared" si="140"/>
        <v>23.889663550879664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857.5651221471395</v>
      </c>
      <c r="H159" s="70">
        <f t="shared" si="110"/>
        <v>486.82146401778164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6.3550942286383367E-14</v>
      </c>
      <c r="P159" s="14">
        <f t="shared" si="141"/>
        <v>1.0064464192543978E-12</v>
      </c>
      <c r="Q159" s="22">
        <f t="shared" si="162"/>
        <v>1.8635787380168604E-12</v>
      </c>
      <c r="R159" s="62">
        <f t="shared" si="109"/>
        <v>293.33333333333519</v>
      </c>
      <c r="S159" s="62">
        <f ca="1">AVERAGE(OFFSET($R$3,0,0,'Données projet'!$E$9+1,1))-AVERAGE(OFFSET($H$3,0,0,'Données projet'!$E$9+1,1))</f>
        <v>247.87882458322304</v>
      </c>
      <c r="T159" s="62">
        <f t="shared" si="142"/>
        <v>318.46892604922397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0.31711321039691237</v>
      </c>
      <c r="AB159" s="23">
        <f>EXP(-LN(2)/2)*AB158+(1-EXP(-LN(2)/2))/(LN(2)/2)*V159*Y159*VLOOKUP('Données projet'!$B$9,Paramètres!$A$1:$I$89,3,0)*0.475*44/12</f>
        <v>3.5785298737649027E-19</v>
      </c>
      <c r="AC159" s="24">
        <f t="shared" si="163"/>
        <v>0.31711321039691237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3.4106051316484809E-13</v>
      </c>
      <c r="AJ159" s="14">
        <f>AI159*VLOOKUP('Données projet'!$B$10,Paramètres!$A$1:$I$89,3,0)*VLOOKUP('Données projet'!$B$10,Paramètres!$A$1:$I$89,5,0)</f>
        <v>2.9795046430081134E-13</v>
      </c>
      <c r="AK159" s="14">
        <f t="shared" si="164"/>
        <v>3.9419014464513778E-12</v>
      </c>
      <c r="AL159" s="22">
        <f t="shared" si="165"/>
        <v>7.384408744560063E-12</v>
      </c>
      <c r="AM159" s="62">
        <f t="shared" si="113"/>
        <v>293.3333333333407</v>
      </c>
      <c r="AN159" s="62">
        <f ca="1">AVERAGE(OFFSET($AM$3,0,0,'Données projet'!$E$10+1,1))-AVERAGE(OFFSET($H$3,0,0,'Données projet'!$E$10+1,1))</f>
        <v>179.7474263412401</v>
      </c>
      <c r="AO159" s="62">
        <f t="shared" si="144"/>
        <v>234.90106311484084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2.9226306261099322E-19</v>
      </c>
      <c r="AX159" s="23">
        <f t="shared" si="166"/>
        <v>2.9226306261099322E-19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87.762999999999778</v>
      </c>
      <c r="D160" s="12">
        <f t="shared" si="140"/>
        <v>24.024926693125117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862.92434640306931</v>
      </c>
      <c r="H160" s="70">
        <f t="shared" si="110"/>
        <v>488.03063899052586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6.3550942286383367E-14</v>
      </c>
      <c r="P160" s="14">
        <f t="shared" si="141"/>
        <v>1.0064464192543978E-12</v>
      </c>
      <c r="Q160" s="22">
        <f t="shared" si="162"/>
        <v>1.8635787380168604E-12</v>
      </c>
      <c r="R160" s="62">
        <f t="shared" si="109"/>
        <v>293.33333333333519</v>
      </c>
      <c r="S160" s="62">
        <f ca="1">AVERAGE(OFFSET($R$3,0,0,'Données projet'!$E$9+1,1))-AVERAGE(OFFSET($H$3,0,0,'Données projet'!$E$9+1,1))</f>
        <v>247.87882458322304</v>
      </c>
      <c r="T160" s="62">
        <f t="shared" si="142"/>
        <v>318.46892604922397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0.30844173298234984</v>
      </c>
      <c r="AB160" s="23">
        <f>EXP(-LN(2)/2)*AB159+(1-EXP(-LN(2)/2))/(LN(2)/2)*V160*Y160*VLOOKUP('Données projet'!$B$9,Paramètres!$A$1:$I$89,3,0)*0.475*44/12</f>
        <v>2.5304027404178025E-19</v>
      </c>
      <c r="AC160" s="24">
        <f t="shared" si="163"/>
        <v>0.30844173298234984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3.4106051316484809E-13</v>
      </c>
      <c r="AJ160" s="14">
        <f>AI160*VLOOKUP('Données projet'!$B$10,Paramètres!$A$1:$I$89,3,0)*VLOOKUP('Données projet'!$B$10,Paramètres!$A$1:$I$89,5,0)</f>
        <v>2.9795046430081134E-13</v>
      </c>
      <c r="AK160" s="14">
        <f t="shared" si="164"/>
        <v>3.9419014464513778E-12</v>
      </c>
      <c r="AL160" s="22">
        <f t="shared" si="165"/>
        <v>7.384408744560063E-12</v>
      </c>
      <c r="AM160" s="62">
        <f t="shared" si="113"/>
        <v>293.3333333333407</v>
      </c>
      <c r="AN160" s="62">
        <f ca="1">AVERAGE(OFFSET($AM$3,0,0,'Données projet'!$E$10+1,1))-AVERAGE(OFFSET($H$3,0,0,'Données projet'!$E$10+1,1))</f>
        <v>179.7474263412401</v>
      </c>
      <c r="AO160" s="62">
        <f t="shared" si="144"/>
        <v>234.90106311484084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2.0666119346258183E-19</v>
      </c>
      <c r="AX160" s="23">
        <f t="shared" si="166"/>
        <v>2.0666119346258183E-19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88.321999999999775</v>
      </c>
      <c r="D161" s="12">
        <f t="shared" si="140"/>
        <v>24.160089587553845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868.28279681620336</v>
      </c>
      <c r="H161" s="70">
        <f t="shared" si="110"/>
        <v>489.23963936498916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6.3550942286383367E-14</v>
      </c>
      <c r="P161" s="14">
        <f t="shared" si="141"/>
        <v>1.0064464192543978E-12</v>
      </c>
      <c r="Q161" s="22">
        <f t="shared" si="162"/>
        <v>1.8635787380168604E-12</v>
      </c>
      <c r="R161" s="62">
        <f t="shared" si="109"/>
        <v>293.33333333333519</v>
      </c>
      <c r="S161" s="62">
        <f ca="1">AVERAGE(OFFSET($R$3,0,0,'Données projet'!$E$9+1,1))-AVERAGE(OFFSET($H$3,0,0,'Données projet'!$E$9+1,1))</f>
        <v>247.87882458322304</v>
      </c>
      <c r="T161" s="62">
        <f t="shared" si="142"/>
        <v>318.46892604922397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0.30000737757370172</v>
      </c>
      <c r="AB161" s="23">
        <f>EXP(-LN(2)/2)*AB160+(1-EXP(-LN(2)/2))/(LN(2)/2)*V161*Y161*VLOOKUP('Données projet'!$B$9,Paramètres!$A$1:$I$89,3,0)*0.475*44/12</f>
        <v>1.7892649368824513E-19</v>
      </c>
      <c r="AC161" s="24">
        <f t="shared" si="163"/>
        <v>0.30000737757370172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3.4106051316484809E-13</v>
      </c>
      <c r="AJ161" s="14">
        <f>AI161*VLOOKUP('Données projet'!$B$10,Paramètres!$A$1:$I$89,3,0)*VLOOKUP('Données projet'!$B$10,Paramètres!$A$1:$I$89,5,0)</f>
        <v>2.9795046430081134E-13</v>
      </c>
      <c r="AK161" s="14">
        <f t="shared" si="164"/>
        <v>3.9419014464513778E-12</v>
      </c>
      <c r="AL161" s="22">
        <f t="shared" si="165"/>
        <v>7.384408744560063E-12</v>
      </c>
      <c r="AM161" s="62">
        <f t="shared" si="113"/>
        <v>293.3333333333407</v>
      </c>
      <c r="AN161" s="62">
        <f ca="1">AVERAGE(OFFSET($AM$3,0,0,'Données projet'!$E$10+1,1))-AVERAGE(OFFSET($H$3,0,0,'Données projet'!$E$10+1,1))</f>
        <v>179.7474263412401</v>
      </c>
      <c r="AO161" s="62">
        <f t="shared" si="144"/>
        <v>234.90106311484084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1.4613153130549661E-19</v>
      </c>
      <c r="AX161" s="23">
        <f t="shared" si="166"/>
        <v>1.4613153130549661E-19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88.880999999999773</v>
      </c>
      <c r="D162" s="12">
        <f t="shared" si="140"/>
        <v>24.295152942247746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873.64047885243701</v>
      </c>
      <c r="H162" s="70">
        <f t="shared" si="110"/>
        <v>490.44846637441435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6.3550942286383367E-14</v>
      </c>
      <c r="P162" s="14">
        <f t="shared" si="141"/>
        <v>1.0064464192543978E-12</v>
      </c>
      <c r="Q162" s="22">
        <f t="shared" si="162"/>
        <v>1.8635787380168604E-12</v>
      </c>
      <c r="R162" s="62">
        <f t="shared" si="109"/>
        <v>293.33333333333519</v>
      </c>
      <c r="S162" s="62">
        <f ca="1">AVERAGE(OFFSET($R$3,0,0,'Données projet'!$E$9+1,1))-AVERAGE(OFFSET($H$3,0,0,'Données projet'!$E$9+1,1))</f>
        <v>247.87882458322304</v>
      </c>
      <c r="T162" s="62">
        <f t="shared" si="142"/>
        <v>318.46892604922397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0.29180366005724651</v>
      </c>
      <c r="AB162" s="23">
        <f>EXP(-LN(2)/2)*AB161+(1-EXP(-LN(2)/2))/(LN(2)/2)*V162*Y162*VLOOKUP('Données projet'!$B$9,Paramètres!$A$1:$I$89,3,0)*0.475*44/12</f>
        <v>1.2652013702089013E-19</v>
      </c>
      <c r="AC162" s="24">
        <f t="shared" si="163"/>
        <v>0.29180366005724651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3.4106051316484809E-13</v>
      </c>
      <c r="AJ162" s="14">
        <f>AI162*VLOOKUP('Données projet'!$B$10,Paramètres!$A$1:$I$89,3,0)*VLOOKUP('Données projet'!$B$10,Paramètres!$A$1:$I$89,5,0)</f>
        <v>2.9795046430081134E-13</v>
      </c>
      <c r="AK162" s="14">
        <f t="shared" si="164"/>
        <v>3.9419014464513778E-12</v>
      </c>
      <c r="AL162" s="22">
        <f t="shared" si="165"/>
        <v>7.384408744560063E-12</v>
      </c>
      <c r="AM162" s="62">
        <f t="shared" si="113"/>
        <v>293.3333333333407</v>
      </c>
      <c r="AN162" s="62">
        <f ca="1">AVERAGE(OFFSET($AM$3,0,0,'Données projet'!$E$10+1,1))-AVERAGE(OFFSET($H$3,0,0,'Données projet'!$E$10+1,1))</f>
        <v>179.7474263412401</v>
      </c>
      <c r="AO162" s="62">
        <f t="shared" si="144"/>
        <v>234.90106311484084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1.0333059673129091E-19</v>
      </c>
      <c r="AX162" s="23">
        <f t="shared" si="166"/>
        <v>1.0333059673129091E-19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89.43999999999977</v>
      </c>
      <c r="D163" s="12">
        <f t="shared" si="140"/>
        <v>24.430117455866995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878.99739790493641</v>
      </c>
      <c r="H163" s="70">
        <f t="shared" si="110"/>
        <v>491.65712123563458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6.3550942286383367E-14</v>
      </c>
      <c r="P163" s="14">
        <f t="shared" si="141"/>
        <v>1.0064464192543978E-12</v>
      </c>
      <c r="Q163" s="22">
        <f t="shared" si="162"/>
        <v>1.8635787380168604E-12</v>
      </c>
      <c r="R163" s="62">
        <f t="shared" si="109"/>
        <v>293.33333333333519</v>
      </c>
      <c r="S163" s="62">
        <f ca="1">AVERAGE(OFFSET($R$3,0,0,'Données projet'!$E$9+1,1))-AVERAGE(OFFSET($H$3,0,0,'Données projet'!$E$9+1,1))</f>
        <v>247.87882458322304</v>
      </c>
      <c r="T163" s="62">
        <f t="shared" si="142"/>
        <v>318.46892604922397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0.28382427362769352</v>
      </c>
      <c r="AB163" s="23">
        <f>EXP(-LN(2)/2)*AB162+(1-EXP(-LN(2)/2))/(LN(2)/2)*V163*Y163*VLOOKUP('Données projet'!$B$9,Paramètres!$A$1:$I$89,3,0)*0.475*44/12</f>
        <v>8.9463246844122567E-20</v>
      </c>
      <c r="AC163" s="24">
        <f t="shared" si="163"/>
        <v>0.28382427362769352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3.4106051316484809E-13</v>
      </c>
      <c r="AJ163" s="14">
        <f>AI163*VLOOKUP('Données projet'!$B$10,Paramètres!$A$1:$I$89,3,0)*VLOOKUP('Données projet'!$B$10,Paramètres!$A$1:$I$89,5,0)</f>
        <v>2.9795046430081134E-13</v>
      </c>
      <c r="AK163" s="14">
        <f t="shared" si="164"/>
        <v>3.9419014464513778E-12</v>
      </c>
      <c r="AL163" s="22">
        <f t="shared" si="165"/>
        <v>7.384408744560063E-12</v>
      </c>
      <c r="AM163" s="62">
        <f t="shared" si="113"/>
        <v>293.3333333333407</v>
      </c>
      <c r="AN163" s="62">
        <f ca="1">AVERAGE(OFFSET($AM$3,0,0,'Données projet'!$E$10+1,1))-AVERAGE(OFFSET($H$3,0,0,'Données projet'!$E$10+1,1))</f>
        <v>179.7474263412401</v>
      </c>
      <c r="AO163" s="62">
        <f t="shared" si="144"/>
        <v>234.90106311484084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7.3065765652748306E-20</v>
      </c>
      <c r="AX163" s="23">
        <f t="shared" si="166"/>
        <v>7.3065765652748306E-20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89.998999999999768</v>
      </c>
      <c r="D164" s="12">
        <f t="shared" si="140"/>
        <v>24.564983817833372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884.35355929555408</v>
      </c>
      <c r="H164" s="70">
        <f t="shared" si="110"/>
        <v>492.86560514939265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6.3550942286383367E-14</v>
      </c>
      <c r="P164" s="14">
        <f t="shared" si="141"/>
        <v>1.0064464192543978E-12</v>
      </c>
      <c r="Q164" s="22">
        <f t="shared" si="162"/>
        <v>1.8635787380168604E-12</v>
      </c>
      <c r="R164" s="62">
        <f t="shared" si="109"/>
        <v>293.33333333333519</v>
      </c>
      <c r="S164" s="62">
        <f ca="1">AVERAGE(OFFSET($R$3,0,0,'Données projet'!$E$9+1,1))-AVERAGE(OFFSET($H$3,0,0,'Données projet'!$E$9+1,1))</f>
        <v>247.87882458322304</v>
      </c>
      <c r="T164" s="62">
        <f t="shared" si="142"/>
        <v>318.46892604922397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0.27606308393967438</v>
      </c>
      <c r="AB164" s="23">
        <f>EXP(-LN(2)/2)*AB163+(1-EXP(-LN(2)/2))/(LN(2)/2)*V164*Y164*VLOOKUP('Données projet'!$B$9,Paramètres!$A$1:$I$89,3,0)*0.475*44/12</f>
        <v>6.3260068510445063E-20</v>
      </c>
      <c r="AC164" s="24">
        <f t="shared" si="163"/>
        <v>0.27606308393967438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3.4106051316484809E-13</v>
      </c>
      <c r="AJ164" s="14">
        <f>AI164*VLOOKUP('Données projet'!$B$10,Paramètres!$A$1:$I$89,3,0)*VLOOKUP('Données projet'!$B$10,Paramètres!$A$1:$I$89,5,0)</f>
        <v>2.9795046430081134E-13</v>
      </c>
      <c r="AK164" s="14">
        <f t="shared" si="164"/>
        <v>3.9419014464513778E-12</v>
      </c>
      <c r="AL164" s="22">
        <f t="shared" si="165"/>
        <v>7.384408744560063E-12</v>
      </c>
      <c r="AM164" s="62">
        <f t="shared" si="113"/>
        <v>293.3333333333407</v>
      </c>
      <c r="AN164" s="62">
        <f ca="1">AVERAGE(OFFSET($AM$3,0,0,'Données projet'!$E$10+1,1))-AVERAGE(OFFSET($H$3,0,0,'Données projet'!$E$10+1,1))</f>
        <v>179.7474263412401</v>
      </c>
      <c r="AO164" s="62">
        <f t="shared" si="144"/>
        <v>234.90106311484084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5.1665298365645457E-20</v>
      </c>
      <c r="AX164" s="23">
        <f t="shared" si="166"/>
        <v>5.1665298365645457E-20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90.557999999999765</v>
      </c>
      <c r="D165" s="12">
        <f t="shared" si="140"/>
        <v>24.699752708509081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889.70896827620857</v>
      </c>
      <c r="H165" s="70">
        <f t="shared" si="110"/>
        <v>494.0739193006529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6.3550942286383367E-14</v>
      </c>
      <c r="P165" s="14">
        <f t="shared" si="141"/>
        <v>1.0064464192543978E-12</v>
      </c>
      <c r="Q165" s="22">
        <f t="shared" si="162"/>
        <v>1.8635787380168604E-12</v>
      </c>
      <c r="R165" s="62">
        <f t="shared" si="109"/>
        <v>293.33333333333519</v>
      </c>
      <c r="S165" s="62">
        <f ca="1">AVERAGE(OFFSET($R$3,0,0,'Données projet'!$E$9+1,1))-AVERAGE(OFFSET($H$3,0,0,'Données projet'!$E$9+1,1))</f>
        <v>247.87882458322304</v>
      </c>
      <c r="T165" s="62">
        <f t="shared" si="142"/>
        <v>318.46892604922397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0.26851412439181738</v>
      </c>
      <c r="AB165" s="23">
        <f>EXP(-LN(2)/2)*AB164+(1-EXP(-LN(2)/2))/(LN(2)/2)*V165*Y165*VLOOKUP('Données projet'!$B$9,Paramètres!$A$1:$I$89,3,0)*0.475*44/12</f>
        <v>4.4731623422061284E-20</v>
      </c>
      <c r="AC165" s="24">
        <f t="shared" si="163"/>
        <v>0.26851412439181738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3.4106051316484809E-13</v>
      </c>
      <c r="AJ165" s="14">
        <f>AI165*VLOOKUP('Données projet'!$B$10,Paramètres!$A$1:$I$89,3,0)*VLOOKUP('Données projet'!$B$10,Paramètres!$A$1:$I$89,5,0)</f>
        <v>2.9795046430081134E-13</v>
      </c>
      <c r="AK165" s="14">
        <f t="shared" si="164"/>
        <v>3.9419014464513778E-12</v>
      </c>
      <c r="AL165" s="22">
        <f t="shared" si="165"/>
        <v>7.384408744560063E-12</v>
      </c>
      <c r="AM165" s="62">
        <f t="shared" si="113"/>
        <v>293.3333333333407</v>
      </c>
      <c r="AN165" s="62">
        <f ca="1">AVERAGE(OFFSET($AM$3,0,0,'Données projet'!$E$10+1,1))-AVERAGE(OFFSET($H$3,0,0,'Données projet'!$E$10+1,1))</f>
        <v>179.7474263412401</v>
      </c>
      <c r="AO165" s="62">
        <f t="shared" si="144"/>
        <v>234.90106311484084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3.6532882826374153E-20</v>
      </c>
      <c r="AX165" s="23">
        <f t="shared" si="166"/>
        <v>3.6532882826374153E-20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91.116999999999763</v>
      </c>
      <c r="D166" s="12">
        <f t="shared" si="140"/>
        <v>24.834424799371007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895.06363003023068</v>
      </c>
      <c r="H166" s="70">
        <f t="shared" si="110"/>
        <v>495.28206485890405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6.3550942286383367E-14</v>
      </c>
      <c r="P166" s="14">
        <f t="shared" si="141"/>
        <v>1.0064464192543978E-12</v>
      </c>
      <c r="Q166" s="22">
        <f t="shared" si="162"/>
        <v>1.8635787380168604E-12</v>
      </c>
      <c r="R166" s="62">
        <f t="shared" si="109"/>
        <v>293.33333333333519</v>
      </c>
      <c r="S166" s="62">
        <f ca="1">AVERAGE(OFFSET($R$3,0,0,'Données projet'!$E$9+1,1))-AVERAGE(OFFSET($H$3,0,0,'Données projet'!$E$9+1,1))</f>
        <v>247.87882458322304</v>
      </c>
      <c r="T166" s="62">
        <f t="shared" si="142"/>
        <v>318.46892604922397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0.26117159153977904</v>
      </c>
      <c r="AB166" s="23">
        <f>EXP(-LN(2)/2)*AB165+(1-EXP(-LN(2)/2))/(LN(2)/2)*V166*Y166*VLOOKUP('Données projet'!$B$9,Paramètres!$A$1:$I$89,3,0)*0.475*44/12</f>
        <v>3.1630034255222532E-20</v>
      </c>
      <c r="AC166" s="24">
        <f t="shared" si="163"/>
        <v>0.26117159153977904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3.4106051316484809E-13</v>
      </c>
      <c r="AJ166" s="14">
        <f>AI166*VLOOKUP('Données projet'!$B$10,Paramètres!$A$1:$I$89,3,0)*VLOOKUP('Données projet'!$B$10,Paramètres!$A$1:$I$89,5,0)</f>
        <v>2.9795046430081134E-13</v>
      </c>
      <c r="AK166" s="14">
        <f t="shared" si="164"/>
        <v>3.9419014464513778E-12</v>
      </c>
      <c r="AL166" s="22">
        <f t="shared" si="165"/>
        <v>7.384408744560063E-12</v>
      </c>
      <c r="AM166" s="62">
        <f t="shared" si="113"/>
        <v>293.3333333333407</v>
      </c>
      <c r="AN166" s="62">
        <f ca="1">AVERAGE(OFFSET($AM$3,0,0,'Données projet'!$E$10+1,1))-AVERAGE(OFFSET($H$3,0,0,'Données projet'!$E$10+1,1))</f>
        <v>179.7474263412401</v>
      </c>
      <c r="AO166" s="62">
        <f t="shared" si="144"/>
        <v>234.90106311484084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2.5832649182822728E-20</v>
      </c>
      <c r="AX166" s="23">
        <f t="shared" si="166"/>
        <v>2.5832649182822728E-20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91.67599999999976</v>
      </c>
      <c r="D167" s="12">
        <f t="shared" si="140"/>
        <v>24.969000753180424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900.4175496736716</v>
      </c>
      <c r="H167" s="70">
        <f t="shared" si="110"/>
        <v>496.49004297845545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6.3550942286383367E-14</v>
      </c>
      <c r="P167" s="14">
        <f t="shared" si="141"/>
        <v>1.0064464192543978E-12</v>
      </c>
      <c r="Q167" s="22">
        <f t="shared" si="162"/>
        <v>1.8635787380168604E-12</v>
      </c>
      <c r="R167" s="62">
        <f t="shared" si="109"/>
        <v>293.33333333333519</v>
      </c>
      <c r="S167" s="62">
        <f ca="1">AVERAGE(OFFSET($R$3,0,0,'Données projet'!$E$9+1,1))-AVERAGE(OFFSET($H$3,0,0,'Données projet'!$E$9+1,1))</f>
        <v>247.87882458322304</v>
      </c>
      <c r="T167" s="62">
        <f t="shared" si="142"/>
        <v>318.46892604922397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0.25402984063470668</v>
      </c>
      <c r="AB167" s="23">
        <f>EXP(-LN(2)/2)*AB166+(1-EXP(-LN(2)/2))/(LN(2)/2)*V167*Y167*VLOOKUP('Données projet'!$B$9,Paramètres!$A$1:$I$89,3,0)*0.475*44/12</f>
        <v>2.2365811711030642E-20</v>
      </c>
      <c r="AC167" s="24">
        <f t="shared" si="163"/>
        <v>0.25402984063470668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3.4106051316484809E-13</v>
      </c>
      <c r="AJ167" s="14">
        <f>AI167*VLOOKUP('Données projet'!$B$10,Paramètres!$A$1:$I$89,3,0)*VLOOKUP('Données projet'!$B$10,Paramètres!$A$1:$I$89,5,0)</f>
        <v>2.9795046430081134E-13</v>
      </c>
      <c r="AK167" s="14">
        <f t="shared" si="164"/>
        <v>3.9419014464513778E-12</v>
      </c>
      <c r="AL167" s="22">
        <f t="shared" si="165"/>
        <v>7.384408744560063E-12</v>
      </c>
      <c r="AM167" s="62">
        <f t="shared" si="113"/>
        <v>293.3333333333407</v>
      </c>
      <c r="AN167" s="62">
        <f ca="1">AVERAGE(OFFSET($AM$3,0,0,'Données projet'!$E$10+1,1))-AVERAGE(OFFSET($H$3,0,0,'Données projet'!$E$10+1,1))</f>
        <v>179.7474263412401</v>
      </c>
      <c r="AO167" s="62">
        <f t="shared" si="144"/>
        <v>234.90106311484084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1.8266441413187076E-20</v>
      </c>
      <c r="AX167" s="23">
        <f t="shared" si="166"/>
        <v>1.8266441413187076E-20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92.234999999999758</v>
      </c>
      <c r="D168" s="12">
        <f t="shared" si="140"/>
        <v>25.103481224148709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905.77073225658467</v>
      </c>
      <c r="H168" s="70">
        <f t="shared" si="110"/>
        <v>497.69785479872519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6.3550942286383367E-14</v>
      </c>
      <c r="P168" s="14">
        <f t="shared" si="141"/>
        <v>1.0064464192543978E-12</v>
      </c>
      <c r="Q168" s="22">
        <f t="shared" si="162"/>
        <v>1.8635787380168604E-12</v>
      </c>
      <c r="R168" s="62">
        <f t="shared" si="109"/>
        <v>293.33333333333519</v>
      </c>
      <c r="S168" s="62">
        <f ca="1">AVERAGE(OFFSET($R$3,0,0,'Données projet'!$E$9+1,1))-AVERAGE(OFFSET($H$3,0,0,'Données projet'!$E$9+1,1))</f>
        <v>247.87882458322304</v>
      </c>
      <c r="T168" s="62">
        <f t="shared" si="142"/>
        <v>318.46892604922397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0.24708338128370191</v>
      </c>
      <c r="AB168" s="23">
        <f>EXP(-LN(2)/2)*AB167+(1-EXP(-LN(2)/2))/(LN(2)/2)*V168*Y168*VLOOKUP('Données projet'!$B$9,Paramètres!$A$1:$I$89,3,0)*0.475*44/12</f>
        <v>1.5815017127611266E-20</v>
      </c>
      <c r="AC168" s="24">
        <f t="shared" si="163"/>
        <v>0.24708338128370191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3.4106051316484809E-13</v>
      </c>
      <c r="AJ168" s="14">
        <f>AI168*VLOOKUP('Données projet'!$B$10,Paramètres!$A$1:$I$89,3,0)*VLOOKUP('Données projet'!$B$10,Paramètres!$A$1:$I$89,5,0)</f>
        <v>2.9795046430081134E-13</v>
      </c>
      <c r="AK168" s="14">
        <f t="shared" si="164"/>
        <v>3.9419014464513778E-12</v>
      </c>
      <c r="AL168" s="22">
        <f t="shared" si="165"/>
        <v>7.384408744560063E-12</v>
      </c>
      <c r="AM168" s="62">
        <f t="shared" si="113"/>
        <v>293.3333333333407</v>
      </c>
      <c r="AN168" s="62">
        <f ca="1">AVERAGE(OFFSET($AM$3,0,0,'Données projet'!$E$10+1,1))-AVERAGE(OFFSET($H$3,0,0,'Données projet'!$E$10+1,1))</f>
        <v>179.7474263412401</v>
      </c>
      <c r="AO168" s="62">
        <f t="shared" si="144"/>
        <v>234.90106311484084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1.2916324591411364E-20</v>
      </c>
      <c r="AX168" s="23">
        <f t="shared" si="166"/>
        <v>1.2916324591411364E-20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92.793999999999755</v>
      </c>
      <c r="D169" s="12">
        <f t="shared" si="140"/>
        <v>25.237866858098624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911.12318276426822</v>
      </c>
      <c r="H169" s="70">
        <f t="shared" si="110"/>
        <v>498.90550144452129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6.3550942286383367E-14</v>
      </c>
      <c r="P169" s="14">
        <f t="shared" si="141"/>
        <v>1.0064464192543978E-12</v>
      </c>
      <c r="Q169" s="22">
        <f t="shared" si="162"/>
        <v>1.8635787380168604E-12</v>
      </c>
      <c r="R169" s="62">
        <f t="shared" si="109"/>
        <v>293.33333333333519</v>
      </c>
      <c r="S169" s="62">
        <f ca="1">AVERAGE(OFFSET($R$3,0,0,'Données projet'!$E$9+1,1))-AVERAGE(OFFSET($H$3,0,0,'Données projet'!$E$9+1,1))</f>
        <v>247.87882458322304</v>
      </c>
      <c r="T169" s="62">
        <f t="shared" si="142"/>
        <v>318.46892604922397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0.24032687322894877</v>
      </c>
      <c r="AB169" s="23">
        <f>EXP(-LN(2)/2)*AB168+(1-EXP(-LN(2)/2))/(LN(2)/2)*V169*Y169*VLOOKUP('Données projet'!$B$9,Paramètres!$A$1:$I$89,3,0)*0.475*44/12</f>
        <v>1.1182905855515321E-20</v>
      </c>
      <c r="AC169" s="24">
        <f t="shared" si="163"/>
        <v>0.24032687322894877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3.4106051316484809E-13</v>
      </c>
      <c r="AJ169" s="14">
        <f>AI169*VLOOKUP('Données projet'!$B$10,Paramètres!$A$1:$I$89,3,0)*VLOOKUP('Données projet'!$B$10,Paramètres!$A$1:$I$89,5,0)</f>
        <v>2.9795046430081134E-13</v>
      </c>
      <c r="AK169" s="14">
        <f t="shared" si="164"/>
        <v>3.9419014464513778E-12</v>
      </c>
      <c r="AL169" s="22">
        <f t="shared" si="165"/>
        <v>7.384408744560063E-12</v>
      </c>
      <c r="AM169" s="62">
        <f t="shared" si="113"/>
        <v>293.3333333333407</v>
      </c>
      <c r="AN169" s="62">
        <f ca="1">AVERAGE(OFFSET($AM$3,0,0,'Données projet'!$E$10+1,1))-AVERAGE(OFFSET($H$3,0,0,'Données projet'!$E$10+1,1))</f>
        <v>179.7474263412401</v>
      </c>
      <c r="AO169" s="62">
        <f t="shared" si="144"/>
        <v>234.90106311484084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9.1332207065935382E-21</v>
      </c>
      <c r="AX169" s="23">
        <f t="shared" si="166"/>
        <v>9.1332207065935382E-21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93.352999999999753</v>
      </c>
      <c r="D170" s="12">
        <f t="shared" si="140"/>
        <v>25.372158292621872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916.47490611848286</v>
      </c>
      <c r="H170" s="70">
        <f t="shared" si="110"/>
        <v>500.11298402631598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6.3550942286383367E-14</v>
      </c>
      <c r="P170" s="14">
        <f t="shared" si="141"/>
        <v>1.0064464192543978E-12</v>
      </c>
      <c r="Q170" s="22">
        <f t="shared" si="162"/>
        <v>1.8635787380168604E-12</v>
      </c>
      <c r="R170" s="62">
        <f t="shared" si="109"/>
        <v>293.33333333333519</v>
      </c>
      <c r="S170" s="62">
        <f ca="1">AVERAGE(OFFSET($R$3,0,0,'Données projet'!$E$9+1,1))-AVERAGE(OFFSET($H$3,0,0,'Données projet'!$E$9+1,1))</f>
        <v>247.87882458322304</v>
      </c>
      <c r="T170" s="62">
        <f t="shared" si="142"/>
        <v>318.46892604922397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0.23375512224226219</v>
      </c>
      <c r="AB170" s="23">
        <f>EXP(-LN(2)/2)*AB169+(1-EXP(-LN(2)/2))/(LN(2)/2)*V170*Y170*VLOOKUP('Données projet'!$B$9,Paramètres!$A$1:$I$89,3,0)*0.475*44/12</f>
        <v>7.9075085638056329E-21</v>
      </c>
      <c r="AC170" s="24">
        <f t="shared" si="163"/>
        <v>0.23375512224226219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3.4106051316484809E-13</v>
      </c>
      <c r="AJ170" s="14">
        <f>AI170*VLOOKUP('Données projet'!$B$10,Paramètres!$A$1:$I$89,3,0)*VLOOKUP('Données projet'!$B$10,Paramètres!$A$1:$I$89,5,0)</f>
        <v>2.9795046430081134E-13</v>
      </c>
      <c r="AK170" s="14">
        <f t="shared" si="164"/>
        <v>3.9419014464513778E-12</v>
      </c>
      <c r="AL170" s="22">
        <f t="shared" si="165"/>
        <v>7.384408744560063E-12</v>
      </c>
      <c r="AM170" s="62">
        <f t="shared" si="113"/>
        <v>293.3333333333407</v>
      </c>
      <c r="AN170" s="62">
        <f ca="1">AVERAGE(OFFSET($AM$3,0,0,'Données projet'!$E$10+1,1))-AVERAGE(OFFSET($H$3,0,0,'Données projet'!$E$10+1,1))</f>
        <v>179.7474263412401</v>
      </c>
      <c r="AO170" s="62">
        <f t="shared" si="144"/>
        <v>234.90106311484084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6.4581622957056821E-21</v>
      </c>
      <c r="AX170" s="23">
        <f t="shared" si="166"/>
        <v>6.4581622957056821E-21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93.91199999999975</v>
      </c>
      <c r="D171" s="12">
        <f t="shared" si="140"/>
        <v>25.506356157232599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921.8259071786357</v>
      </c>
      <c r="H171" s="70">
        <f t="shared" si="110"/>
        <v>501.32030364051298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6.3550942286383367E-14</v>
      </c>
      <c r="P171" s="14">
        <f t="shared" si="141"/>
        <v>1.0064464192543978E-12</v>
      </c>
      <c r="Q171" s="22">
        <f t="shared" si="162"/>
        <v>1.8635787380168604E-12</v>
      </c>
      <c r="R171" s="62">
        <f t="shared" si="109"/>
        <v>293.33333333333519</v>
      </c>
      <c r="S171" s="62">
        <f ca="1">AVERAGE(OFFSET($R$3,0,0,'Données projet'!$E$9+1,1))-AVERAGE(OFFSET($H$3,0,0,'Données projet'!$E$9+1,1))</f>
        <v>247.87882458322304</v>
      </c>
      <c r="T171" s="62">
        <f t="shared" si="142"/>
        <v>318.46892604922397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0.2273630761318999</v>
      </c>
      <c r="AB171" s="23">
        <f>EXP(-LN(2)/2)*AB170+(1-EXP(-LN(2)/2))/(LN(2)/2)*V171*Y171*VLOOKUP('Données projet'!$B$9,Paramètres!$A$1:$I$89,3,0)*0.475*44/12</f>
        <v>5.5914529277576604E-21</v>
      </c>
      <c r="AC171" s="24">
        <f t="shared" si="163"/>
        <v>0.2273630761318999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3.4106051316484809E-13</v>
      </c>
      <c r="AJ171" s="14">
        <f>AI171*VLOOKUP('Données projet'!$B$10,Paramètres!$A$1:$I$89,3,0)*VLOOKUP('Données projet'!$B$10,Paramètres!$A$1:$I$89,5,0)</f>
        <v>2.9795046430081134E-13</v>
      </c>
      <c r="AK171" s="14">
        <f t="shared" si="164"/>
        <v>3.9419014464513778E-12</v>
      </c>
      <c r="AL171" s="22">
        <f t="shared" si="165"/>
        <v>7.384408744560063E-12</v>
      </c>
      <c r="AM171" s="62">
        <f t="shared" si="113"/>
        <v>293.3333333333407</v>
      </c>
      <c r="AN171" s="62">
        <f ca="1">AVERAGE(OFFSET($AM$3,0,0,'Données projet'!$E$10+1,1))-AVERAGE(OFFSET($H$3,0,0,'Données projet'!$E$10+1,1))</f>
        <v>179.7474263412401</v>
      </c>
      <c r="AO171" s="62">
        <f t="shared" si="144"/>
        <v>234.90106311484084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4.5666103532967691E-21</v>
      </c>
      <c r="AX171" s="23">
        <f t="shared" si="166"/>
        <v>4.5666103532967691E-21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94.470999999999748</v>
      </c>
      <c r="D172" s="12">
        <f t="shared" si="140"/>
        <v>25.640461073517091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927.17619074293691</v>
      </c>
      <c r="H172" s="70">
        <f t="shared" si="110"/>
        <v>502.52746136970848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6.3550942286383367E-14</v>
      </c>
      <c r="P172" s="14">
        <f t="shared" si="141"/>
        <v>1.0064464192543978E-12</v>
      </c>
      <c r="Q172" s="22">
        <f t="shared" si="162"/>
        <v>1.8635787380168604E-12</v>
      </c>
      <c r="R172" s="62">
        <f t="shared" si="109"/>
        <v>293.33333333333519</v>
      </c>
      <c r="S172" s="62">
        <f ca="1">AVERAGE(OFFSET($R$3,0,0,'Données projet'!$E$9+1,1))-AVERAGE(OFFSET($H$3,0,0,'Données projet'!$E$9+1,1))</f>
        <v>247.87882458322304</v>
      </c>
      <c r="T172" s="62">
        <f t="shared" si="142"/>
        <v>318.46892604922397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0.22114582085856857</v>
      </c>
      <c r="AB172" s="23">
        <f>EXP(-LN(2)/2)*AB171+(1-EXP(-LN(2)/2))/(LN(2)/2)*V172*Y172*VLOOKUP('Données projet'!$B$9,Paramètres!$A$1:$I$89,3,0)*0.475*44/12</f>
        <v>3.9537542819028165E-21</v>
      </c>
      <c r="AC172" s="24">
        <f t="shared" si="163"/>
        <v>0.22114582085856857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3.4106051316484809E-13</v>
      </c>
      <c r="AJ172" s="14">
        <f>AI172*VLOOKUP('Données projet'!$B$10,Paramètres!$A$1:$I$89,3,0)*VLOOKUP('Données projet'!$B$10,Paramètres!$A$1:$I$89,5,0)</f>
        <v>2.9795046430081134E-13</v>
      </c>
      <c r="AK172" s="14">
        <f t="shared" si="164"/>
        <v>3.9419014464513778E-12</v>
      </c>
      <c r="AL172" s="22">
        <f t="shared" si="165"/>
        <v>7.384408744560063E-12</v>
      </c>
      <c r="AM172" s="62">
        <f t="shared" si="113"/>
        <v>293.3333333333407</v>
      </c>
      <c r="AN172" s="62">
        <f ca="1">AVERAGE(OFFSET($AM$3,0,0,'Données projet'!$E$10+1,1))-AVERAGE(OFFSET($H$3,0,0,'Données projet'!$E$10+1,1))</f>
        <v>179.7474263412401</v>
      </c>
      <c r="AO172" s="62">
        <f t="shared" si="144"/>
        <v>234.90106311484084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3.229081147852841E-21</v>
      </c>
      <c r="AX172" s="23">
        <f t="shared" si="166"/>
        <v>3.229081147852841E-21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95.029999999999745</v>
      </c>
      <c r="D173" s="12">
        <f t="shared" si="140"/>
        <v>25.774473655280115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932.52576154952885</v>
      </c>
      <c r="H173" s="70">
        <f t="shared" si="110"/>
        <v>503.73445828294575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6.3550942286383367E-14</v>
      </c>
      <c r="P173" s="14">
        <f t="shared" si="141"/>
        <v>1.0064464192543978E-12</v>
      </c>
      <c r="Q173" s="22">
        <f t="shared" si="162"/>
        <v>1.8635787380168604E-12</v>
      </c>
      <c r="R173" s="62">
        <f t="shared" si="109"/>
        <v>293.33333333333519</v>
      </c>
      <c r="S173" s="62">
        <f ca="1">AVERAGE(OFFSET($R$3,0,0,'Données projet'!$E$9+1,1))-AVERAGE(OFFSET($H$3,0,0,'Données projet'!$E$9+1,1))</f>
        <v>247.87882458322304</v>
      </c>
      <c r="T173" s="62">
        <f t="shared" si="142"/>
        <v>318.46892604922397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0.21509857675763772</v>
      </c>
      <c r="AB173" s="23">
        <f>EXP(-LN(2)/2)*AB172+(1-EXP(-LN(2)/2))/(LN(2)/2)*V173*Y173*VLOOKUP('Données projet'!$B$9,Paramètres!$A$1:$I$89,3,0)*0.475*44/12</f>
        <v>2.7957264638788302E-21</v>
      </c>
      <c r="AC173" s="24">
        <f t="shared" si="163"/>
        <v>0.21509857675763772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3.4106051316484809E-13</v>
      </c>
      <c r="AJ173" s="14">
        <f>AI173*VLOOKUP('Données projet'!$B$10,Paramètres!$A$1:$I$89,3,0)*VLOOKUP('Données projet'!$B$10,Paramètres!$A$1:$I$89,5,0)</f>
        <v>2.9795046430081134E-13</v>
      </c>
      <c r="AK173" s="14">
        <f t="shared" si="164"/>
        <v>3.9419014464513778E-12</v>
      </c>
      <c r="AL173" s="22">
        <f t="shared" si="165"/>
        <v>7.384408744560063E-12</v>
      </c>
      <c r="AM173" s="62">
        <f t="shared" si="113"/>
        <v>293.3333333333407</v>
      </c>
      <c r="AN173" s="62">
        <f ca="1">AVERAGE(OFFSET($AM$3,0,0,'Données projet'!$E$10+1,1))-AVERAGE(OFFSET($H$3,0,0,'Données projet'!$E$10+1,1))</f>
        <v>179.7474263412401</v>
      </c>
      <c r="AO173" s="62">
        <f t="shared" si="144"/>
        <v>234.90106311484084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2.2833051766483846E-21</v>
      </c>
      <c r="AX173" s="23">
        <f t="shared" si="166"/>
        <v>2.2833051766483846E-21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95.588999999999743</v>
      </c>
      <c r="D174" s="12">
        <f t="shared" si="140"/>
        <v>25.908394508687365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937.87462427758476</v>
      </c>
      <c r="H174" s="70">
        <f t="shared" si="110"/>
        <v>504.94129543596335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6.3550942286383367E-14</v>
      </c>
      <c r="P174" s="14">
        <f t="shared" si="141"/>
        <v>1.0064464192543978E-12</v>
      </c>
      <c r="Q174" s="22">
        <f t="shared" si="162"/>
        <v>1.8635787380168604E-12</v>
      </c>
      <c r="R174" s="62">
        <f t="shared" si="109"/>
        <v>293.33333333333519</v>
      </c>
      <c r="S174" s="62">
        <f ca="1">AVERAGE(OFFSET($R$3,0,0,'Données projet'!$E$9+1,1))-AVERAGE(OFFSET($H$3,0,0,'Données projet'!$E$9+1,1))</f>
        <v>247.87882458322304</v>
      </c>
      <c r="T174" s="62">
        <f t="shared" si="142"/>
        <v>318.46892604922397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0.20921669486465758</v>
      </c>
      <c r="AB174" s="23">
        <f>EXP(-LN(2)/2)*AB173+(1-EXP(-LN(2)/2))/(LN(2)/2)*V174*Y174*VLOOKUP('Données projet'!$B$9,Paramètres!$A$1:$I$89,3,0)*0.475*44/12</f>
        <v>1.9768771409514082E-21</v>
      </c>
      <c r="AC174" s="24">
        <f t="shared" si="163"/>
        <v>0.20921669486465758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3.4106051316484809E-13</v>
      </c>
      <c r="AJ174" s="14">
        <f>AI174*VLOOKUP('Données projet'!$B$10,Paramètres!$A$1:$I$89,3,0)*VLOOKUP('Données projet'!$B$10,Paramètres!$A$1:$I$89,5,0)</f>
        <v>2.9795046430081134E-13</v>
      </c>
      <c r="AK174" s="14">
        <f t="shared" si="164"/>
        <v>3.9419014464513778E-12</v>
      </c>
      <c r="AL174" s="22">
        <f t="shared" si="165"/>
        <v>7.384408744560063E-12</v>
      </c>
      <c r="AM174" s="62">
        <f t="shared" si="113"/>
        <v>293.3333333333407</v>
      </c>
      <c r="AN174" s="62">
        <f ca="1">AVERAGE(OFFSET($AM$3,0,0,'Données projet'!$E$10+1,1))-AVERAGE(OFFSET($H$3,0,0,'Données projet'!$E$10+1,1))</f>
        <v>179.7474263412401</v>
      </c>
      <c r="AO174" s="62">
        <f t="shared" si="144"/>
        <v>234.90106311484084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1.6145405739264205E-21</v>
      </c>
      <c r="AX174" s="23">
        <f t="shared" si="166"/>
        <v>1.6145405739264205E-21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96.14799999999974</v>
      </c>
      <c r="D175" s="12">
        <f t="shared" si="140"/>
        <v>26.042224232404703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943.22278354838511</v>
      </c>
      <c r="H175" s="70">
        <f t="shared" si="110"/>
        <v>506.14797387143773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6.3550942286383367E-14</v>
      </c>
      <c r="P175" s="14">
        <f t="shared" si="141"/>
        <v>1.0064464192543978E-12</v>
      </c>
      <c r="Q175" s="22">
        <f t="shared" si="162"/>
        <v>1.8635787380168604E-12</v>
      </c>
      <c r="R175" s="62">
        <f t="shared" si="109"/>
        <v>293.33333333333519</v>
      </c>
      <c r="S175" s="62">
        <f ca="1">AVERAGE(OFFSET($R$3,0,0,'Données projet'!$E$9+1,1))-AVERAGE(OFFSET($H$3,0,0,'Données projet'!$E$9+1,1))</f>
        <v>247.87882458322304</v>
      </c>
      <c r="T175" s="62">
        <f t="shared" si="142"/>
        <v>318.46892604922397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0.20349565334135569</v>
      </c>
      <c r="AB175" s="23">
        <f>EXP(-LN(2)/2)*AB174+(1-EXP(-LN(2)/2))/(LN(2)/2)*V175*Y175*VLOOKUP('Données projet'!$B$9,Paramètres!$A$1:$I$89,3,0)*0.475*44/12</f>
        <v>1.3978632319394151E-21</v>
      </c>
      <c r="AC175" s="24">
        <f t="shared" si="163"/>
        <v>0.20349565334135569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3.4106051316484809E-13</v>
      </c>
      <c r="AJ175" s="14">
        <f>AI175*VLOOKUP('Données projet'!$B$10,Paramètres!$A$1:$I$89,3,0)*VLOOKUP('Données projet'!$B$10,Paramètres!$A$1:$I$89,5,0)</f>
        <v>2.9795046430081134E-13</v>
      </c>
      <c r="AK175" s="14">
        <f t="shared" si="164"/>
        <v>3.9419014464513778E-12</v>
      </c>
      <c r="AL175" s="22">
        <f t="shared" si="165"/>
        <v>7.384408744560063E-12</v>
      </c>
      <c r="AM175" s="62">
        <f t="shared" si="113"/>
        <v>293.3333333333407</v>
      </c>
      <c r="AN175" s="62">
        <f ca="1">AVERAGE(OFFSET($AM$3,0,0,'Données projet'!$E$10+1,1))-AVERAGE(OFFSET($H$3,0,0,'Données projet'!$E$10+1,1))</f>
        <v>179.7474263412401</v>
      </c>
      <c r="AO175" s="62">
        <f t="shared" si="144"/>
        <v>234.90106311484084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1.1416525883241923E-21</v>
      </c>
      <c r="AX175" s="23">
        <f t="shared" si="166"/>
        <v>1.1416525883241923E-21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96.706999999999738</v>
      </c>
      <c r="D176" s="12">
        <f t="shared" si="140"/>
        <v>26.175963417733936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948.57024392636515</v>
      </c>
      <c r="H176" s="70">
        <f t="shared" si="110"/>
        <v>507.35449461921945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6.3550942286383367E-14</v>
      </c>
      <c r="P176" s="14">
        <f t="shared" si="141"/>
        <v>1.0064464192543978E-12</v>
      </c>
      <c r="Q176" s="22">
        <f t="shared" si="162"/>
        <v>1.8635787380168604E-12</v>
      </c>
      <c r="R176" s="62">
        <f t="shared" si="109"/>
        <v>293.33333333333519</v>
      </c>
      <c r="S176" s="62">
        <f ca="1">AVERAGE(OFFSET($R$3,0,0,'Données projet'!$E$9+1,1))-AVERAGE(OFFSET($H$3,0,0,'Données projet'!$E$9+1,1))</f>
        <v>247.87882458322304</v>
      </c>
      <c r="T176" s="62">
        <f t="shared" si="142"/>
        <v>318.46892604922397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0.197931053999365</v>
      </c>
      <c r="AB176" s="23">
        <f>EXP(-LN(2)/2)*AB175+(1-EXP(-LN(2)/2))/(LN(2)/2)*V176*Y176*VLOOKUP('Données projet'!$B$9,Paramètres!$A$1:$I$89,3,0)*0.475*44/12</f>
        <v>9.8843857047570411E-22</v>
      </c>
      <c r="AC176" s="24">
        <f t="shared" si="163"/>
        <v>0.197931053999365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3.4106051316484809E-13</v>
      </c>
      <c r="AJ176" s="14">
        <f>AI176*VLOOKUP('Données projet'!$B$10,Paramètres!$A$1:$I$89,3,0)*VLOOKUP('Données projet'!$B$10,Paramètres!$A$1:$I$89,5,0)</f>
        <v>2.9795046430081134E-13</v>
      </c>
      <c r="AK176" s="14">
        <f t="shared" si="164"/>
        <v>3.9419014464513778E-12</v>
      </c>
      <c r="AL176" s="22">
        <f t="shared" si="165"/>
        <v>7.384408744560063E-12</v>
      </c>
      <c r="AM176" s="62">
        <f t="shared" si="113"/>
        <v>293.3333333333407</v>
      </c>
      <c r="AN176" s="62">
        <f ca="1">AVERAGE(OFFSET($AM$3,0,0,'Données projet'!$E$10+1,1))-AVERAGE(OFFSET($H$3,0,0,'Données projet'!$E$10+1,1))</f>
        <v>179.7474263412401</v>
      </c>
      <c r="AO176" s="62">
        <f t="shared" si="144"/>
        <v>234.90106311484084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8.0727028696321026E-22</v>
      </c>
      <c r="AX176" s="23">
        <f t="shared" si="166"/>
        <v>8.0727028696321026E-22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97.265999999999735</v>
      </c>
      <c r="D177" s="12">
        <f t="shared" si="140"/>
        <v>26.30961264874556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953.91700992013909</v>
      </c>
      <c r="H177" s="70">
        <f t="shared" si="110"/>
        <v>508.56085869656471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6.3550942286383367E-14</v>
      </c>
      <c r="P177" s="14">
        <f t="shared" si="141"/>
        <v>1.0064464192543978E-12</v>
      </c>
      <c r="Q177" s="22">
        <f t="shared" si="162"/>
        <v>1.8635787380168604E-12</v>
      </c>
      <c r="R177" s="62">
        <f t="shared" si="109"/>
        <v>293.33333333333519</v>
      </c>
      <c r="S177" s="62">
        <f ca="1">AVERAGE(OFFSET($R$3,0,0,'Données projet'!$E$9+1,1))-AVERAGE(OFFSET($H$3,0,0,'Données projet'!$E$9+1,1))</f>
        <v>247.87882458322304</v>
      </c>
      <c r="T177" s="62">
        <f t="shared" si="142"/>
        <v>318.46892604922397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0.19251861891901062</v>
      </c>
      <c r="AB177" s="23">
        <f>EXP(-LN(2)/2)*AB176+(1-EXP(-LN(2)/2))/(LN(2)/2)*V177*Y177*VLOOKUP('Données projet'!$B$9,Paramètres!$A$1:$I$89,3,0)*0.475*44/12</f>
        <v>6.9893161596970756E-22</v>
      </c>
      <c r="AC177" s="24">
        <f t="shared" si="163"/>
        <v>0.19251861891901062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3.4106051316484809E-13</v>
      </c>
      <c r="AJ177" s="14">
        <f>AI177*VLOOKUP('Données projet'!$B$10,Paramètres!$A$1:$I$89,3,0)*VLOOKUP('Données projet'!$B$10,Paramètres!$A$1:$I$89,5,0)</f>
        <v>2.9795046430081134E-13</v>
      </c>
      <c r="AK177" s="14">
        <f t="shared" si="164"/>
        <v>3.9419014464513778E-12</v>
      </c>
      <c r="AL177" s="22">
        <f t="shared" si="165"/>
        <v>7.384408744560063E-12</v>
      </c>
      <c r="AM177" s="62">
        <f t="shared" si="113"/>
        <v>293.3333333333407</v>
      </c>
      <c r="AN177" s="62">
        <f ca="1">AVERAGE(OFFSET($AM$3,0,0,'Données projet'!$E$10+1,1))-AVERAGE(OFFSET($H$3,0,0,'Données projet'!$E$10+1,1))</f>
        <v>179.7474263412401</v>
      </c>
      <c r="AO177" s="62">
        <f t="shared" si="144"/>
        <v>234.90106311484084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5.7082629416209614E-22</v>
      </c>
      <c r="AX177" s="23">
        <f t="shared" si="166"/>
        <v>5.7082629416209614E-22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97.824999999999733</v>
      </c>
      <c r="D178" s="12">
        <f t="shared" si="140"/>
        <v>26.443172502408078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959.26308598349897</v>
      </c>
      <c r="H178" s="70">
        <f t="shared" si="110"/>
        <v>509.76706710836027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6.3550942286383367E-14</v>
      </c>
      <c r="P178" s="14">
        <f t="shared" si="141"/>
        <v>1.0064464192543978E-12</v>
      </c>
      <c r="Q178" s="22">
        <f t="shared" si="162"/>
        <v>1.8635787380168604E-12</v>
      </c>
      <c r="R178" s="62">
        <f t="shared" si="109"/>
        <v>293.33333333333519</v>
      </c>
      <c r="S178" s="62">
        <f ca="1">AVERAGE(OFFSET($R$3,0,0,'Données projet'!$E$9+1,1))-AVERAGE(OFFSET($H$3,0,0,'Données projet'!$E$9+1,1))</f>
        <v>247.87882458322304</v>
      </c>
      <c r="T178" s="62">
        <f t="shared" si="142"/>
        <v>318.46892604922397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0.18725418716055611</v>
      </c>
      <c r="AB178" s="23">
        <f>EXP(-LN(2)/2)*AB177+(1-EXP(-LN(2)/2))/(LN(2)/2)*V178*Y178*VLOOKUP('Données projet'!$B$9,Paramètres!$A$1:$I$89,3,0)*0.475*44/12</f>
        <v>4.9421928523785206E-22</v>
      </c>
      <c r="AC178" s="24">
        <f t="shared" si="163"/>
        <v>0.18725418716055611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3.4106051316484809E-13</v>
      </c>
      <c r="AJ178" s="14">
        <f>AI178*VLOOKUP('Données projet'!$B$10,Paramètres!$A$1:$I$89,3,0)*VLOOKUP('Données projet'!$B$10,Paramètres!$A$1:$I$89,5,0)</f>
        <v>2.9795046430081134E-13</v>
      </c>
      <c r="AK178" s="14">
        <f t="shared" si="164"/>
        <v>3.9419014464513778E-12</v>
      </c>
      <c r="AL178" s="22">
        <f t="shared" si="165"/>
        <v>7.384408744560063E-12</v>
      </c>
      <c r="AM178" s="62">
        <f t="shared" si="113"/>
        <v>293.3333333333407</v>
      </c>
      <c r="AN178" s="62">
        <f ca="1">AVERAGE(OFFSET($AM$3,0,0,'Données projet'!$E$10+1,1))-AVERAGE(OFFSET($H$3,0,0,'Données projet'!$E$10+1,1))</f>
        <v>179.7474263412401</v>
      </c>
      <c r="AO178" s="62">
        <f t="shared" si="144"/>
        <v>234.90106311484084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4.0363514348160513E-22</v>
      </c>
      <c r="AX178" s="23">
        <f t="shared" si="166"/>
        <v>4.0363514348160513E-22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98.38399999999973</v>
      </c>
      <c r="D179" s="12">
        <f t="shared" si="140"/>
        <v>26.576643548714546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964.60847651639085</v>
      </c>
      <c r="H179" s="70">
        <f t="shared" si="110"/>
        <v>510.97312084734403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6.3550942286383367E-14</v>
      </c>
      <c r="P179" s="14">
        <f t="shared" si="141"/>
        <v>1.0064464192543978E-12</v>
      </c>
      <c r="Q179" s="22">
        <f t="shared" si="162"/>
        <v>1.8635787380168604E-12</v>
      </c>
      <c r="R179" s="62">
        <f t="shared" si="109"/>
        <v>293.33333333333519</v>
      </c>
      <c r="S179" s="62">
        <f ca="1">AVERAGE(OFFSET($R$3,0,0,'Données projet'!$E$9+1,1))-AVERAGE(OFFSET($H$3,0,0,'Données projet'!$E$9+1,1))</f>
        <v>247.87882458322304</v>
      </c>
      <c r="T179" s="62">
        <f t="shared" si="142"/>
        <v>318.46892604922397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0.18213371156538097</v>
      </c>
      <c r="AB179" s="23">
        <f>EXP(-LN(2)/2)*AB178+(1-EXP(-LN(2)/2))/(LN(2)/2)*V179*Y179*VLOOKUP('Données projet'!$B$9,Paramètres!$A$1:$I$89,3,0)*0.475*44/12</f>
        <v>3.4946580798485378E-22</v>
      </c>
      <c r="AC179" s="24">
        <f t="shared" si="163"/>
        <v>0.18213371156538097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3.4106051316484809E-13</v>
      </c>
      <c r="AJ179" s="14">
        <f>AI179*VLOOKUP('Données projet'!$B$10,Paramètres!$A$1:$I$89,3,0)*VLOOKUP('Données projet'!$B$10,Paramètres!$A$1:$I$89,5,0)</f>
        <v>2.9795046430081134E-13</v>
      </c>
      <c r="AK179" s="14">
        <f t="shared" si="164"/>
        <v>3.9419014464513778E-12</v>
      </c>
      <c r="AL179" s="22">
        <f t="shared" si="165"/>
        <v>7.384408744560063E-12</v>
      </c>
      <c r="AM179" s="62">
        <f t="shared" si="113"/>
        <v>293.3333333333407</v>
      </c>
      <c r="AN179" s="62">
        <f ca="1">AVERAGE(OFFSET($AM$3,0,0,'Données projet'!$E$10+1,1))-AVERAGE(OFFSET($H$3,0,0,'Données projet'!$E$10+1,1))</f>
        <v>179.7474263412401</v>
      </c>
      <c r="AO179" s="62">
        <f t="shared" si="144"/>
        <v>234.90106311484084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2.8541314708104807E-22</v>
      </c>
      <c r="AX179" s="23">
        <f t="shared" si="166"/>
        <v>2.8541314708104807E-22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98.942999999999728</v>
      </c>
      <c r="D180" s="12">
        <f t="shared" si="140"/>
        <v>26.71002635080605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969.95318586586916</v>
      </c>
      <c r="H180" s="70">
        <f t="shared" si="110"/>
        <v>512.17902089432005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6.3550942286383367E-14</v>
      </c>
      <c r="P180" s="14">
        <f t="shared" si="141"/>
        <v>1.0064464192543978E-12</v>
      </c>
      <c r="Q180" s="22">
        <f t="shared" si="162"/>
        <v>1.8635787380168604E-12</v>
      </c>
      <c r="R180" s="62">
        <f t="shared" si="109"/>
        <v>293.33333333333519</v>
      </c>
      <c r="S180" s="62">
        <f ca="1">AVERAGE(OFFSET($R$3,0,0,'Données projet'!$E$9+1,1))-AVERAGE(OFFSET($H$3,0,0,'Données projet'!$E$9+1,1))</f>
        <v>247.87882458322304</v>
      </c>
      <c r="T180" s="62">
        <f t="shared" si="142"/>
        <v>318.46892604922397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0.17715325564463</v>
      </c>
      <c r="AB180" s="23">
        <f>EXP(-LN(2)/2)*AB179+(1-EXP(-LN(2)/2))/(LN(2)/2)*V180*Y180*VLOOKUP('Données projet'!$B$9,Paramètres!$A$1:$I$89,3,0)*0.475*44/12</f>
        <v>2.4710964261892603E-22</v>
      </c>
      <c r="AC180" s="24">
        <f t="shared" si="163"/>
        <v>0.17715325564463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3.4106051316484809E-13</v>
      </c>
      <c r="AJ180" s="14">
        <f>AI180*VLOOKUP('Données projet'!$B$10,Paramètres!$A$1:$I$89,3,0)*VLOOKUP('Données projet'!$B$10,Paramètres!$A$1:$I$89,5,0)</f>
        <v>2.9795046430081134E-13</v>
      </c>
      <c r="AK180" s="14">
        <f t="shared" si="164"/>
        <v>3.9419014464513778E-12</v>
      </c>
      <c r="AL180" s="22">
        <f t="shared" si="165"/>
        <v>7.384408744560063E-12</v>
      </c>
      <c r="AM180" s="62">
        <f t="shared" si="113"/>
        <v>293.3333333333407</v>
      </c>
      <c r="AN180" s="62">
        <f ca="1">AVERAGE(OFFSET($AM$3,0,0,'Données projet'!$E$10+1,1))-AVERAGE(OFFSET($H$3,0,0,'Données projet'!$E$10+1,1))</f>
        <v>179.7474263412401</v>
      </c>
      <c r="AO180" s="62">
        <f t="shared" si="144"/>
        <v>234.90106311484084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2.0181757174080257E-22</v>
      </c>
      <c r="AX180" s="23">
        <f t="shared" si="166"/>
        <v>2.0181757174080257E-22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99.501999999999725</v>
      </c>
      <c r="D181" s="12">
        <f t="shared" si="140"/>
        <v>26.843321465092171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975.29721832702523</v>
      </c>
      <c r="H181" s="70">
        <f t="shared" si="110"/>
        <v>513.38476821836844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6.3550942286383367E-14</v>
      </c>
      <c r="P181" s="14">
        <f t="shared" si="141"/>
        <v>1.0064464192543978E-12</v>
      </c>
      <c r="Q181" s="22">
        <f t="shared" si="162"/>
        <v>1.8635787380168604E-12</v>
      </c>
      <c r="R181" s="62">
        <f t="shared" si="109"/>
        <v>293.33333333333519</v>
      </c>
      <c r="S181" s="62">
        <f ca="1">AVERAGE(OFFSET($R$3,0,0,'Données projet'!$E$9+1,1))-AVERAGE(OFFSET($H$3,0,0,'Données projet'!$E$9+1,1))</f>
        <v>247.87882458322304</v>
      </c>
      <c r="T181" s="62">
        <f t="shared" si="142"/>
        <v>318.46892604922397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0.17230899055294277</v>
      </c>
      <c r="AB181" s="23">
        <f>EXP(-LN(2)/2)*AB180+(1-EXP(-LN(2)/2))/(LN(2)/2)*V181*Y181*VLOOKUP('Données projet'!$B$9,Paramètres!$A$1:$I$89,3,0)*0.475*44/12</f>
        <v>1.7473290399242689E-22</v>
      </c>
      <c r="AC181" s="24">
        <f t="shared" si="163"/>
        <v>0.17230899055294277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3.4106051316484809E-13</v>
      </c>
      <c r="AJ181" s="14">
        <f>AI181*VLOOKUP('Données projet'!$B$10,Paramètres!$A$1:$I$89,3,0)*VLOOKUP('Données projet'!$B$10,Paramètres!$A$1:$I$89,5,0)</f>
        <v>2.9795046430081134E-13</v>
      </c>
      <c r="AK181" s="14">
        <f t="shared" si="164"/>
        <v>3.9419014464513778E-12</v>
      </c>
      <c r="AL181" s="22">
        <f t="shared" si="165"/>
        <v>7.384408744560063E-12</v>
      </c>
      <c r="AM181" s="62">
        <f t="shared" si="113"/>
        <v>293.3333333333407</v>
      </c>
      <c r="AN181" s="62">
        <f ca="1">AVERAGE(OFFSET($AM$3,0,0,'Données projet'!$E$10+1,1))-AVERAGE(OFFSET($H$3,0,0,'Données projet'!$E$10+1,1))</f>
        <v>179.7474263412401</v>
      </c>
      <c r="AO181" s="62">
        <f t="shared" si="144"/>
        <v>234.90106311484084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1.4270657354052403E-22</v>
      </c>
      <c r="AX181" s="23">
        <f t="shared" si="166"/>
        <v>1.4270657354052403E-22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100.06099999999972</v>
      </c>
      <c r="D182" s="12">
        <f t="shared" si="140"/>
        <v>26.976529441368999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980.64057814389889</v>
      </c>
      <c r="H182" s="70">
        <f t="shared" si="110"/>
        <v>514.59036377705047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6.3550942286383367E-14</v>
      </c>
      <c r="P182" s="14">
        <f t="shared" si="141"/>
        <v>1.0064464192543978E-12</v>
      </c>
      <c r="Q182" s="22">
        <f t="shared" si="162"/>
        <v>1.8635787380168604E-12</v>
      </c>
      <c r="R182" s="62">
        <f t="shared" si="109"/>
        <v>293.33333333333519</v>
      </c>
      <c r="S182" s="62">
        <f ca="1">AVERAGE(OFFSET($R$3,0,0,'Données projet'!$E$9+1,1))-AVERAGE(OFFSET($H$3,0,0,'Données projet'!$E$9+1,1))</f>
        <v>247.87882458322304</v>
      </c>
      <c r="T182" s="62">
        <f t="shared" si="142"/>
        <v>318.46892604922397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0.16759719214493654</v>
      </c>
      <c r="AB182" s="23">
        <f>EXP(-LN(2)/2)*AB181+(1-EXP(-LN(2)/2))/(LN(2)/2)*V182*Y182*VLOOKUP('Données projet'!$B$9,Paramètres!$A$1:$I$89,3,0)*0.475*44/12</f>
        <v>1.2355482130946301E-22</v>
      </c>
      <c r="AC182" s="24">
        <f t="shared" si="163"/>
        <v>0.16759719214493654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3.4106051316484809E-13</v>
      </c>
      <c r="AJ182" s="14">
        <f>AI182*VLOOKUP('Données projet'!$B$10,Paramètres!$A$1:$I$89,3,0)*VLOOKUP('Données projet'!$B$10,Paramètres!$A$1:$I$89,5,0)</f>
        <v>2.9795046430081134E-13</v>
      </c>
      <c r="AK182" s="14">
        <f t="shared" si="164"/>
        <v>3.9419014464513778E-12</v>
      </c>
      <c r="AL182" s="22">
        <f t="shared" si="165"/>
        <v>7.384408744560063E-12</v>
      </c>
      <c r="AM182" s="62">
        <f t="shared" si="113"/>
        <v>293.3333333333407</v>
      </c>
      <c r="AN182" s="62">
        <f ca="1">AVERAGE(OFFSET($AM$3,0,0,'Données projet'!$E$10+1,1))-AVERAGE(OFFSET($H$3,0,0,'Données projet'!$E$10+1,1))</f>
        <v>179.7474263412401</v>
      </c>
      <c r="AO182" s="62">
        <f t="shared" si="144"/>
        <v>234.90106311484084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1.0090878587040128E-22</v>
      </c>
      <c r="AX182" s="23">
        <f t="shared" si="166"/>
        <v>1.0090878587040128E-22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100.61999999999972</v>
      </c>
      <c r="D183" s="12">
        <f t="shared" si="140"/>
        <v>27.109650822934078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985.98326951036631</v>
      </c>
      <c r="H183" s="70">
        <f t="shared" si="110"/>
        <v>515.79580851660967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6.3550942286383367E-14</v>
      </c>
      <c r="P183" s="14">
        <f t="shared" si="141"/>
        <v>1.0064464192543978E-12</v>
      </c>
      <c r="Q183" s="22">
        <f t="shared" si="162"/>
        <v>1.8635787380168604E-12</v>
      </c>
      <c r="R183" s="62">
        <f t="shared" si="109"/>
        <v>293.33333333333519</v>
      </c>
      <c r="S183" s="62">
        <f ca="1">AVERAGE(OFFSET($R$3,0,0,'Données projet'!$E$9+1,1))-AVERAGE(OFFSET($H$3,0,0,'Données projet'!$E$9+1,1))</f>
        <v>247.87882458322304</v>
      </c>
      <c r="T183" s="62">
        <f t="shared" si="142"/>
        <v>318.46892604922397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0.16301423811217997</v>
      </c>
      <c r="AB183" s="23">
        <f>EXP(-LN(2)/2)*AB182+(1-EXP(-LN(2)/2))/(LN(2)/2)*V183*Y183*VLOOKUP('Données projet'!$B$9,Paramètres!$A$1:$I$89,3,0)*0.475*44/12</f>
        <v>8.7366451996213445E-23</v>
      </c>
      <c r="AC183" s="24">
        <f t="shared" si="163"/>
        <v>0.16301423811217997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3.4106051316484809E-13</v>
      </c>
      <c r="AJ183" s="14">
        <f>AI183*VLOOKUP('Données projet'!$B$10,Paramètres!$A$1:$I$89,3,0)*VLOOKUP('Données projet'!$B$10,Paramètres!$A$1:$I$89,5,0)</f>
        <v>2.9795046430081134E-13</v>
      </c>
      <c r="AK183" s="14">
        <f t="shared" si="164"/>
        <v>3.9419014464513778E-12</v>
      </c>
      <c r="AL183" s="22">
        <f t="shared" si="165"/>
        <v>7.384408744560063E-12</v>
      </c>
      <c r="AM183" s="62">
        <f t="shared" si="113"/>
        <v>293.3333333333407</v>
      </c>
      <c r="AN183" s="62">
        <f ca="1">AVERAGE(OFFSET($AM$3,0,0,'Données projet'!$E$10+1,1))-AVERAGE(OFFSET($H$3,0,0,'Données projet'!$E$10+1,1))</f>
        <v>179.7474263412401</v>
      </c>
      <c r="AO183" s="62">
        <f t="shared" si="144"/>
        <v>234.90106311484084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7.1353286770262017E-23</v>
      </c>
      <c r="AX183" s="23">
        <f t="shared" si="166"/>
        <v>7.1353286770262017E-23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101.17899999999972</v>
      </c>
      <c r="D184" s="12">
        <f t="shared" si="140"/>
        <v>27.242686146698961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991.32529657100747</v>
      </c>
      <c r="H184" s="70">
        <f t="shared" si="110"/>
        <v>517.00110337216688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6.3550942286383367E-14</v>
      </c>
      <c r="P184" s="14">
        <f t="shared" si="141"/>
        <v>1.0064464192543978E-12</v>
      </c>
      <c r="Q184" s="22">
        <f t="shared" si="162"/>
        <v>1.8635787380168604E-12</v>
      </c>
      <c r="R184" s="62">
        <f t="shared" si="109"/>
        <v>293.33333333333519</v>
      </c>
      <c r="S184" s="62">
        <f ca="1">AVERAGE(OFFSET($R$3,0,0,'Données projet'!$E$9+1,1))-AVERAGE(OFFSET($H$3,0,0,'Données projet'!$E$9+1,1))</f>
        <v>247.87882458322304</v>
      </c>
      <c r="T184" s="62">
        <f t="shared" si="142"/>
        <v>318.46892604922397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0.15855660519845619</v>
      </c>
      <c r="AB184" s="23">
        <f>EXP(-LN(2)/2)*AB183+(1-EXP(-LN(2)/2))/(LN(2)/2)*V184*Y184*VLOOKUP('Données projet'!$B$9,Paramètres!$A$1:$I$89,3,0)*0.475*44/12</f>
        <v>6.1777410654731507E-23</v>
      </c>
      <c r="AC184" s="24">
        <f t="shared" si="163"/>
        <v>0.15855660519845619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3.4106051316484809E-13</v>
      </c>
      <c r="AJ184" s="14">
        <f>AI184*VLOOKUP('Données projet'!$B$10,Paramètres!$A$1:$I$89,3,0)*VLOOKUP('Données projet'!$B$10,Paramètres!$A$1:$I$89,5,0)</f>
        <v>2.9795046430081134E-13</v>
      </c>
      <c r="AK184" s="14">
        <f t="shared" si="164"/>
        <v>3.9419014464513778E-12</v>
      </c>
      <c r="AL184" s="22">
        <f t="shared" si="165"/>
        <v>7.384408744560063E-12</v>
      </c>
      <c r="AM184" s="62">
        <f t="shared" si="113"/>
        <v>293.3333333333407</v>
      </c>
      <c r="AN184" s="62">
        <f ca="1">AVERAGE(OFFSET($AM$3,0,0,'Données projet'!$E$10+1,1))-AVERAGE(OFFSET($H$3,0,0,'Données projet'!$E$10+1,1))</f>
        <v>179.7474263412401</v>
      </c>
      <c r="AO184" s="62">
        <f t="shared" si="144"/>
        <v>234.90106311484084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5.0454392935200641E-23</v>
      </c>
      <c r="AX184" s="23">
        <f t="shared" si="166"/>
        <v>5.0454392935200641E-23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101.73799999999972</v>
      </c>
      <c r="D185" s="12">
        <f t="shared" si="140"/>
        <v>27.37563594329918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996.66666342195651</v>
      </c>
      <c r="H185" s="70">
        <f t="shared" si="110"/>
        <v>518.2062492679122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6.3550942286383367E-14</v>
      </c>
      <c r="P185" s="14">
        <f t="shared" si="141"/>
        <v>1.0064464192543978E-12</v>
      </c>
      <c r="Q185" s="22">
        <f t="shared" si="162"/>
        <v>1.8635787380168604E-12</v>
      </c>
      <c r="R185" s="62">
        <f t="shared" si="109"/>
        <v>293.33333333333519</v>
      </c>
      <c r="S185" s="62">
        <f ca="1">AVERAGE(OFFSET($R$3,0,0,'Données projet'!$E$9+1,1))-AVERAGE(OFFSET($H$3,0,0,'Données projet'!$E$9+1,1))</f>
        <v>247.87882458322304</v>
      </c>
      <c r="T185" s="62">
        <f t="shared" si="142"/>
        <v>318.46892604922397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0.15422086649117492</v>
      </c>
      <c r="AB185" s="23">
        <f>EXP(-LN(2)/2)*AB184+(1-EXP(-LN(2)/2))/(LN(2)/2)*V185*Y185*VLOOKUP('Données projet'!$B$9,Paramètres!$A$1:$I$89,3,0)*0.475*44/12</f>
        <v>4.3683225998106722E-23</v>
      </c>
      <c r="AC185" s="24">
        <f t="shared" si="163"/>
        <v>0.15422086649117492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3.4106051316484809E-13</v>
      </c>
      <c r="AJ185" s="14">
        <f>AI185*VLOOKUP('Données projet'!$B$10,Paramètres!$A$1:$I$89,3,0)*VLOOKUP('Données projet'!$B$10,Paramètres!$A$1:$I$89,5,0)</f>
        <v>2.9795046430081134E-13</v>
      </c>
      <c r="AK185" s="14">
        <f t="shared" si="164"/>
        <v>3.9419014464513778E-12</v>
      </c>
      <c r="AL185" s="22">
        <f t="shared" si="165"/>
        <v>7.384408744560063E-12</v>
      </c>
      <c r="AM185" s="62">
        <f t="shared" si="113"/>
        <v>293.3333333333407</v>
      </c>
      <c r="AN185" s="62">
        <f ca="1">AVERAGE(OFFSET($AM$3,0,0,'Données projet'!$E$10+1,1))-AVERAGE(OFFSET($H$3,0,0,'Données projet'!$E$10+1,1))</f>
        <v>179.7474263412401</v>
      </c>
      <c r="AO185" s="62">
        <f t="shared" si="144"/>
        <v>234.90106311484084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3.5676643385131009E-23</v>
      </c>
      <c r="AX185" s="23">
        <f t="shared" si="166"/>
        <v>3.5676643385131009E-23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102.29699999999971</v>
      </c>
      <c r="D186" s="12">
        <f t="shared" si="140"/>
        <v>27.508500737201498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1002.0073741117286</v>
      </c>
      <c r="H186" s="70">
        <f t="shared" si="110"/>
        <v>519.41124711729208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6.3550942286383367E-14</v>
      </c>
      <c r="P186" s="14">
        <f t="shared" si="141"/>
        <v>1.0064464192543978E-12</v>
      </c>
      <c r="Q186" s="22">
        <f t="shared" si="162"/>
        <v>1.8635787380168604E-12</v>
      </c>
      <c r="R186" s="62">
        <f t="shared" si="109"/>
        <v>293.33333333333519</v>
      </c>
      <c r="S186" s="62">
        <f ca="1">AVERAGE(OFFSET($R$3,0,0,'Données projet'!$E$9+1,1))-AVERAGE(OFFSET($H$3,0,0,'Données projet'!$E$9+1,1))</f>
        <v>247.87882458322304</v>
      </c>
      <c r="T186" s="62">
        <f t="shared" si="142"/>
        <v>318.46892604922397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0.15000368878685086</v>
      </c>
      <c r="AB186" s="23">
        <f>EXP(-LN(2)/2)*AB185+(1-EXP(-LN(2)/2))/(LN(2)/2)*V186*Y186*VLOOKUP('Données projet'!$B$9,Paramètres!$A$1:$I$89,3,0)*0.475*44/12</f>
        <v>3.0888705327365754E-23</v>
      </c>
      <c r="AC186" s="24">
        <f t="shared" si="163"/>
        <v>0.15000368878685086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3.4106051316484809E-13</v>
      </c>
      <c r="AJ186" s="14">
        <f>AI186*VLOOKUP('Données projet'!$B$10,Paramètres!$A$1:$I$89,3,0)*VLOOKUP('Données projet'!$B$10,Paramètres!$A$1:$I$89,5,0)</f>
        <v>2.9795046430081134E-13</v>
      </c>
      <c r="AK186" s="14">
        <f t="shared" si="164"/>
        <v>3.9419014464513778E-12</v>
      </c>
      <c r="AL186" s="22">
        <f t="shared" si="165"/>
        <v>7.384408744560063E-12</v>
      </c>
      <c r="AM186" s="62">
        <f t="shared" si="113"/>
        <v>293.3333333333407</v>
      </c>
      <c r="AN186" s="62">
        <f ca="1">AVERAGE(OFFSET($AM$3,0,0,'Données projet'!$E$10+1,1))-AVERAGE(OFFSET($H$3,0,0,'Données projet'!$E$10+1,1))</f>
        <v>179.7474263412401</v>
      </c>
      <c r="AO186" s="62">
        <f t="shared" si="144"/>
        <v>234.90106311484084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2.5227196467600321E-23</v>
      </c>
      <c r="AX186" s="23">
        <f t="shared" si="166"/>
        <v>2.5227196467600321E-23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102.85599999999971</v>
      </c>
      <c r="D187" s="12">
        <f t="shared" si="140"/>
        <v>27.641281046809159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1007.3474326420334</v>
      </c>
      <c r="H187" s="70">
        <f t="shared" si="110"/>
        <v>520.61609782319215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6.3550942286383367E-14</v>
      </c>
      <c r="P187" s="14">
        <f t="shared" si="141"/>
        <v>1.0064464192543978E-12</v>
      </c>
      <c r="Q187" s="22">
        <f t="shared" si="162"/>
        <v>1.8635787380168604E-12</v>
      </c>
      <c r="R187" s="62">
        <f t="shared" si="109"/>
        <v>293.33333333333519</v>
      </c>
      <c r="S187" s="62">
        <f ca="1">AVERAGE(OFFSET($R$3,0,0,'Données projet'!$E$9+1,1))-AVERAGE(OFFSET($H$3,0,0,'Données projet'!$E$9+1,1))</f>
        <v>247.87882458322304</v>
      </c>
      <c r="T187" s="62">
        <f t="shared" si="142"/>
        <v>318.46892604922397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0.14590183002862325</v>
      </c>
      <c r="AB187" s="23">
        <f>EXP(-LN(2)/2)*AB186+(1-EXP(-LN(2)/2))/(LN(2)/2)*V187*Y187*VLOOKUP('Données projet'!$B$9,Paramètres!$A$1:$I$89,3,0)*0.475*44/12</f>
        <v>2.1841612999053361E-23</v>
      </c>
      <c r="AC187" s="24">
        <f t="shared" si="163"/>
        <v>0.14590183002862325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3.4106051316484809E-13</v>
      </c>
      <c r="AJ187" s="14">
        <f>AI187*VLOOKUP('Données projet'!$B$10,Paramètres!$A$1:$I$89,3,0)*VLOOKUP('Données projet'!$B$10,Paramètres!$A$1:$I$89,5,0)</f>
        <v>2.9795046430081134E-13</v>
      </c>
      <c r="AK187" s="14">
        <f t="shared" si="164"/>
        <v>3.9419014464513778E-12</v>
      </c>
      <c r="AL187" s="22">
        <f t="shared" si="165"/>
        <v>7.384408744560063E-12</v>
      </c>
      <c r="AM187" s="62">
        <f t="shared" si="113"/>
        <v>293.3333333333407</v>
      </c>
      <c r="AN187" s="62">
        <f ca="1">AVERAGE(OFFSET($AM$3,0,0,'Données projet'!$E$10+1,1))-AVERAGE(OFFSET($H$3,0,0,'Données projet'!$E$10+1,1))</f>
        <v>179.7474263412401</v>
      </c>
      <c r="AO187" s="62">
        <f t="shared" si="144"/>
        <v>234.90106311484084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1.7838321692565504E-23</v>
      </c>
      <c r="AX187" s="23">
        <f t="shared" si="166"/>
        <v>1.7838321692565504E-23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103.41499999999971</v>
      </c>
      <c r="D188" s="12">
        <f t="shared" si="140"/>
        <v>27.773977384564393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1012.6868429685651</v>
      </c>
      <c r="H188" s="70">
        <f t="shared" si="110"/>
        <v>521.82080227811582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6.3550942286383367E-14</v>
      </c>
      <c r="P188" s="14">
        <f t="shared" si="141"/>
        <v>1.0064464192543978E-12</v>
      </c>
      <c r="Q188" s="22">
        <f t="shared" si="162"/>
        <v>1.8635787380168604E-12</v>
      </c>
      <c r="R188" s="62">
        <f t="shared" si="109"/>
        <v>293.33333333333519</v>
      </c>
      <c r="S188" s="62">
        <f ca="1">AVERAGE(OFFSET($R$3,0,0,'Données projet'!$E$9+1,1))-AVERAGE(OFFSET($H$3,0,0,'Données projet'!$E$9+1,1))</f>
        <v>247.87882458322304</v>
      </c>
      <c r="T188" s="62">
        <f t="shared" si="142"/>
        <v>318.46892604922397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0.14191213681384676</v>
      </c>
      <c r="AB188" s="23">
        <f>EXP(-LN(2)/2)*AB187+(1-EXP(-LN(2)/2))/(LN(2)/2)*V188*Y188*VLOOKUP('Données projet'!$B$9,Paramètres!$A$1:$I$89,3,0)*0.475*44/12</f>
        <v>1.5444352663682877E-23</v>
      </c>
      <c r="AC188" s="24">
        <f t="shared" si="163"/>
        <v>0.14191213681384676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3.4106051316484809E-13</v>
      </c>
      <c r="AJ188" s="14">
        <f>AI188*VLOOKUP('Données projet'!$B$10,Paramètres!$A$1:$I$89,3,0)*VLOOKUP('Données projet'!$B$10,Paramètres!$A$1:$I$89,5,0)</f>
        <v>2.9795046430081134E-13</v>
      </c>
      <c r="AK188" s="14">
        <f t="shared" si="164"/>
        <v>3.9419014464513778E-12</v>
      </c>
      <c r="AL188" s="22">
        <f t="shared" si="165"/>
        <v>7.384408744560063E-12</v>
      </c>
      <c r="AM188" s="62">
        <f t="shared" si="113"/>
        <v>293.3333333333407</v>
      </c>
      <c r="AN188" s="62">
        <f ca="1">AVERAGE(OFFSET($AM$3,0,0,'Données projet'!$E$10+1,1))-AVERAGE(OFFSET($H$3,0,0,'Données projet'!$E$10+1,1))</f>
        <v>179.7474263412401</v>
      </c>
      <c r="AO188" s="62">
        <f t="shared" si="144"/>
        <v>234.90106311484084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1.261359823380016E-23</v>
      </c>
      <c r="AX188" s="23">
        <f t="shared" si="166"/>
        <v>1.261359823380016E-23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103.97399999999971</v>
      </c>
      <c r="D189" s="12">
        <f t="shared" si="140"/>
        <v>27.906590257048816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1018.025609001778</v>
      </c>
      <c r="H189" s="70">
        <f t="shared" si="110"/>
        <v>523.02536136435947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6.3550942286383367E-14</v>
      </c>
      <c r="P189" s="14">
        <f t="shared" si="141"/>
        <v>1.0064464192543978E-12</v>
      </c>
      <c r="Q189" s="22">
        <f t="shared" si="162"/>
        <v>1.8635787380168604E-12</v>
      </c>
      <c r="R189" s="62">
        <f t="shared" si="109"/>
        <v>293.33333333333519</v>
      </c>
      <c r="S189" s="62">
        <f ca="1">AVERAGE(OFFSET($R$3,0,0,'Données projet'!$E$9+1,1))-AVERAGE(OFFSET($H$3,0,0,'Données projet'!$E$9+1,1))</f>
        <v>247.87882458322304</v>
      </c>
      <c r="T189" s="62">
        <f t="shared" si="142"/>
        <v>318.46892604922397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0.13803154196983719</v>
      </c>
      <c r="AB189" s="23">
        <f>EXP(-LN(2)/2)*AB188+(1-EXP(-LN(2)/2))/(LN(2)/2)*V189*Y189*VLOOKUP('Données projet'!$B$9,Paramètres!$A$1:$I$89,3,0)*0.475*44/12</f>
        <v>1.0920806499526681E-23</v>
      </c>
      <c r="AC189" s="24">
        <f t="shared" si="163"/>
        <v>0.13803154196983719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3.4106051316484809E-13</v>
      </c>
      <c r="AJ189" s="14">
        <f>AI189*VLOOKUP('Données projet'!$B$10,Paramètres!$A$1:$I$89,3,0)*VLOOKUP('Données projet'!$B$10,Paramètres!$A$1:$I$89,5,0)</f>
        <v>2.9795046430081134E-13</v>
      </c>
      <c r="AK189" s="14">
        <f t="shared" si="164"/>
        <v>3.9419014464513778E-12</v>
      </c>
      <c r="AL189" s="22">
        <f t="shared" si="165"/>
        <v>7.384408744560063E-12</v>
      </c>
      <c r="AM189" s="62">
        <f t="shared" si="113"/>
        <v>293.3333333333407</v>
      </c>
      <c r="AN189" s="62">
        <f ca="1">AVERAGE(OFFSET($AM$3,0,0,'Données projet'!$E$10+1,1))-AVERAGE(OFFSET($H$3,0,0,'Données projet'!$E$10+1,1))</f>
        <v>179.7474263412401</v>
      </c>
      <c r="AO189" s="62">
        <f t="shared" si="144"/>
        <v>234.90106311484084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8.9191608462827522E-24</v>
      </c>
      <c r="AX189" s="23">
        <f t="shared" si="166"/>
        <v>8.9191608462827522E-24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104.5329999999997</v>
      </c>
      <c r="D190" s="12">
        <f t="shared" si="140"/>
        <v>28.039120165081656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1023.3637346076456</v>
      </c>
      <c r="H190" s="70">
        <f t="shared" si="110"/>
        <v>524.22977595418331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6.3550942286383367E-14</v>
      </c>
      <c r="P190" s="14">
        <f t="shared" si="141"/>
        <v>1.0064464192543978E-12</v>
      </c>
      <c r="Q190" s="22">
        <f t="shared" si="162"/>
        <v>1.8635787380168604E-12</v>
      </c>
      <c r="R190" s="62">
        <f t="shared" si="109"/>
        <v>293.33333333333519</v>
      </c>
      <c r="S190" s="62">
        <f ca="1">AVERAGE(OFFSET($R$3,0,0,'Données projet'!$E$9+1,1))-AVERAGE(OFFSET($H$3,0,0,'Données projet'!$E$9+1,1))</f>
        <v>247.87882458322304</v>
      </c>
      <c r="T190" s="62">
        <f t="shared" si="142"/>
        <v>318.46892604922397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0.13425706219590869</v>
      </c>
      <c r="AB190" s="23">
        <f>EXP(-LN(2)/2)*AB189+(1-EXP(-LN(2)/2))/(LN(2)/2)*V190*Y190*VLOOKUP('Données projet'!$B$9,Paramètres!$A$1:$I$89,3,0)*0.475*44/12</f>
        <v>7.7221763318414384E-24</v>
      </c>
      <c r="AC190" s="24">
        <f t="shared" si="163"/>
        <v>0.13425706219590869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3.4106051316484809E-13</v>
      </c>
      <c r="AJ190" s="14">
        <f>AI190*VLOOKUP('Données projet'!$B$10,Paramètres!$A$1:$I$89,3,0)*VLOOKUP('Données projet'!$B$10,Paramètres!$A$1:$I$89,5,0)</f>
        <v>2.9795046430081134E-13</v>
      </c>
      <c r="AK190" s="14">
        <f t="shared" si="164"/>
        <v>3.9419014464513778E-12</v>
      </c>
      <c r="AL190" s="22">
        <f t="shared" si="165"/>
        <v>7.384408744560063E-12</v>
      </c>
      <c r="AM190" s="62">
        <f t="shared" si="113"/>
        <v>293.3333333333407</v>
      </c>
      <c r="AN190" s="62">
        <f ca="1">AVERAGE(OFFSET($AM$3,0,0,'Données projet'!$E$10+1,1))-AVERAGE(OFFSET($H$3,0,0,'Données projet'!$E$10+1,1))</f>
        <v>179.7474263412401</v>
      </c>
      <c r="AO190" s="62">
        <f t="shared" si="144"/>
        <v>234.90106311484084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6.3067991169000802E-24</v>
      </c>
      <c r="AX190" s="23">
        <f t="shared" si="166"/>
        <v>6.3067991169000802E-24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105.0919999999997</v>
      </c>
      <c r="D191" s="12">
        <f t="shared" si="140"/>
        <v>28.171567603815788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1028.7012236084001</v>
      </c>
      <c r="H191" s="70">
        <f t="shared" si="110"/>
        <v>525.43404690997863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6.3550942286383367E-14</v>
      </c>
      <c r="P191" s="14">
        <f t="shared" si="141"/>
        <v>1.0064464192543978E-12</v>
      </c>
      <c r="Q191" s="22">
        <f t="shared" si="162"/>
        <v>1.8635787380168604E-12</v>
      </c>
      <c r="R191" s="62">
        <f t="shared" si="109"/>
        <v>293.33333333333519</v>
      </c>
      <c r="S191" s="62">
        <f ca="1">AVERAGE(OFFSET($R$3,0,0,'Données projet'!$E$9+1,1))-AVERAGE(OFFSET($H$3,0,0,'Données projet'!$E$9+1,1))</f>
        <v>247.87882458322304</v>
      </c>
      <c r="T191" s="62">
        <f t="shared" si="142"/>
        <v>318.46892604922397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0.13058579576988952</v>
      </c>
      <c r="AB191" s="23">
        <f>EXP(-LN(2)/2)*AB190+(1-EXP(-LN(2)/2))/(LN(2)/2)*V191*Y191*VLOOKUP('Données projet'!$B$9,Paramètres!$A$1:$I$89,3,0)*0.475*44/12</f>
        <v>5.4604032497633403E-24</v>
      </c>
      <c r="AC191" s="24">
        <f t="shared" si="163"/>
        <v>0.13058579576988952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3.4106051316484809E-13</v>
      </c>
      <c r="AJ191" s="14">
        <f>AI191*VLOOKUP('Données projet'!$B$10,Paramètres!$A$1:$I$89,3,0)*VLOOKUP('Données projet'!$B$10,Paramètres!$A$1:$I$89,5,0)</f>
        <v>2.9795046430081134E-13</v>
      </c>
      <c r="AK191" s="14">
        <f t="shared" si="164"/>
        <v>3.9419014464513778E-12</v>
      </c>
      <c r="AL191" s="22">
        <f t="shared" si="165"/>
        <v>7.384408744560063E-12</v>
      </c>
      <c r="AM191" s="62">
        <f t="shared" si="113"/>
        <v>293.3333333333407</v>
      </c>
      <c r="AN191" s="62">
        <f ca="1">AVERAGE(OFFSET($AM$3,0,0,'Données projet'!$E$10+1,1))-AVERAGE(OFFSET($H$3,0,0,'Données projet'!$E$10+1,1))</f>
        <v>179.7474263412401</v>
      </c>
      <c r="AO191" s="62">
        <f t="shared" si="144"/>
        <v>234.90106311484084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4.4595804231413761E-24</v>
      </c>
      <c r="AX191" s="23">
        <f t="shared" si="166"/>
        <v>4.4595804231413761E-24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105.6509999999997</v>
      </c>
      <c r="D192" s="12">
        <f t="shared" si="140"/>
        <v>28.303933062831472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1034.0380797832584</v>
      </c>
      <c r="H192" s="70">
        <f t="shared" si="110"/>
        <v>526.63817508443094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6.3550942286383367E-14</v>
      </c>
      <c r="P192" s="14">
        <f t="shared" si="141"/>
        <v>1.0064464192543978E-12</v>
      </c>
      <c r="Q192" s="22">
        <f t="shared" si="162"/>
        <v>1.8635787380168604E-12</v>
      </c>
      <c r="R192" s="62">
        <f t="shared" si="109"/>
        <v>293.33333333333519</v>
      </c>
      <c r="S192" s="62">
        <f ca="1">AVERAGE(OFFSET($R$3,0,0,'Données projet'!$E$9+1,1))-AVERAGE(OFFSET($H$3,0,0,'Données projet'!$E$9+1,1))</f>
        <v>247.87882458322304</v>
      </c>
      <c r="T192" s="62">
        <f t="shared" si="142"/>
        <v>318.46892604922397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0.12701492031735334</v>
      </c>
      <c r="AB192" s="23">
        <f>EXP(-LN(2)/2)*AB191+(1-EXP(-LN(2)/2))/(LN(2)/2)*V192*Y192*VLOOKUP('Données projet'!$B$9,Paramètres!$A$1:$I$89,3,0)*0.475*44/12</f>
        <v>3.8610881659207192E-24</v>
      </c>
      <c r="AC192" s="24">
        <f t="shared" si="163"/>
        <v>0.12701492031735334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3.4106051316484809E-13</v>
      </c>
      <c r="AJ192" s="14">
        <f>AI192*VLOOKUP('Données projet'!$B$10,Paramètres!$A$1:$I$89,3,0)*VLOOKUP('Données projet'!$B$10,Paramètres!$A$1:$I$89,5,0)</f>
        <v>2.9795046430081134E-13</v>
      </c>
      <c r="AK192" s="14">
        <f t="shared" si="164"/>
        <v>3.9419014464513778E-12</v>
      </c>
      <c r="AL192" s="22">
        <f t="shared" si="165"/>
        <v>7.384408744560063E-12</v>
      </c>
      <c r="AM192" s="62">
        <f t="shared" si="113"/>
        <v>293.3333333333407</v>
      </c>
      <c r="AN192" s="62">
        <f ca="1">AVERAGE(OFFSET($AM$3,0,0,'Données projet'!$E$10+1,1))-AVERAGE(OFFSET($H$3,0,0,'Données projet'!$E$10+1,1))</f>
        <v>179.7474263412401</v>
      </c>
      <c r="AO192" s="62">
        <f t="shared" si="144"/>
        <v>234.90106311484084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3.1533995584500401E-24</v>
      </c>
      <c r="AX192" s="23">
        <f t="shared" si="166"/>
        <v>3.1533995584500401E-24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106.2099999999997</v>
      </c>
      <c r="D193" s="12">
        <f t="shared" si="140"/>
        <v>28.436217026228405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1039.3743068691292</v>
      </c>
      <c r="H193" s="70">
        <f t="shared" si="110"/>
        <v>527.84216132068059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6.3550942286383367E-14</v>
      </c>
      <c r="P193" s="14">
        <f t="shared" si="141"/>
        <v>1.0064464192543978E-12</v>
      </c>
      <c r="Q193" s="22">
        <f t="shared" si="162"/>
        <v>1.8635787380168604E-12</v>
      </c>
      <c r="R193" s="62">
        <f t="shared" si="109"/>
        <v>293.33333333333519</v>
      </c>
      <c r="S193" s="62">
        <f ca="1">AVERAGE(OFFSET($R$3,0,0,'Données projet'!$E$9+1,1))-AVERAGE(OFFSET($H$3,0,0,'Données projet'!$E$9+1,1))</f>
        <v>247.87882458322304</v>
      </c>
      <c r="T193" s="62">
        <f t="shared" si="142"/>
        <v>318.46892604922397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0.12354169064185096</v>
      </c>
      <c r="AB193" s="23">
        <f>EXP(-LN(2)/2)*AB192+(1-EXP(-LN(2)/2))/(LN(2)/2)*V193*Y193*VLOOKUP('Données projet'!$B$9,Paramètres!$A$1:$I$89,3,0)*0.475*44/12</f>
        <v>2.7302016248816701E-24</v>
      </c>
      <c r="AC193" s="24">
        <f t="shared" si="163"/>
        <v>0.12354169064185096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3.4106051316484809E-13</v>
      </c>
      <c r="AJ193" s="14">
        <f>AI193*VLOOKUP('Données projet'!$B$10,Paramètres!$A$1:$I$89,3,0)*VLOOKUP('Données projet'!$B$10,Paramètres!$A$1:$I$89,5,0)</f>
        <v>2.9795046430081134E-13</v>
      </c>
      <c r="AK193" s="14">
        <f t="shared" si="164"/>
        <v>3.9419014464513778E-12</v>
      </c>
      <c r="AL193" s="22">
        <f t="shared" si="165"/>
        <v>7.384408744560063E-12</v>
      </c>
      <c r="AM193" s="62">
        <f t="shared" si="113"/>
        <v>293.3333333333407</v>
      </c>
      <c r="AN193" s="62">
        <f ca="1">AVERAGE(OFFSET($AM$3,0,0,'Données projet'!$E$10+1,1))-AVERAGE(OFFSET($H$3,0,0,'Données projet'!$E$10+1,1))</f>
        <v>179.7474263412401</v>
      </c>
      <c r="AO193" s="62">
        <f t="shared" si="144"/>
        <v>234.90106311484084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2.229790211570688E-24</v>
      </c>
      <c r="AX193" s="23">
        <f t="shared" si="166"/>
        <v>2.229790211570688E-24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106.76899999999969</v>
      </c>
      <c r="D194" s="12">
        <f t="shared" si="140"/>
        <v>28.568419972715443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1044.7099085613097</v>
      </c>
      <c r="H194" s="70">
        <f t="shared" si="110"/>
        <v>529.04600645247888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6.3550942286383367E-14</v>
      </c>
      <c r="P194" s="14">
        <f t="shared" si="141"/>
        <v>1.0064464192543978E-12</v>
      </c>
      <c r="Q194" s="22">
        <f t="shared" si="162"/>
        <v>1.8635787380168604E-12</v>
      </c>
      <c r="R194" s="62">
        <f t="shared" si="109"/>
        <v>293.33333333333519</v>
      </c>
      <c r="S194" s="62">
        <f ca="1">AVERAGE(OFFSET($R$3,0,0,'Données projet'!$E$9+1,1))-AVERAGE(OFFSET($H$3,0,0,'Données projet'!$E$9+1,1))</f>
        <v>247.87882458322304</v>
      </c>
      <c r="T194" s="62">
        <f t="shared" si="142"/>
        <v>318.46892604922397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0.12016343661447439</v>
      </c>
      <c r="AB194" s="23">
        <f>EXP(-LN(2)/2)*AB193+(1-EXP(-LN(2)/2))/(LN(2)/2)*V194*Y194*VLOOKUP('Données projet'!$B$9,Paramètres!$A$1:$I$89,3,0)*0.475*44/12</f>
        <v>1.9305440829603596E-24</v>
      </c>
      <c r="AC194" s="24">
        <f t="shared" si="163"/>
        <v>0.12016343661447439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3.4106051316484809E-13</v>
      </c>
      <c r="AJ194" s="14">
        <f>AI194*VLOOKUP('Données projet'!$B$10,Paramètres!$A$1:$I$89,3,0)*VLOOKUP('Données projet'!$B$10,Paramètres!$A$1:$I$89,5,0)</f>
        <v>2.9795046430081134E-13</v>
      </c>
      <c r="AK194" s="14">
        <f t="shared" si="164"/>
        <v>3.9419014464513778E-12</v>
      </c>
      <c r="AL194" s="22">
        <f t="shared" si="165"/>
        <v>7.384408744560063E-12</v>
      </c>
      <c r="AM194" s="62">
        <f t="shared" si="113"/>
        <v>293.3333333333407</v>
      </c>
      <c r="AN194" s="62">
        <f ca="1">AVERAGE(OFFSET($AM$3,0,0,'Données projet'!$E$10+1,1))-AVERAGE(OFFSET($H$3,0,0,'Données projet'!$E$10+1,1))</f>
        <v>179.7474263412401</v>
      </c>
      <c r="AO194" s="62">
        <f t="shared" si="144"/>
        <v>234.90106311484084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1.57669977922502E-24</v>
      </c>
      <c r="AX194" s="23">
        <f t="shared" si="166"/>
        <v>1.57669977922502E-24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107.32799999999969</v>
      </c>
      <c r="D195" s="12">
        <f t="shared" si="140"/>
        <v>28.700542375698632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1050.0448885141625</v>
      </c>
      <c r="H195" s="70">
        <f t="shared" si="110"/>
        <v>530.24971130434119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6.3550942286383367E-14</v>
      </c>
      <c r="P195" s="14">
        <f t="shared" si="141"/>
        <v>1.0064464192543978E-12</v>
      </c>
      <c r="Q195" s="22">
        <f t="shared" si="162"/>
        <v>1.8635787380168604E-12</v>
      </c>
      <c r="R195" s="62">
        <f t="shared" ref="R195:R203" si="191">Q195+(I195+J195)*44/12</f>
        <v>293.33333333333519</v>
      </c>
      <c r="S195" s="62">
        <f ca="1">AVERAGE(OFFSET($R$3,0,0,'Données projet'!$E$9+1,1))-AVERAGE(OFFSET($H$3,0,0,'Données projet'!$E$9+1,1))</f>
        <v>247.87882458322304</v>
      </c>
      <c r="T195" s="62">
        <f t="shared" si="142"/>
        <v>318.46892604922397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0.1168775611211311</v>
      </c>
      <c r="AB195" s="23">
        <f>EXP(-LN(2)/2)*AB194+(1-EXP(-LN(2)/2))/(LN(2)/2)*V195*Y195*VLOOKUP('Données projet'!$B$9,Paramètres!$A$1:$I$89,3,0)*0.475*44/12</f>
        <v>1.3651008124408351E-24</v>
      </c>
      <c r="AC195" s="24">
        <f t="shared" si="163"/>
        <v>0.1168775611211311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3.4106051316484809E-13</v>
      </c>
      <c r="AJ195" s="14">
        <f>AI195*VLOOKUP('Données projet'!$B$10,Paramètres!$A$1:$I$89,3,0)*VLOOKUP('Données projet'!$B$10,Paramètres!$A$1:$I$89,5,0)</f>
        <v>2.9795046430081134E-13</v>
      </c>
      <c r="AK195" s="14">
        <f t="shared" si="164"/>
        <v>3.9419014464513778E-12</v>
      </c>
      <c r="AL195" s="22">
        <f t="shared" si="165"/>
        <v>7.384408744560063E-12</v>
      </c>
      <c r="AM195" s="62">
        <f t="shared" si="113"/>
        <v>293.3333333333407</v>
      </c>
      <c r="AN195" s="62">
        <f ca="1">AVERAGE(OFFSET($AM$3,0,0,'Données projet'!$E$10+1,1))-AVERAGE(OFFSET($H$3,0,0,'Données projet'!$E$10+1,1))</f>
        <v>179.7474263412401</v>
      </c>
      <c r="AO195" s="62">
        <f t="shared" si="144"/>
        <v>234.90106311484084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1.114895105785344E-24</v>
      </c>
      <c r="AX195" s="23">
        <f t="shared" si="166"/>
        <v>1.114895105785344E-24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107.88699999999969</v>
      </c>
      <c r="D196" s="12">
        <f t="shared" si="140"/>
        <v>28.832584703367186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1055.3792503417794</v>
      </c>
      <c r="H196" s="70">
        <f t="shared" ref="H196:H203" si="192">(B196+E196+F196)*44/12+(C196+D196)*0.475*44/12</f>
        <v>531.45327669169728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6.3550942286383367E-14</v>
      </c>
      <c r="P196" s="14">
        <f t="shared" si="141"/>
        <v>1.0064464192543978E-12</v>
      </c>
      <c r="Q196" s="22">
        <f t="shared" si="162"/>
        <v>1.8635787380168604E-12</v>
      </c>
      <c r="R196" s="62">
        <f t="shared" si="191"/>
        <v>293.33333333333519</v>
      </c>
      <c r="S196" s="62">
        <f ca="1">AVERAGE(OFFSET($R$3,0,0,'Données projet'!$E$9+1,1))-AVERAGE(OFFSET($H$3,0,0,'Données projet'!$E$9+1,1))</f>
        <v>247.87882458322304</v>
      </c>
      <c r="T196" s="62">
        <f t="shared" si="142"/>
        <v>318.46892604922397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0.11368153806594995</v>
      </c>
      <c r="AB196" s="23">
        <f>EXP(-LN(2)/2)*AB195+(1-EXP(-LN(2)/2))/(LN(2)/2)*V196*Y196*VLOOKUP('Données projet'!$B$9,Paramètres!$A$1:$I$89,3,0)*0.475*44/12</f>
        <v>9.652720414801798E-25</v>
      </c>
      <c r="AC196" s="24">
        <f t="shared" si="163"/>
        <v>0.11368153806594995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3.4106051316484809E-13</v>
      </c>
      <c r="AJ196" s="14">
        <f>AI196*VLOOKUP('Données projet'!$B$10,Paramètres!$A$1:$I$89,3,0)*VLOOKUP('Données projet'!$B$10,Paramètres!$A$1:$I$89,5,0)</f>
        <v>2.9795046430081134E-13</v>
      </c>
      <c r="AK196" s="14">
        <f t="shared" si="164"/>
        <v>3.9419014464513778E-12</v>
      </c>
      <c r="AL196" s="22">
        <f t="shared" si="165"/>
        <v>7.384408744560063E-12</v>
      </c>
      <c r="AM196" s="62">
        <f t="shared" ref="AM196:AM203" si="193">AL196+(AD196+AE196)*44/12</f>
        <v>293.3333333333407</v>
      </c>
      <c r="AN196" s="62">
        <f ca="1">AVERAGE(OFFSET($AM$3,0,0,'Données projet'!$E$10+1,1))-AVERAGE(OFFSET($H$3,0,0,'Données projet'!$E$10+1,1))</f>
        <v>179.7474263412401</v>
      </c>
      <c r="AO196" s="62">
        <f t="shared" si="144"/>
        <v>234.90106311484084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7.8834988961251002E-25</v>
      </c>
      <c r="AX196" s="23">
        <f t="shared" si="166"/>
        <v>7.8834988961251002E-25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108.44599999999969</v>
      </c>
      <c r="D197" s="12">
        <f t="shared" ref="D197:D203" si="202">IFERROR(EXP(-1.0587+0.8836*LN(C197)+0.284),0)</f>
        <v>28.964547418777748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1060.7129976186329</v>
      </c>
      <c r="H197" s="70">
        <f t="shared" si="192"/>
        <v>532.65670342103738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6.3550942286383367E-14</v>
      </c>
      <c r="P197" s="14">
        <f t="shared" ref="P197:P203" si="203">EXP(-1.0587+0.8836*LN(O197)+0.284)</f>
        <v>1.0064464192543978E-12</v>
      </c>
      <c r="Q197" s="22">
        <f t="shared" si="162"/>
        <v>1.8635787380168604E-12</v>
      </c>
      <c r="R197" s="62">
        <f t="shared" si="191"/>
        <v>293.33333333333519</v>
      </c>
      <c r="S197" s="62">
        <f ca="1">AVERAGE(OFFSET($R$3,0,0,'Données projet'!$E$9+1,1))-AVERAGE(OFFSET($H$3,0,0,'Données projet'!$E$9+1,1))</f>
        <v>247.87882458322304</v>
      </c>
      <c r="T197" s="62">
        <f t="shared" ref="T197:T203" si="204">$T$3</f>
        <v>318.46892604922397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0.11057291042928429</v>
      </c>
      <c r="AB197" s="23">
        <f>EXP(-LN(2)/2)*AB196+(1-EXP(-LN(2)/2))/(LN(2)/2)*V197*Y197*VLOOKUP('Données projet'!$B$9,Paramètres!$A$1:$I$89,3,0)*0.475*44/12</f>
        <v>6.8255040622041754E-25</v>
      </c>
      <c r="AC197" s="24">
        <f t="shared" si="163"/>
        <v>0.11057291042928429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3.4106051316484809E-13</v>
      </c>
      <c r="AJ197" s="14">
        <f>AI197*VLOOKUP('Données projet'!$B$10,Paramètres!$A$1:$I$89,3,0)*VLOOKUP('Données projet'!$B$10,Paramètres!$A$1:$I$89,5,0)</f>
        <v>2.9795046430081134E-13</v>
      </c>
      <c r="AK197" s="14">
        <f t="shared" si="164"/>
        <v>3.9419014464513778E-12</v>
      </c>
      <c r="AL197" s="22">
        <f t="shared" si="165"/>
        <v>7.384408744560063E-12</v>
      </c>
      <c r="AM197" s="62">
        <f t="shared" si="193"/>
        <v>293.3333333333407</v>
      </c>
      <c r="AN197" s="62">
        <f ca="1">AVERAGE(OFFSET($AM$3,0,0,'Données projet'!$E$10+1,1))-AVERAGE(OFFSET($H$3,0,0,'Données projet'!$E$10+1,1))</f>
        <v>179.7474263412401</v>
      </c>
      <c r="AO197" s="62">
        <f t="shared" ref="AO197:AO203" si="205">$AO$3</f>
        <v>234.90106311484084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5.5744755289267201E-25</v>
      </c>
      <c r="AX197" s="23">
        <f t="shared" si="166"/>
        <v>5.5744755289267201E-25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109.00499999999968</v>
      </c>
      <c r="D198" s="12">
        <f t="shared" si="202"/>
        <v>29.096430979936777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1066.0461338802113</v>
      </c>
      <c r="H198" s="70">
        <f t="shared" si="192"/>
        <v>533.85999229005597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6.3550942286383367E-14</v>
      </c>
      <c r="P198" s="14">
        <f t="shared" si="203"/>
        <v>1.0064464192543978E-12</v>
      </c>
      <c r="Q198" s="22">
        <f t="shared" si="162"/>
        <v>1.8635787380168604E-12</v>
      </c>
      <c r="R198" s="62">
        <f t="shared" si="191"/>
        <v>293.33333333333519</v>
      </c>
      <c r="S198" s="62">
        <f ca="1">AVERAGE(OFFSET($R$3,0,0,'Données projet'!$E$9+1,1))-AVERAGE(OFFSET($H$3,0,0,'Données projet'!$E$9+1,1))</f>
        <v>247.87882458322304</v>
      </c>
      <c r="T198" s="62">
        <f t="shared" si="204"/>
        <v>318.46892604922397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0.10754928837881886</v>
      </c>
      <c r="AB198" s="23">
        <f>EXP(-LN(2)/2)*AB197+(1-EXP(-LN(2)/2))/(LN(2)/2)*V198*Y198*VLOOKUP('Données projet'!$B$9,Paramètres!$A$1:$I$89,3,0)*0.475*44/12</f>
        <v>4.826360207400899E-25</v>
      </c>
      <c r="AC198" s="24">
        <f t="shared" si="163"/>
        <v>0.10754928837881886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3.4106051316484809E-13</v>
      </c>
      <c r="AJ198" s="14">
        <f>AI198*VLOOKUP('Données projet'!$B$10,Paramètres!$A$1:$I$89,3,0)*VLOOKUP('Données projet'!$B$10,Paramètres!$A$1:$I$89,5,0)</f>
        <v>2.9795046430081134E-13</v>
      </c>
      <c r="AK198" s="14">
        <f t="shared" si="164"/>
        <v>3.9419014464513778E-12</v>
      </c>
      <c r="AL198" s="22">
        <f t="shared" si="165"/>
        <v>7.384408744560063E-12</v>
      </c>
      <c r="AM198" s="62">
        <f t="shared" si="193"/>
        <v>293.3333333333407</v>
      </c>
      <c r="AN198" s="62">
        <f ca="1">AVERAGE(OFFSET($AM$3,0,0,'Données projet'!$E$10+1,1))-AVERAGE(OFFSET($H$3,0,0,'Données projet'!$E$10+1,1))</f>
        <v>179.7474263412401</v>
      </c>
      <c r="AO198" s="62">
        <f t="shared" si="205"/>
        <v>234.90106311484084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3.9417494480625501E-25</v>
      </c>
      <c r="AX198" s="23">
        <f t="shared" si="166"/>
        <v>3.9417494480625501E-25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109.56399999999968</v>
      </c>
      <c r="D199" s="12">
        <f t="shared" si="202"/>
        <v>29.228235839881293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1071.3786626236426</v>
      </c>
      <c r="H199" s="70">
        <f t="shared" si="192"/>
        <v>535.06314408779258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6.3550942286383367E-14</v>
      </c>
      <c r="P199" s="14">
        <f t="shared" si="203"/>
        <v>1.0064464192543978E-12</v>
      </c>
      <c r="Q199" s="22">
        <f t="shared" si="162"/>
        <v>1.8635787380168604E-12</v>
      </c>
      <c r="R199" s="62">
        <f t="shared" si="191"/>
        <v>293.33333333333519</v>
      </c>
      <c r="S199" s="62">
        <f ca="1">AVERAGE(OFFSET($R$3,0,0,'Données projet'!$E$9+1,1))-AVERAGE(OFFSET($H$3,0,0,'Données projet'!$E$9+1,1))</f>
        <v>247.87882458322304</v>
      </c>
      <c r="T199" s="62">
        <f t="shared" si="204"/>
        <v>318.46892604922397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0.10460834743232879</v>
      </c>
      <c r="AB199" s="23">
        <f>EXP(-LN(2)/2)*AB198+(1-EXP(-LN(2)/2))/(LN(2)/2)*V199*Y199*VLOOKUP('Données projet'!$B$9,Paramètres!$A$1:$I$89,3,0)*0.475*44/12</f>
        <v>3.4127520311020877E-25</v>
      </c>
      <c r="AC199" s="24">
        <f t="shared" si="163"/>
        <v>0.10460834743232879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3.4106051316484809E-13</v>
      </c>
      <c r="AJ199" s="14">
        <f>AI199*VLOOKUP('Données projet'!$B$10,Paramètres!$A$1:$I$89,3,0)*VLOOKUP('Données projet'!$B$10,Paramètres!$A$1:$I$89,5,0)</f>
        <v>2.9795046430081134E-13</v>
      </c>
      <c r="AK199" s="14">
        <f t="shared" si="164"/>
        <v>3.9419014464513778E-12</v>
      </c>
      <c r="AL199" s="22">
        <f t="shared" si="165"/>
        <v>7.384408744560063E-12</v>
      </c>
      <c r="AM199" s="62">
        <f t="shared" si="193"/>
        <v>293.3333333333407</v>
      </c>
      <c r="AN199" s="62">
        <f ca="1">AVERAGE(OFFSET($AM$3,0,0,'Données projet'!$E$10+1,1))-AVERAGE(OFFSET($H$3,0,0,'Données projet'!$E$10+1,1))</f>
        <v>179.7474263412401</v>
      </c>
      <c r="AO199" s="62">
        <f t="shared" si="205"/>
        <v>234.90106311484084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2.7872377644633601E-25</v>
      </c>
      <c r="AX199" s="23">
        <f t="shared" si="166"/>
        <v>2.7872377644633601E-25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110.12299999999968</v>
      </c>
      <c r="D200" s="12">
        <f t="shared" si="202"/>
        <v>29.359962446757773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1076.7105873083033</v>
      </c>
      <c r="H200" s="70">
        <f t="shared" si="192"/>
        <v>536.26615959476919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6.3550942286383367E-14</v>
      </c>
      <c r="P200" s="14">
        <f t="shared" si="203"/>
        <v>1.0064464192543978E-12</v>
      </c>
      <c r="Q200" s="22">
        <f t="shared" si="162"/>
        <v>1.8635787380168604E-12</v>
      </c>
      <c r="R200" s="62">
        <f t="shared" si="191"/>
        <v>293.33333333333519</v>
      </c>
      <c r="S200" s="62">
        <f ca="1">AVERAGE(OFFSET($R$3,0,0,'Données projet'!$E$9+1,1))-AVERAGE(OFFSET($H$3,0,0,'Données projet'!$E$9+1,1))</f>
        <v>247.87882458322304</v>
      </c>
      <c r="T200" s="62">
        <f t="shared" si="204"/>
        <v>318.46892604922397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0.10174782667067785</v>
      </c>
      <c r="AB200" s="23">
        <f>EXP(-LN(2)/2)*AB199+(1-EXP(-LN(2)/2))/(LN(2)/2)*V200*Y200*VLOOKUP('Données projet'!$B$9,Paramètres!$A$1:$I$89,3,0)*0.475*44/12</f>
        <v>2.4131801037004495E-25</v>
      </c>
      <c r="AC200" s="24">
        <f t="shared" si="163"/>
        <v>0.10174782667067785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3.4106051316484809E-13</v>
      </c>
      <c r="AJ200" s="14">
        <f>AI200*VLOOKUP('Données projet'!$B$10,Paramètres!$A$1:$I$89,3,0)*VLOOKUP('Données projet'!$B$10,Paramètres!$A$1:$I$89,5,0)</f>
        <v>2.9795046430081134E-13</v>
      </c>
      <c r="AK200" s="14">
        <f t="shared" si="164"/>
        <v>3.9419014464513778E-12</v>
      </c>
      <c r="AL200" s="22">
        <f t="shared" si="165"/>
        <v>7.384408744560063E-12</v>
      </c>
      <c r="AM200" s="62">
        <f t="shared" si="193"/>
        <v>293.3333333333407</v>
      </c>
      <c r="AN200" s="62">
        <f ca="1">AVERAGE(OFFSET($AM$3,0,0,'Données projet'!$E$10+1,1))-AVERAGE(OFFSET($H$3,0,0,'Données projet'!$E$10+1,1))</f>
        <v>179.7474263412401</v>
      </c>
      <c r="AO200" s="62">
        <f t="shared" si="205"/>
        <v>234.90106311484084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1.970874724031275E-25</v>
      </c>
      <c r="AX200" s="23">
        <f t="shared" si="166"/>
        <v>1.970874724031275E-25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110.68199999999968</v>
      </c>
      <c r="D201" s="12">
        <f t="shared" si="202"/>
        <v>29.491611243899612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1082.0419113564158</v>
      </c>
      <c r="H201" s="70">
        <f t="shared" si="192"/>
        <v>537.46903958312464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6.3550942286383367E-14</v>
      </c>
      <c r="P201" s="14">
        <f t="shared" si="203"/>
        <v>1.0064464192543978E-12</v>
      </c>
      <c r="Q201" s="22">
        <f t="shared" si="162"/>
        <v>1.8635787380168604E-12</v>
      </c>
      <c r="R201" s="62">
        <f t="shared" si="191"/>
        <v>293.33333333333519</v>
      </c>
      <c r="S201" s="62">
        <f ca="1">AVERAGE(OFFSET($R$3,0,0,'Données projet'!$E$9+1,1))-AVERAGE(OFFSET($H$3,0,0,'Données projet'!$E$9+1,1))</f>
        <v>247.87882458322304</v>
      </c>
      <c r="T201" s="62">
        <f t="shared" si="204"/>
        <v>318.46892604922397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9.8965526999682502E-2</v>
      </c>
      <c r="AB201" s="23">
        <f>EXP(-LN(2)/2)*AB200+(1-EXP(-LN(2)/2))/(LN(2)/2)*V201*Y201*VLOOKUP('Données projet'!$B$9,Paramètres!$A$1:$I$89,3,0)*0.475*44/12</f>
        <v>1.7063760155510438E-25</v>
      </c>
      <c r="AC201" s="24">
        <f t="shared" si="163"/>
        <v>9.8965526999682502E-2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3.4106051316484809E-13</v>
      </c>
      <c r="AJ201" s="14">
        <f>AI201*VLOOKUP('Données projet'!$B$10,Paramètres!$A$1:$I$89,3,0)*VLOOKUP('Données projet'!$B$10,Paramètres!$A$1:$I$89,5,0)</f>
        <v>2.9795046430081134E-13</v>
      </c>
      <c r="AK201" s="14">
        <f t="shared" si="164"/>
        <v>3.9419014464513778E-12</v>
      </c>
      <c r="AL201" s="22">
        <f t="shared" si="165"/>
        <v>7.384408744560063E-12</v>
      </c>
      <c r="AM201" s="62">
        <f t="shared" si="193"/>
        <v>293.3333333333407</v>
      </c>
      <c r="AN201" s="62">
        <f ca="1">AVERAGE(OFFSET($AM$3,0,0,'Données projet'!$E$10+1,1))-AVERAGE(OFFSET($H$3,0,0,'Données projet'!$E$10+1,1))</f>
        <v>179.7474263412401</v>
      </c>
      <c r="AO201" s="62">
        <f t="shared" si="205"/>
        <v>234.90106311484084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1.39361888223168E-25</v>
      </c>
      <c r="AX201" s="23">
        <f t="shared" si="166"/>
        <v>1.39361888223168E-25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111.24099999999967</v>
      </c>
      <c r="D202" s="12">
        <f t="shared" si="202"/>
        <v>29.623182669902725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1087.3726381536326</v>
      </c>
      <c r="H202" s="70">
        <f t="shared" si="192"/>
        <v>538.67178481674659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6.3550942286383367E-14</v>
      </c>
      <c r="P202" s="14">
        <f t="shared" si="203"/>
        <v>1.0064464192543978E-12</v>
      </c>
      <c r="Q202" s="22">
        <f t="shared" si="162"/>
        <v>1.8635787380168604E-12</v>
      </c>
      <c r="R202" s="62">
        <f t="shared" si="191"/>
        <v>293.33333333333519</v>
      </c>
      <c r="S202" s="62">
        <f ca="1">AVERAGE(OFFSET($R$3,0,0,'Données projet'!$E$9+1,1))-AVERAGE(OFFSET($H$3,0,0,'Données projet'!$E$9+1,1))</f>
        <v>247.87882458322304</v>
      </c>
      <c r="T202" s="62">
        <f t="shared" si="204"/>
        <v>318.46892604922397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9.625930945950531E-2</v>
      </c>
      <c r="AB202" s="23">
        <f>EXP(-LN(2)/2)*AB201+(1-EXP(-LN(2)/2))/(LN(2)/2)*V202*Y202*VLOOKUP('Données projet'!$B$9,Paramètres!$A$1:$I$89,3,0)*0.475*44/12</f>
        <v>1.2065900518502247E-25</v>
      </c>
      <c r="AC202" s="24">
        <f t="shared" si="163"/>
        <v>9.625930945950531E-2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3.4106051316484809E-13</v>
      </c>
      <c r="AJ202" s="14">
        <f>AI202*VLOOKUP('Données projet'!$B$10,Paramètres!$A$1:$I$89,3,0)*VLOOKUP('Données projet'!$B$10,Paramètres!$A$1:$I$89,5,0)</f>
        <v>2.9795046430081134E-13</v>
      </c>
      <c r="AK202" s="14">
        <f t="shared" si="164"/>
        <v>3.9419014464513778E-12</v>
      </c>
      <c r="AL202" s="22">
        <f t="shared" si="165"/>
        <v>7.384408744560063E-12</v>
      </c>
      <c r="AM202" s="62">
        <f t="shared" si="193"/>
        <v>293.3333333333407</v>
      </c>
      <c r="AN202" s="62">
        <f ca="1">AVERAGE(OFFSET($AM$3,0,0,'Données projet'!$E$10+1,1))-AVERAGE(OFFSET($H$3,0,0,'Données projet'!$E$10+1,1))</f>
        <v>179.7474263412401</v>
      </c>
      <c r="AO202" s="62">
        <f t="shared" si="205"/>
        <v>234.90106311484084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9.8543736201563752E-26</v>
      </c>
      <c r="AX202" s="23">
        <f t="shared" si="166"/>
        <v>9.8543736201563752E-26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111.79999999999967</v>
      </c>
      <c r="D203" s="12">
        <f t="shared" si="202"/>
        <v>29.754677158699842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1092.7027710496104</v>
      </c>
      <c r="H203" s="70">
        <f t="shared" si="192"/>
        <v>539.87439605140162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6.3550942286383367E-14</v>
      </c>
      <c r="P203" s="14">
        <f t="shared" si="203"/>
        <v>1.0064464192543978E-12</v>
      </c>
      <c r="Q203" s="22">
        <f t="shared" si="162"/>
        <v>1.8635787380168604E-12</v>
      </c>
      <c r="R203" s="62">
        <f t="shared" si="191"/>
        <v>293.33333333333519</v>
      </c>
      <c r="S203" s="62">
        <f ca="1">AVERAGE(OFFSET($R$3,0,0,'Données projet'!$E$9+1,1))-AVERAGE(OFFSET($H$3,0,0,'Données projet'!$E$9+1,1))</f>
        <v>247.87882458322304</v>
      </c>
      <c r="T203" s="62">
        <f t="shared" si="204"/>
        <v>318.46892604922397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9.3627093580278056E-2</v>
      </c>
      <c r="AB203" s="23">
        <f>EXP(-LN(2)/2)*AB202+(1-EXP(-LN(2)/2))/(LN(2)/2)*V203*Y203*VLOOKUP('Données projet'!$B$9,Paramètres!$A$1:$I$89,3,0)*0.475*44/12</f>
        <v>8.5318800777552192E-26</v>
      </c>
      <c r="AC203" s="24">
        <f t="shared" si="163"/>
        <v>9.3627093580278056E-2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3.4106051316484809E-13</v>
      </c>
      <c r="AJ203" s="14">
        <f>AI203*VLOOKUP('Données projet'!$B$10,Paramètres!$A$1:$I$89,3,0)*VLOOKUP('Données projet'!$B$10,Paramètres!$A$1:$I$89,5,0)</f>
        <v>2.9795046430081134E-13</v>
      </c>
      <c r="AK203" s="14">
        <f t="shared" si="164"/>
        <v>3.9419014464513778E-12</v>
      </c>
      <c r="AL203" s="22">
        <f t="shared" si="165"/>
        <v>7.384408744560063E-12</v>
      </c>
      <c r="AM203" s="62">
        <f t="shared" si="193"/>
        <v>293.3333333333407</v>
      </c>
      <c r="AN203" s="62">
        <f ca="1">AVERAGE(OFFSET($AM$3,0,0,'Données projet'!$E$10+1,1))-AVERAGE(OFFSET($H$3,0,0,'Données projet'!$E$10+1,1))</f>
        <v>179.7474263412401</v>
      </c>
      <c r="AO203" s="62">
        <f t="shared" si="205"/>
        <v>234.90106311484084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6.9680944111584001E-26</v>
      </c>
      <c r="AX203" s="23">
        <f t="shared" si="166"/>
        <v>6.9680944111584001E-26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1.2477420770391454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1.2195888395871217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Douglas</v>
      </c>
      <c r="B6" s="155">
        <f>'Données projet'!D9</f>
        <v>3.75</v>
      </c>
      <c r="C6" s="156">
        <f ca="1">IF(OR('Données projet'!B9="",'Données projet'!C9="",'Données projet'!C9=0%),0,Calculateur!S3)</f>
        <v>247.87882458322304</v>
      </c>
      <c r="D6" s="156">
        <f>IF(OR('Données projet'!B9="",'Données projet'!C9="",'Données projet'!C9=0%),0,Calculateur!T3)</f>
        <v>318.46892604922397</v>
      </c>
      <c r="E6" s="156">
        <f ca="1">MIN(C6,D6)</f>
        <v>247.87882458322304</v>
      </c>
      <c r="F6" s="156">
        <f ca="1">E6*B6</f>
        <v>929.54559218708641</v>
      </c>
      <c r="G6" s="156">
        <f ca="1">F6*(100%-'Données projet'!$C$24)*(100%-'Données projet'!$C$25)*(100%-'Données projet'!$C$26)*(100%-'Données projet'!$C$27)</f>
        <v>836.59103296837782</v>
      </c>
      <c r="H6" s="157">
        <f>IF(OR('Données projet'!B9="",'Données projet'!C9="",'Données projet'!C9=0%),0,AVERAGE(Calculateur!$AC$3:$AC$33)*B6)</f>
        <v>14.872282705669731</v>
      </c>
      <c r="I6" s="158">
        <f>H6*(100%-'Données projet'!$C$24)*(100%-'Données projet'!$C$25)*(100%-'Données projet'!$C$26)*(100%-'Données projet'!$C$27)</f>
        <v>13.385054435102758</v>
      </c>
      <c r="J6" s="159">
        <f>IF(OR('Données projet'!B9="",'Données projet'!C9="",'Données projet'!C9=0%),0,SUM(Calculateur!$V$3:$V$33)*VLOOKUP('Données projet'!$B$9,Paramètres!$A$1:$I$89,9,0)*B6)</f>
        <v>95.137500000000003</v>
      </c>
      <c r="K6" s="160">
        <f>J6*(100%-'Données projet'!$C$24)*(100%-'Données projet'!$C$25)*(100%-'Données projet'!$C$26)*(100%-'Données projet'!$C$27)</f>
        <v>85.623750000000001</v>
      </c>
      <c r="L6" s="161">
        <f ca="1">G6+I6+K6</f>
        <v>935.59983740348059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rouge d'Amérique</v>
      </c>
      <c r="B7" s="163">
        <f>'Données projet'!D10</f>
        <v>3.75</v>
      </c>
      <c r="C7" s="156">
        <f ca="1">IF(OR('Données projet'!B10="",'Données projet'!C10="",'Données projet'!C10=0%),0,Calculateur!AN3)</f>
        <v>179.7474263412401</v>
      </c>
      <c r="D7" s="156">
        <f>IF(OR('Données projet'!B10="",'Données projet'!C10="",'Données projet'!C10=0%),0,Calculateur!AO3)</f>
        <v>234.90106311484084</v>
      </c>
      <c r="E7" s="156">
        <f t="shared" ref="E7:E15" ca="1" si="0">MIN(C7,D7)</f>
        <v>179.7474263412401</v>
      </c>
      <c r="F7" s="156">
        <f t="shared" ref="F7:F15" ca="1" si="1">E7*B7</f>
        <v>674.05284877965039</v>
      </c>
      <c r="G7" s="156">
        <f ca="1">F7*(100%-'Données projet'!$C$24)*(100%-'Données projet'!$C$25)*(100%-'Données projet'!$C$26)*(100%-'Données projet'!$C$27)</f>
        <v>606.64756390168532</v>
      </c>
      <c r="H7" s="164">
        <f>IF(OR('Données projet'!B10="",'Données projet'!C10="",'Données projet'!C10=0%),0,AVERAGE(Calculateur!$AX$3:$AX$33)*B7)</f>
        <v>5.510702387182695</v>
      </c>
      <c r="I7" s="158">
        <f>H7*(100%-'Données projet'!$C$24)*(100%-'Données projet'!$C$25)*(100%-'Données projet'!$C$26)*(100%-'Données projet'!$C$27)</f>
        <v>4.9596321484644257</v>
      </c>
      <c r="J7" s="159">
        <f>IF(OR('Données projet'!B10="",'Données projet'!C10="",'Données projet'!C10=0%),0,SUM(Calculateur!$AQ$3:$AQ$33)*VLOOKUP('Données projet'!$B$10,Paramètres!$A$1:$I$89,9,0)*B7)</f>
        <v>34.6875</v>
      </c>
      <c r="K7" s="160">
        <f>J7*(100%-'Données projet'!$C$24)*(100%-'Données projet'!$C$25)*(100%-'Données projet'!$C$26)*(100%-'Données projet'!$C$27)</f>
        <v>31.21875</v>
      </c>
      <c r="L7" s="161">
        <f t="shared" ref="L7:L15" ca="1" si="2">G7+I7+K7</f>
        <v>642.8259460501497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1603.5984409667367</v>
      </c>
      <c r="G16" s="175">
        <f t="shared" ca="1" si="3"/>
        <v>1443.2385968700632</v>
      </c>
      <c r="H16" s="176">
        <f t="shared" si="3"/>
        <v>20.382985092852426</v>
      </c>
      <c r="I16" s="176">
        <f t="shared" si="3"/>
        <v>18.344686583567182</v>
      </c>
      <c r="J16" s="177">
        <f t="shared" si="3"/>
        <v>129.82499999999999</v>
      </c>
      <c r="K16" s="177">
        <f t="shared" si="3"/>
        <v>116.8425</v>
      </c>
      <c r="L16" s="178">
        <f t="shared" ca="1" si="3"/>
        <v>1578.4257834536302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C56" sqref="C5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4237.3427496147806</v>
      </c>
      <c r="U10" s="190">
        <f>'Données projet'!D9</f>
        <v>3.75</v>
      </c>
      <c r="V10" s="189">
        <f>U10*T10</f>
        <v>15890.035311055428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rouge d'Amérique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1115.2983220679816</v>
      </c>
      <c r="U11" s="190">
        <f>'Données projet'!D10</f>
        <v>3.75</v>
      </c>
      <c r="V11" s="189">
        <f t="shared" ref="V11" si="0">U11*T11</f>
        <v>4182.3687077549312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1</v>
      </c>
      <c r="I20" s="204">
        <v>4165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240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240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25</v>
      </c>
      <c r="B23" s="193">
        <f>'Données projet'!D36</f>
        <v>59</v>
      </c>
      <c r="C23" s="206">
        <v>13</v>
      </c>
      <c r="D23" s="194">
        <f>B23*C23</f>
        <v>767</v>
      </c>
      <c r="E23" s="206"/>
      <c r="F23" s="261"/>
      <c r="H23" s="203">
        <v>4</v>
      </c>
      <c r="I23" s="204">
        <v>240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-15999.41058049244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32</v>
      </c>
      <c r="B24" s="193">
        <f>'Données projet'!D37</f>
        <v>79</v>
      </c>
      <c r="C24" s="206">
        <v>30</v>
      </c>
      <c r="D24" s="194">
        <f t="shared" ref="D24:D42" si="2">B24*C24</f>
        <v>2370</v>
      </c>
      <c r="E24" s="206"/>
      <c r="F24" s="264"/>
      <c r="H24" s="203">
        <v>5</v>
      </c>
      <c r="I24" s="204">
        <v>240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46</v>
      </c>
      <c r="B25" s="193">
        <f>'Données projet'!D38</f>
        <v>86</v>
      </c>
      <c r="C25" s="206">
        <v>40</v>
      </c>
      <c r="D25" s="194">
        <f t="shared" si="2"/>
        <v>3440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-15999.41058049244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60</v>
      </c>
      <c r="B26" s="193">
        <f>'Données projet'!D39</f>
        <v>517</v>
      </c>
      <c r="C26" s="206">
        <v>80</v>
      </c>
      <c r="D26" s="194">
        <f t="shared" si="2"/>
        <v>41360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25</v>
      </c>
      <c r="B54" s="193">
        <f>'Données projet'!D62</f>
        <v>37</v>
      </c>
      <c r="C54" s="204">
        <v>13</v>
      </c>
      <c r="D54" s="191">
        <f>B54*C54</f>
        <v>481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35</v>
      </c>
      <c r="B55" s="193">
        <f>'Données projet'!D63</f>
        <v>36</v>
      </c>
      <c r="C55" s="204">
        <v>20</v>
      </c>
      <c r="D55" s="191">
        <f t="shared" ref="D55:D73" si="4">B55*C55</f>
        <v>720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45</v>
      </c>
      <c r="B56" s="193">
        <f>'Données projet'!D64</f>
        <v>31</v>
      </c>
      <c r="C56" s="204">
        <v>40</v>
      </c>
      <c r="D56" s="191">
        <f t="shared" si="4"/>
        <v>1240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60</v>
      </c>
      <c r="B57" s="193">
        <f>'Données projet'!D65</f>
        <v>220</v>
      </c>
      <c r="C57" s="204">
        <v>50</v>
      </c>
      <c r="D57" s="191">
        <f t="shared" si="4"/>
        <v>11000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Baptiste DUBOIS</cp:lastModifiedBy>
  <dcterms:created xsi:type="dcterms:W3CDTF">2021-02-01T08:22:39Z</dcterms:created>
  <dcterms:modified xsi:type="dcterms:W3CDTF">2024-02-01T15:43:19Z</dcterms:modified>
</cp:coreProperties>
</file>